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PhD\Rotations\winter2023\Data\DeID-UCSF500\Paired\"/>
    </mc:Choice>
  </mc:AlternateContent>
  <xr:revisionPtr revIDLastSave="0" documentId="13_ncr:1_{EB40EC95-2135-41DA-974B-07BEB1659D2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O snv" sheetId="2" r:id="rId1"/>
  </sheets>
  <definedNames>
    <definedName name="_xlnm._FilterDatabase" localSheetId="0" hidden="1">'TO snv'!$A$1:$Z$311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11" i="2" l="1"/>
  <c r="V311" i="2"/>
  <c r="U311" i="2"/>
  <c r="S311" i="2"/>
  <c r="R311" i="2"/>
  <c r="Q311" i="2"/>
  <c r="P311" i="2"/>
  <c r="L311" i="2"/>
  <c r="K311" i="2"/>
  <c r="H311" i="2"/>
  <c r="G311" i="2"/>
  <c r="F311" i="2"/>
  <c r="Z310" i="2"/>
  <c r="V310" i="2"/>
  <c r="U310" i="2"/>
  <c r="S310" i="2"/>
  <c r="R310" i="2"/>
  <c r="Q310" i="2"/>
  <c r="P310" i="2"/>
  <c r="L310" i="2"/>
  <c r="K310" i="2"/>
  <c r="H310" i="2"/>
  <c r="G310" i="2"/>
  <c r="F310" i="2"/>
  <c r="Z309" i="2"/>
  <c r="V309" i="2"/>
  <c r="U309" i="2"/>
  <c r="S309" i="2"/>
  <c r="R309" i="2"/>
  <c r="Q309" i="2"/>
  <c r="P309" i="2"/>
  <c r="L309" i="2"/>
  <c r="K309" i="2"/>
  <c r="H309" i="2"/>
  <c r="G309" i="2"/>
  <c r="F309" i="2"/>
  <c r="Z308" i="2"/>
  <c r="V308" i="2"/>
  <c r="U308" i="2"/>
  <c r="S308" i="2"/>
  <c r="R308" i="2"/>
  <c r="Q308" i="2"/>
  <c r="P308" i="2"/>
  <c r="L308" i="2"/>
  <c r="K308" i="2"/>
  <c r="H308" i="2"/>
  <c r="G308" i="2"/>
  <c r="F308" i="2"/>
  <c r="Z307" i="2"/>
  <c r="V307" i="2"/>
  <c r="U307" i="2"/>
  <c r="S307" i="2"/>
  <c r="R307" i="2"/>
  <c r="Q307" i="2"/>
  <c r="P307" i="2"/>
  <c r="L307" i="2"/>
  <c r="K307" i="2"/>
  <c r="H307" i="2"/>
  <c r="G307" i="2"/>
  <c r="F307" i="2"/>
  <c r="Z306" i="2"/>
  <c r="V306" i="2"/>
  <c r="U306" i="2"/>
  <c r="S306" i="2"/>
  <c r="R306" i="2"/>
  <c r="Q306" i="2"/>
  <c r="P306" i="2"/>
  <c r="L306" i="2"/>
  <c r="K306" i="2"/>
  <c r="H306" i="2"/>
  <c r="G306" i="2"/>
  <c r="F306" i="2"/>
  <c r="Z305" i="2"/>
  <c r="V305" i="2"/>
  <c r="U305" i="2"/>
  <c r="S305" i="2"/>
  <c r="R305" i="2"/>
  <c r="Q305" i="2"/>
  <c r="P305" i="2"/>
  <c r="L305" i="2"/>
  <c r="K305" i="2"/>
  <c r="H305" i="2"/>
  <c r="G305" i="2"/>
  <c r="F305" i="2"/>
  <c r="Z304" i="2"/>
  <c r="V304" i="2"/>
  <c r="U304" i="2"/>
  <c r="S304" i="2"/>
  <c r="R304" i="2"/>
  <c r="Q304" i="2"/>
  <c r="P304" i="2"/>
  <c r="L304" i="2"/>
  <c r="K304" i="2"/>
  <c r="H304" i="2"/>
  <c r="G304" i="2"/>
  <c r="F304" i="2"/>
  <c r="Z303" i="2"/>
  <c r="V303" i="2"/>
  <c r="U303" i="2"/>
  <c r="S303" i="2"/>
  <c r="R303" i="2"/>
  <c r="Q303" i="2"/>
  <c r="P303" i="2"/>
  <c r="L303" i="2"/>
  <c r="K303" i="2"/>
  <c r="H303" i="2"/>
  <c r="G303" i="2"/>
  <c r="F303" i="2"/>
  <c r="Z302" i="2"/>
  <c r="V302" i="2"/>
  <c r="U302" i="2"/>
  <c r="S302" i="2"/>
  <c r="R302" i="2"/>
  <c r="Q302" i="2"/>
  <c r="P302" i="2"/>
  <c r="L302" i="2"/>
  <c r="K302" i="2"/>
  <c r="H302" i="2"/>
  <c r="G302" i="2"/>
  <c r="F302" i="2"/>
  <c r="Z301" i="2"/>
  <c r="V301" i="2"/>
  <c r="U301" i="2"/>
  <c r="S301" i="2"/>
  <c r="R301" i="2"/>
  <c r="Q301" i="2"/>
  <c r="P301" i="2"/>
  <c r="L301" i="2"/>
  <c r="K301" i="2"/>
  <c r="H301" i="2"/>
  <c r="G301" i="2"/>
  <c r="F301" i="2"/>
  <c r="Z300" i="2"/>
  <c r="V300" i="2"/>
  <c r="U300" i="2"/>
  <c r="S300" i="2"/>
  <c r="R300" i="2"/>
  <c r="Q300" i="2"/>
  <c r="P300" i="2"/>
  <c r="L300" i="2"/>
  <c r="K300" i="2"/>
  <c r="H300" i="2"/>
  <c r="G300" i="2"/>
  <c r="F300" i="2"/>
  <c r="Z299" i="2"/>
  <c r="V299" i="2"/>
  <c r="U299" i="2"/>
  <c r="S299" i="2"/>
  <c r="R299" i="2"/>
  <c r="Q299" i="2"/>
  <c r="P299" i="2"/>
  <c r="L299" i="2"/>
  <c r="K299" i="2"/>
  <c r="H299" i="2"/>
  <c r="G299" i="2"/>
  <c r="F299" i="2"/>
  <c r="Z298" i="2"/>
  <c r="V298" i="2"/>
  <c r="U298" i="2"/>
  <c r="S298" i="2"/>
  <c r="R298" i="2"/>
  <c r="Q298" i="2"/>
  <c r="P298" i="2"/>
  <c r="L298" i="2"/>
  <c r="K298" i="2"/>
  <c r="H298" i="2"/>
  <c r="G298" i="2"/>
  <c r="F298" i="2"/>
  <c r="Z297" i="2"/>
  <c r="V297" i="2"/>
  <c r="U297" i="2"/>
  <c r="S297" i="2"/>
  <c r="R297" i="2"/>
  <c r="Q297" i="2"/>
  <c r="P297" i="2"/>
  <c r="L297" i="2"/>
  <c r="K297" i="2"/>
  <c r="H297" i="2"/>
  <c r="G297" i="2"/>
  <c r="F297" i="2"/>
  <c r="Z296" i="2"/>
  <c r="V296" i="2"/>
  <c r="U296" i="2"/>
  <c r="S296" i="2"/>
  <c r="R296" i="2"/>
  <c r="Q296" i="2"/>
  <c r="P296" i="2"/>
  <c r="L296" i="2"/>
  <c r="K296" i="2"/>
  <c r="H296" i="2"/>
  <c r="G296" i="2"/>
  <c r="F296" i="2"/>
  <c r="Z295" i="2"/>
  <c r="V295" i="2"/>
  <c r="U295" i="2"/>
  <c r="S295" i="2"/>
  <c r="R295" i="2"/>
  <c r="Q295" i="2"/>
  <c r="P295" i="2"/>
  <c r="L295" i="2"/>
  <c r="K295" i="2"/>
  <c r="H295" i="2"/>
  <c r="G295" i="2"/>
  <c r="F295" i="2"/>
  <c r="Z294" i="2"/>
  <c r="V294" i="2"/>
  <c r="U294" i="2"/>
  <c r="S294" i="2"/>
  <c r="R294" i="2"/>
  <c r="Q294" i="2"/>
  <c r="P294" i="2"/>
  <c r="L294" i="2"/>
  <c r="K294" i="2"/>
  <c r="H294" i="2"/>
  <c r="G294" i="2"/>
  <c r="F294" i="2"/>
  <c r="Z293" i="2"/>
  <c r="V293" i="2"/>
  <c r="U293" i="2"/>
  <c r="S293" i="2"/>
  <c r="R293" i="2"/>
  <c r="Q293" i="2"/>
  <c r="P293" i="2"/>
  <c r="L293" i="2"/>
  <c r="K293" i="2"/>
  <c r="H293" i="2"/>
  <c r="G293" i="2"/>
  <c r="F293" i="2"/>
  <c r="Z292" i="2"/>
  <c r="V292" i="2"/>
  <c r="U292" i="2"/>
  <c r="S292" i="2"/>
  <c r="R292" i="2"/>
  <c r="Q292" i="2"/>
  <c r="P292" i="2"/>
  <c r="L292" i="2"/>
  <c r="K292" i="2"/>
  <c r="H292" i="2"/>
  <c r="G292" i="2"/>
  <c r="F292" i="2"/>
  <c r="Z291" i="2"/>
  <c r="V291" i="2"/>
  <c r="U291" i="2"/>
  <c r="S291" i="2"/>
  <c r="R291" i="2"/>
  <c r="Q291" i="2"/>
  <c r="P291" i="2"/>
  <c r="L291" i="2"/>
  <c r="K291" i="2"/>
  <c r="H291" i="2"/>
  <c r="G291" i="2"/>
  <c r="F291" i="2"/>
  <c r="Z290" i="2"/>
  <c r="V290" i="2"/>
  <c r="U290" i="2"/>
  <c r="S290" i="2"/>
  <c r="R290" i="2"/>
  <c r="Q290" i="2"/>
  <c r="P290" i="2"/>
  <c r="L290" i="2"/>
  <c r="K290" i="2"/>
  <c r="H290" i="2"/>
  <c r="G290" i="2"/>
  <c r="F290" i="2"/>
  <c r="Z289" i="2"/>
  <c r="V289" i="2"/>
  <c r="U289" i="2"/>
  <c r="S289" i="2"/>
  <c r="R289" i="2"/>
  <c r="Q289" i="2"/>
  <c r="P289" i="2"/>
  <c r="L289" i="2"/>
  <c r="K289" i="2"/>
  <c r="H289" i="2"/>
  <c r="G289" i="2"/>
  <c r="F289" i="2"/>
  <c r="Z288" i="2"/>
  <c r="V288" i="2"/>
  <c r="U288" i="2"/>
  <c r="S288" i="2"/>
  <c r="R288" i="2"/>
  <c r="Q288" i="2"/>
  <c r="P288" i="2"/>
  <c r="L288" i="2"/>
  <c r="K288" i="2"/>
  <c r="H288" i="2"/>
  <c r="G288" i="2"/>
  <c r="F288" i="2"/>
  <c r="Z287" i="2"/>
  <c r="V287" i="2"/>
  <c r="U287" i="2"/>
  <c r="S287" i="2"/>
  <c r="R287" i="2"/>
  <c r="Q287" i="2"/>
  <c r="P287" i="2"/>
  <c r="L287" i="2"/>
  <c r="K287" i="2"/>
  <c r="H287" i="2"/>
  <c r="G287" i="2"/>
  <c r="F287" i="2"/>
  <c r="Z286" i="2"/>
  <c r="V286" i="2"/>
  <c r="U286" i="2"/>
  <c r="S286" i="2"/>
  <c r="R286" i="2"/>
  <c r="Q286" i="2"/>
  <c r="P286" i="2"/>
  <c r="L286" i="2"/>
  <c r="K286" i="2"/>
  <c r="H286" i="2"/>
  <c r="G286" i="2"/>
  <c r="F286" i="2"/>
  <c r="Z285" i="2"/>
  <c r="V285" i="2"/>
  <c r="U285" i="2"/>
  <c r="S285" i="2"/>
  <c r="R285" i="2"/>
  <c r="Q285" i="2"/>
  <c r="P285" i="2"/>
  <c r="L285" i="2"/>
  <c r="K285" i="2"/>
  <c r="H285" i="2"/>
  <c r="G285" i="2"/>
  <c r="F285" i="2"/>
  <c r="Z284" i="2"/>
  <c r="V284" i="2"/>
  <c r="U284" i="2"/>
  <c r="S284" i="2"/>
  <c r="R284" i="2"/>
  <c r="Q284" i="2"/>
  <c r="P284" i="2"/>
  <c r="L284" i="2"/>
  <c r="K284" i="2"/>
  <c r="H284" i="2"/>
  <c r="G284" i="2"/>
  <c r="F284" i="2"/>
  <c r="Z283" i="2"/>
  <c r="V283" i="2"/>
  <c r="U283" i="2"/>
  <c r="S283" i="2"/>
  <c r="R283" i="2"/>
  <c r="Q283" i="2"/>
  <c r="P283" i="2"/>
  <c r="L283" i="2"/>
  <c r="K283" i="2"/>
  <c r="H283" i="2"/>
  <c r="G283" i="2"/>
  <c r="F283" i="2"/>
  <c r="Z282" i="2"/>
  <c r="V282" i="2"/>
  <c r="U282" i="2"/>
  <c r="S282" i="2"/>
  <c r="R282" i="2"/>
  <c r="Q282" i="2"/>
  <c r="P282" i="2"/>
  <c r="L282" i="2"/>
  <c r="K282" i="2"/>
  <c r="H282" i="2"/>
  <c r="G282" i="2"/>
  <c r="F282" i="2"/>
  <c r="Z281" i="2"/>
  <c r="V281" i="2"/>
  <c r="U281" i="2"/>
  <c r="S281" i="2"/>
  <c r="R281" i="2"/>
  <c r="Q281" i="2"/>
  <c r="P281" i="2"/>
  <c r="L281" i="2"/>
  <c r="K281" i="2"/>
  <c r="H281" i="2"/>
  <c r="G281" i="2"/>
  <c r="F281" i="2"/>
  <c r="Z280" i="2"/>
  <c r="V280" i="2"/>
  <c r="U280" i="2"/>
  <c r="S280" i="2"/>
  <c r="R280" i="2"/>
  <c r="Q280" i="2"/>
  <c r="P280" i="2"/>
  <c r="L280" i="2"/>
  <c r="K280" i="2"/>
  <c r="H280" i="2"/>
  <c r="G280" i="2"/>
  <c r="F280" i="2"/>
  <c r="Z279" i="2"/>
  <c r="V279" i="2"/>
  <c r="U279" i="2"/>
  <c r="S279" i="2"/>
  <c r="R279" i="2"/>
  <c r="Q279" i="2"/>
  <c r="P279" i="2"/>
  <c r="L279" i="2"/>
  <c r="K279" i="2"/>
  <c r="H279" i="2"/>
  <c r="G279" i="2"/>
  <c r="F279" i="2"/>
  <c r="Z278" i="2"/>
  <c r="V278" i="2"/>
  <c r="U278" i="2"/>
  <c r="S278" i="2"/>
  <c r="R278" i="2"/>
  <c r="Q278" i="2"/>
  <c r="P278" i="2"/>
  <c r="L278" i="2"/>
  <c r="K278" i="2"/>
  <c r="H278" i="2"/>
  <c r="G278" i="2"/>
  <c r="F278" i="2"/>
  <c r="Z277" i="2"/>
  <c r="V277" i="2"/>
  <c r="U277" i="2"/>
  <c r="S277" i="2"/>
  <c r="R277" i="2"/>
  <c r="Q277" i="2"/>
  <c r="P277" i="2"/>
  <c r="L277" i="2"/>
  <c r="K277" i="2"/>
  <c r="H277" i="2"/>
  <c r="G277" i="2"/>
  <c r="F277" i="2"/>
  <c r="Z276" i="2"/>
  <c r="V276" i="2"/>
  <c r="U276" i="2"/>
  <c r="S276" i="2"/>
  <c r="R276" i="2"/>
  <c r="Q276" i="2"/>
  <c r="P276" i="2"/>
  <c r="L276" i="2"/>
  <c r="K276" i="2"/>
  <c r="H276" i="2"/>
  <c r="G276" i="2"/>
  <c r="F276" i="2"/>
  <c r="Z275" i="2"/>
  <c r="V275" i="2"/>
  <c r="U275" i="2"/>
  <c r="S275" i="2"/>
  <c r="R275" i="2"/>
  <c r="Q275" i="2"/>
  <c r="P275" i="2"/>
  <c r="L275" i="2"/>
  <c r="K275" i="2"/>
  <c r="H275" i="2"/>
  <c r="G275" i="2"/>
  <c r="F275" i="2"/>
  <c r="Z274" i="2"/>
  <c r="V274" i="2"/>
  <c r="U274" i="2"/>
  <c r="S274" i="2"/>
  <c r="R274" i="2"/>
  <c r="Q274" i="2"/>
  <c r="P274" i="2"/>
  <c r="L274" i="2"/>
  <c r="K274" i="2"/>
  <c r="H274" i="2"/>
  <c r="G274" i="2"/>
  <c r="F274" i="2"/>
  <c r="Z273" i="2"/>
  <c r="V273" i="2"/>
  <c r="U273" i="2"/>
  <c r="S273" i="2"/>
  <c r="R273" i="2"/>
  <c r="Q273" i="2"/>
  <c r="P273" i="2"/>
  <c r="L273" i="2"/>
  <c r="K273" i="2"/>
  <c r="H273" i="2"/>
  <c r="G273" i="2"/>
  <c r="F273" i="2"/>
  <c r="Z272" i="2"/>
  <c r="V272" i="2"/>
  <c r="U272" i="2"/>
  <c r="S272" i="2"/>
  <c r="R272" i="2"/>
  <c r="Q272" i="2"/>
  <c r="P272" i="2"/>
  <c r="L272" i="2"/>
  <c r="K272" i="2"/>
  <c r="H272" i="2"/>
  <c r="G272" i="2"/>
  <c r="F272" i="2"/>
  <c r="Z271" i="2"/>
  <c r="V271" i="2"/>
  <c r="U271" i="2"/>
  <c r="S271" i="2"/>
  <c r="R271" i="2"/>
  <c r="Q271" i="2"/>
  <c r="P271" i="2"/>
  <c r="L271" i="2"/>
  <c r="K271" i="2"/>
  <c r="H271" i="2"/>
  <c r="G271" i="2"/>
  <c r="F271" i="2"/>
  <c r="Z270" i="2"/>
  <c r="V270" i="2"/>
  <c r="U270" i="2"/>
  <c r="S270" i="2"/>
  <c r="R270" i="2"/>
  <c r="Q270" i="2"/>
  <c r="P270" i="2"/>
  <c r="L270" i="2"/>
  <c r="K270" i="2"/>
  <c r="H270" i="2"/>
  <c r="G270" i="2"/>
  <c r="F270" i="2"/>
  <c r="Z269" i="2"/>
  <c r="V269" i="2"/>
  <c r="U269" i="2"/>
  <c r="S269" i="2"/>
  <c r="R269" i="2"/>
  <c r="Q269" i="2"/>
  <c r="P269" i="2"/>
  <c r="L269" i="2"/>
  <c r="K269" i="2"/>
  <c r="H269" i="2"/>
  <c r="G269" i="2"/>
  <c r="F269" i="2"/>
  <c r="Z268" i="2"/>
  <c r="V268" i="2"/>
  <c r="U268" i="2"/>
  <c r="S268" i="2"/>
  <c r="R268" i="2"/>
  <c r="Q268" i="2"/>
  <c r="P268" i="2"/>
  <c r="L268" i="2"/>
  <c r="K268" i="2"/>
  <c r="H268" i="2"/>
  <c r="G268" i="2"/>
  <c r="F268" i="2"/>
  <c r="Z267" i="2"/>
  <c r="V267" i="2"/>
  <c r="U267" i="2"/>
  <c r="S267" i="2"/>
  <c r="R267" i="2"/>
  <c r="Q267" i="2"/>
  <c r="P267" i="2"/>
  <c r="L267" i="2"/>
  <c r="K267" i="2"/>
  <c r="H267" i="2"/>
  <c r="G267" i="2"/>
  <c r="F267" i="2"/>
  <c r="Z266" i="2"/>
  <c r="V266" i="2"/>
  <c r="U266" i="2"/>
  <c r="S266" i="2"/>
  <c r="R266" i="2"/>
  <c r="Q266" i="2"/>
  <c r="P266" i="2"/>
  <c r="L266" i="2"/>
  <c r="K266" i="2"/>
  <c r="H266" i="2"/>
  <c r="G266" i="2"/>
  <c r="F266" i="2"/>
  <c r="Z265" i="2"/>
  <c r="V265" i="2"/>
  <c r="U265" i="2"/>
  <c r="S265" i="2"/>
  <c r="R265" i="2"/>
  <c r="Q265" i="2"/>
  <c r="P265" i="2"/>
  <c r="L265" i="2"/>
  <c r="K265" i="2"/>
  <c r="H265" i="2"/>
  <c r="G265" i="2"/>
  <c r="F265" i="2"/>
  <c r="Z264" i="2"/>
  <c r="V264" i="2"/>
  <c r="U264" i="2"/>
  <c r="S264" i="2"/>
  <c r="R264" i="2"/>
  <c r="Q264" i="2"/>
  <c r="P264" i="2"/>
  <c r="L264" i="2"/>
  <c r="K264" i="2"/>
  <c r="H264" i="2"/>
  <c r="G264" i="2"/>
  <c r="F264" i="2"/>
  <c r="Z263" i="2"/>
  <c r="V263" i="2"/>
  <c r="U263" i="2"/>
  <c r="S263" i="2"/>
  <c r="R263" i="2"/>
  <c r="Q263" i="2"/>
  <c r="P263" i="2"/>
  <c r="L263" i="2"/>
  <c r="K263" i="2"/>
  <c r="H263" i="2"/>
  <c r="G263" i="2"/>
  <c r="F263" i="2"/>
  <c r="Z262" i="2"/>
  <c r="V262" i="2"/>
  <c r="U262" i="2"/>
  <c r="S262" i="2"/>
  <c r="R262" i="2"/>
  <c r="Q262" i="2"/>
  <c r="P262" i="2"/>
  <c r="L262" i="2"/>
  <c r="K262" i="2"/>
  <c r="H262" i="2"/>
  <c r="G262" i="2"/>
  <c r="F262" i="2"/>
  <c r="Z261" i="2"/>
  <c r="V261" i="2"/>
  <c r="U261" i="2"/>
  <c r="S261" i="2"/>
  <c r="R261" i="2"/>
  <c r="Q261" i="2"/>
  <c r="P261" i="2"/>
  <c r="L261" i="2"/>
  <c r="K261" i="2"/>
  <c r="H261" i="2"/>
  <c r="G261" i="2"/>
  <c r="F261" i="2"/>
  <c r="Z260" i="2"/>
  <c r="V260" i="2"/>
  <c r="U260" i="2"/>
  <c r="S260" i="2"/>
  <c r="R260" i="2"/>
  <c r="Q260" i="2"/>
  <c r="P260" i="2"/>
  <c r="L260" i="2"/>
  <c r="K260" i="2"/>
  <c r="H260" i="2"/>
  <c r="G260" i="2"/>
  <c r="F260" i="2"/>
  <c r="Z259" i="2"/>
  <c r="V259" i="2"/>
  <c r="U259" i="2"/>
  <c r="S259" i="2"/>
  <c r="R259" i="2"/>
  <c r="Q259" i="2"/>
  <c r="P259" i="2"/>
  <c r="L259" i="2"/>
  <c r="K259" i="2"/>
  <c r="H259" i="2"/>
  <c r="G259" i="2"/>
  <c r="F259" i="2"/>
  <c r="Z258" i="2"/>
  <c r="V258" i="2"/>
  <c r="U258" i="2"/>
  <c r="S258" i="2"/>
  <c r="R258" i="2"/>
  <c r="Q258" i="2"/>
  <c r="P258" i="2"/>
  <c r="L258" i="2"/>
  <c r="K258" i="2"/>
  <c r="H258" i="2"/>
  <c r="G258" i="2"/>
  <c r="F258" i="2"/>
  <c r="Z257" i="2"/>
  <c r="V257" i="2"/>
  <c r="U257" i="2"/>
  <c r="S257" i="2"/>
  <c r="R257" i="2"/>
  <c r="Q257" i="2"/>
  <c r="P257" i="2"/>
  <c r="L257" i="2"/>
  <c r="K257" i="2"/>
  <c r="H257" i="2"/>
  <c r="G257" i="2"/>
  <c r="F257" i="2"/>
  <c r="Z256" i="2"/>
  <c r="V256" i="2"/>
  <c r="U256" i="2"/>
  <c r="S256" i="2"/>
  <c r="R256" i="2"/>
  <c r="Q256" i="2"/>
  <c r="P256" i="2"/>
  <c r="L256" i="2"/>
  <c r="K256" i="2"/>
  <c r="H256" i="2"/>
  <c r="G256" i="2"/>
  <c r="F256" i="2"/>
  <c r="Z255" i="2"/>
  <c r="V255" i="2"/>
  <c r="U255" i="2"/>
  <c r="S255" i="2"/>
  <c r="R255" i="2"/>
  <c r="Q255" i="2"/>
  <c r="P255" i="2"/>
  <c r="L255" i="2"/>
  <c r="K255" i="2"/>
  <c r="H255" i="2"/>
  <c r="G255" i="2"/>
  <c r="F255" i="2"/>
  <c r="Z254" i="2"/>
  <c r="V254" i="2"/>
  <c r="U254" i="2"/>
  <c r="S254" i="2"/>
  <c r="R254" i="2"/>
  <c r="Q254" i="2"/>
  <c r="P254" i="2"/>
  <c r="L254" i="2"/>
  <c r="K254" i="2"/>
  <c r="H254" i="2"/>
  <c r="G254" i="2"/>
  <c r="F254" i="2"/>
  <c r="Z253" i="2"/>
  <c r="V253" i="2"/>
  <c r="U253" i="2"/>
  <c r="S253" i="2"/>
  <c r="R253" i="2"/>
  <c r="Q253" i="2"/>
  <c r="P253" i="2"/>
  <c r="L253" i="2"/>
  <c r="K253" i="2"/>
  <c r="H253" i="2"/>
  <c r="G253" i="2"/>
  <c r="F253" i="2"/>
  <c r="Z252" i="2"/>
  <c r="V252" i="2"/>
  <c r="U252" i="2"/>
  <c r="S252" i="2"/>
  <c r="R252" i="2"/>
  <c r="Q252" i="2"/>
  <c r="P252" i="2"/>
  <c r="L252" i="2"/>
  <c r="K252" i="2"/>
  <c r="H252" i="2"/>
  <c r="G252" i="2"/>
  <c r="F252" i="2"/>
  <c r="Z251" i="2"/>
  <c r="V251" i="2"/>
  <c r="U251" i="2"/>
  <c r="S251" i="2"/>
  <c r="R251" i="2"/>
  <c r="Q251" i="2"/>
  <c r="P251" i="2"/>
  <c r="L251" i="2"/>
  <c r="K251" i="2"/>
  <c r="H251" i="2"/>
  <c r="G251" i="2"/>
  <c r="F251" i="2"/>
  <c r="Z250" i="2"/>
  <c r="V250" i="2"/>
  <c r="U250" i="2"/>
  <c r="S250" i="2"/>
  <c r="R250" i="2"/>
  <c r="Q250" i="2"/>
  <c r="P250" i="2"/>
  <c r="L250" i="2"/>
  <c r="K250" i="2"/>
  <c r="H250" i="2"/>
  <c r="G250" i="2"/>
  <c r="F250" i="2"/>
  <c r="Z249" i="2"/>
  <c r="V249" i="2"/>
  <c r="U249" i="2"/>
  <c r="S249" i="2"/>
  <c r="R249" i="2"/>
  <c r="Q249" i="2"/>
  <c r="P249" i="2"/>
  <c r="L249" i="2"/>
  <c r="K249" i="2"/>
  <c r="H249" i="2"/>
  <c r="G249" i="2"/>
  <c r="F249" i="2"/>
  <c r="Z248" i="2"/>
  <c r="V248" i="2"/>
  <c r="U248" i="2"/>
  <c r="S248" i="2"/>
  <c r="R248" i="2"/>
  <c r="Q248" i="2"/>
  <c r="P248" i="2"/>
  <c r="L248" i="2"/>
  <c r="K248" i="2"/>
  <c r="H248" i="2"/>
  <c r="G248" i="2"/>
  <c r="F248" i="2"/>
  <c r="Z247" i="2"/>
  <c r="V247" i="2"/>
  <c r="U247" i="2"/>
  <c r="S247" i="2"/>
  <c r="R247" i="2"/>
  <c r="Q247" i="2"/>
  <c r="P247" i="2"/>
  <c r="L247" i="2"/>
  <c r="K247" i="2"/>
  <c r="H247" i="2"/>
  <c r="G247" i="2"/>
  <c r="F247" i="2"/>
  <c r="Z246" i="2"/>
  <c r="V246" i="2"/>
  <c r="U246" i="2"/>
  <c r="S246" i="2"/>
  <c r="R246" i="2"/>
  <c r="Q246" i="2"/>
  <c r="P246" i="2"/>
  <c r="L246" i="2"/>
  <c r="K246" i="2"/>
  <c r="H246" i="2"/>
  <c r="G246" i="2"/>
  <c r="F246" i="2"/>
  <c r="Z245" i="2"/>
  <c r="V245" i="2"/>
  <c r="U245" i="2"/>
  <c r="S245" i="2"/>
  <c r="R245" i="2"/>
  <c r="Q245" i="2"/>
  <c r="P245" i="2"/>
  <c r="L245" i="2"/>
  <c r="K245" i="2"/>
  <c r="H245" i="2"/>
  <c r="G245" i="2"/>
  <c r="F245" i="2"/>
  <c r="Z244" i="2"/>
  <c r="V244" i="2"/>
  <c r="U244" i="2"/>
  <c r="S244" i="2"/>
  <c r="R244" i="2"/>
  <c r="Q244" i="2"/>
  <c r="P244" i="2"/>
  <c r="L244" i="2"/>
  <c r="K244" i="2"/>
  <c r="H244" i="2"/>
  <c r="G244" i="2"/>
  <c r="F244" i="2"/>
  <c r="Z243" i="2"/>
  <c r="V243" i="2"/>
  <c r="U243" i="2"/>
  <c r="S243" i="2"/>
  <c r="R243" i="2"/>
  <c r="Q243" i="2"/>
  <c r="P243" i="2"/>
  <c r="L243" i="2"/>
  <c r="K243" i="2"/>
  <c r="H243" i="2"/>
  <c r="G243" i="2"/>
  <c r="F243" i="2"/>
  <c r="Z242" i="2"/>
  <c r="V242" i="2"/>
  <c r="U242" i="2"/>
  <c r="S242" i="2"/>
  <c r="R242" i="2"/>
  <c r="Q242" i="2"/>
  <c r="P242" i="2"/>
  <c r="L242" i="2"/>
  <c r="K242" i="2"/>
  <c r="H242" i="2"/>
  <c r="G242" i="2"/>
  <c r="F242" i="2"/>
  <c r="Z241" i="2"/>
  <c r="V241" i="2"/>
  <c r="U241" i="2"/>
  <c r="S241" i="2"/>
  <c r="R241" i="2"/>
  <c r="Q241" i="2"/>
  <c r="P241" i="2"/>
  <c r="L241" i="2"/>
  <c r="K241" i="2"/>
  <c r="H241" i="2"/>
  <c r="G241" i="2"/>
  <c r="F241" i="2"/>
  <c r="Z240" i="2"/>
  <c r="V240" i="2"/>
  <c r="U240" i="2"/>
  <c r="S240" i="2"/>
  <c r="R240" i="2"/>
  <c r="Q240" i="2"/>
  <c r="P240" i="2"/>
  <c r="L240" i="2"/>
  <c r="K240" i="2"/>
  <c r="H240" i="2"/>
  <c r="G240" i="2"/>
  <c r="F240" i="2"/>
  <c r="Z239" i="2"/>
  <c r="V239" i="2"/>
  <c r="U239" i="2"/>
  <c r="S239" i="2"/>
  <c r="R239" i="2"/>
  <c r="Q239" i="2"/>
  <c r="P239" i="2"/>
  <c r="L239" i="2"/>
  <c r="K239" i="2"/>
  <c r="H239" i="2"/>
  <c r="G239" i="2"/>
  <c r="F239" i="2"/>
  <c r="Z238" i="2"/>
  <c r="V238" i="2"/>
  <c r="U238" i="2"/>
  <c r="S238" i="2"/>
  <c r="R238" i="2"/>
  <c r="Q238" i="2"/>
  <c r="P238" i="2"/>
  <c r="L238" i="2"/>
  <c r="K238" i="2"/>
  <c r="H238" i="2"/>
  <c r="G238" i="2"/>
  <c r="F238" i="2"/>
  <c r="Z237" i="2"/>
  <c r="V237" i="2"/>
  <c r="U237" i="2"/>
  <c r="S237" i="2"/>
  <c r="R237" i="2"/>
  <c r="Q237" i="2"/>
  <c r="P237" i="2"/>
  <c r="L237" i="2"/>
  <c r="K237" i="2"/>
  <c r="H237" i="2"/>
  <c r="G237" i="2"/>
  <c r="F237" i="2"/>
  <c r="Z236" i="2"/>
  <c r="V236" i="2"/>
  <c r="U236" i="2"/>
  <c r="S236" i="2"/>
  <c r="R236" i="2"/>
  <c r="Q236" i="2"/>
  <c r="P236" i="2"/>
  <c r="L236" i="2"/>
  <c r="K236" i="2"/>
  <c r="H236" i="2"/>
  <c r="G236" i="2"/>
  <c r="F236" i="2"/>
  <c r="Z235" i="2"/>
  <c r="V235" i="2"/>
  <c r="U235" i="2"/>
  <c r="S235" i="2"/>
  <c r="R235" i="2"/>
  <c r="Q235" i="2"/>
  <c r="P235" i="2"/>
  <c r="L235" i="2"/>
  <c r="K235" i="2"/>
  <c r="H235" i="2"/>
  <c r="G235" i="2"/>
  <c r="F235" i="2"/>
  <c r="Z234" i="2"/>
  <c r="V234" i="2"/>
  <c r="U234" i="2"/>
  <c r="S234" i="2"/>
  <c r="R234" i="2"/>
  <c r="Q234" i="2"/>
  <c r="P234" i="2"/>
  <c r="L234" i="2"/>
  <c r="K234" i="2"/>
  <c r="H234" i="2"/>
  <c r="G234" i="2"/>
  <c r="F234" i="2"/>
  <c r="Z233" i="2"/>
  <c r="V233" i="2"/>
  <c r="U233" i="2"/>
  <c r="S233" i="2"/>
  <c r="R233" i="2"/>
  <c r="Q233" i="2"/>
  <c r="P233" i="2"/>
  <c r="L233" i="2"/>
  <c r="K233" i="2"/>
  <c r="H233" i="2"/>
  <c r="G233" i="2"/>
  <c r="F233" i="2"/>
  <c r="Z232" i="2"/>
  <c r="V232" i="2"/>
  <c r="U232" i="2"/>
  <c r="S232" i="2"/>
  <c r="R232" i="2"/>
  <c r="Q232" i="2"/>
  <c r="P232" i="2"/>
  <c r="L232" i="2"/>
  <c r="K232" i="2"/>
  <c r="H232" i="2"/>
  <c r="G232" i="2"/>
  <c r="F232" i="2"/>
  <c r="Z231" i="2"/>
  <c r="V231" i="2"/>
  <c r="U231" i="2"/>
  <c r="S231" i="2"/>
  <c r="R231" i="2"/>
  <c r="Q231" i="2"/>
  <c r="P231" i="2"/>
  <c r="L231" i="2"/>
  <c r="K231" i="2"/>
  <c r="H231" i="2"/>
  <c r="G231" i="2"/>
  <c r="F231" i="2"/>
  <c r="Z230" i="2"/>
  <c r="V230" i="2"/>
  <c r="U230" i="2"/>
  <c r="S230" i="2"/>
  <c r="R230" i="2"/>
  <c r="Q230" i="2"/>
  <c r="P230" i="2"/>
  <c r="L230" i="2"/>
  <c r="K230" i="2"/>
  <c r="H230" i="2"/>
  <c r="G230" i="2"/>
  <c r="F230" i="2"/>
  <c r="Z229" i="2"/>
  <c r="V229" i="2"/>
  <c r="U229" i="2"/>
  <c r="S229" i="2"/>
  <c r="R229" i="2"/>
  <c r="Q229" i="2"/>
  <c r="P229" i="2"/>
  <c r="L229" i="2"/>
  <c r="K229" i="2"/>
  <c r="H229" i="2"/>
  <c r="G229" i="2"/>
  <c r="F229" i="2"/>
  <c r="Z228" i="2"/>
  <c r="V228" i="2"/>
  <c r="U228" i="2"/>
  <c r="S228" i="2"/>
  <c r="R228" i="2"/>
  <c r="Q228" i="2"/>
  <c r="P228" i="2"/>
  <c r="L228" i="2"/>
  <c r="K228" i="2"/>
  <c r="H228" i="2"/>
  <c r="G228" i="2"/>
  <c r="F228" i="2"/>
  <c r="Z227" i="2"/>
  <c r="V227" i="2"/>
  <c r="U227" i="2"/>
  <c r="S227" i="2"/>
  <c r="R227" i="2"/>
  <c r="Q227" i="2"/>
  <c r="P227" i="2"/>
  <c r="L227" i="2"/>
  <c r="K227" i="2"/>
  <c r="H227" i="2"/>
  <c r="G227" i="2"/>
  <c r="F227" i="2"/>
  <c r="Z226" i="2"/>
  <c r="V226" i="2"/>
  <c r="U226" i="2"/>
  <c r="S226" i="2"/>
  <c r="R226" i="2"/>
  <c r="Q226" i="2"/>
  <c r="P226" i="2"/>
  <c r="L226" i="2"/>
  <c r="K226" i="2"/>
  <c r="H226" i="2"/>
  <c r="G226" i="2"/>
  <c r="F226" i="2"/>
  <c r="Z225" i="2"/>
  <c r="V225" i="2"/>
  <c r="U225" i="2"/>
  <c r="S225" i="2"/>
  <c r="R225" i="2"/>
  <c r="Q225" i="2"/>
  <c r="P225" i="2"/>
  <c r="L225" i="2"/>
  <c r="K225" i="2"/>
  <c r="H225" i="2"/>
  <c r="G225" i="2"/>
  <c r="F225" i="2"/>
  <c r="Z224" i="2"/>
  <c r="V224" i="2"/>
  <c r="U224" i="2"/>
  <c r="S224" i="2"/>
  <c r="R224" i="2"/>
  <c r="Q224" i="2"/>
  <c r="P224" i="2"/>
  <c r="L224" i="2"/>
  <c r="K224" i="2"/>
  <c r="H224" i="2"/>
  <c r="G224" i="2"/>
  <c r="F224" i="2"/>
  <c r="Z223" i="2"/>
  <c r="V223" i="2"/>
  <c r="U223" i="2"/>
  <c r="S223" i="2"/>
  <c r="R223" i="2"/>
  <c r="Q223" i="2"/>
  <c r="P223" i="2"/>
  <c r="L223" i="2"/>
  <c r="K223" i="2"/>
  <c r="H223" i="2"/>
  <c r="G223" i="2"/>
  <c r="F223" i="2"/>
  <c r="Z222" i="2"/>
  <c r="V222" i="2"/>
  <c r="U222" i="2"/>
  <c r="S222" i="2"/>
  <c r="R222" i="2"/>
  <c r="Q222" i="2"/>
  <c r="P222" i="2"/>
  <c r="L222" i="2"/>
  <c r="K222" i="2"/>
  <c r="H222" i="2"/>
  <c r="G222" i="2"/>
  <c r="F222" i="2"/>
  <c r="Z221" i="2"/>
  <c r="V221" i="2"/>
  <c r="U221" i="2"/>
  <c r="S221" i="2"/>
  <c r="R221" i="2"/>
  <c r="Q221" i="2"/>
  <c r="P221" i="2"/>
  <c r="L221" i="2"/>
  <c r="K221" i="2"/>
  <c r="H221" i="2"/>
  <c r="G221" i="2"/>
  <c r="F221" i="2"/>
  <c r="Z220" i="2"/>
  <c r="V220" i="2"/>
  <c r="U220" i="2"/>
  <c r="S220" i="2"/>
  <c r="R220" i="2"/>
  <c r="Q220" i="2"/>
  <c r="P220" i="2"/>
  <c r="L220" i="2"/>
  <c r="K220" i="2"/>
  <c r="H220" i="2"/>
  <c r="G220" i="2"/>
  <c r="F220" i="2"/>
  <c r="Z219" i="2"/>
  <c r="V219" i="2"/>
  <c r="U219" i="2"/>
  <c r="S219" i="2"/>
  <c r="R219" i="2"/>
  <c r="Q219" i="2"/>
  <c r="P219" i="2"/>
  <c r="L219" i="2"/>
  <c r="K219" i="2"/>
  <c r="H219" i="2"/>
  <c r="G219" i="2"/>
  <c r="F219" i="2"/>
  <c r="Z218" i="2"/>
  <c r="V218" i="2"/>
  <c r="U218" i="2"/>
  <c r="S218" i="2"/>
  <c r="R218" i="2"/>
  <c r="Q218" i="2"/>
  <c r="P218" i="2"/>
  <c r="L218" i="2"/>
  <c r="K218" i="2"/>
  <c r="H218" i="2"/>
  <c r="G218" i="2"/>
  <c r="F218" i="2"/>
  <c r="Z217" i="2"/>
  <c r="V217" i="2"/>
  <c r="U217" i="2"/>
  <c r="S217" i="2"/>
  <c r="R217" i="2"/>
  <c r="Q217" i="2"/>
  <c r="P217" i="2"/>
  <c r="L217" i="2"/>
  <c r="K217" i="2"/>
  <c r="H217" i="2"/>
  <c r="G217" i="2"/>
  <c r="F217" i="2"/>
  <c r="Z216" i="2"/>
  <c r="V216" i="2"/>
  <c r="U216" i="2"/>
  <c r="S216" i="2"/>
  <c r="R216" i="2"/>
  <c r="Q216" i="2"/>
  <c r="P216" i="2"/>
  <c r="L216" i="2"/>
  <c r="K216" i="2"/>
  <c r="H216" i="2"/>
  <c r="G216" i="2"/>
  <c r="F216" i="2"/>
  <c r="Z215" i="2"/>
  <c r="V215" i="2"/>
  <c r="U215" i="2"/>
  <c r="S215" i="2"/>
  <c r="R215" i="2"/>
  <c r="Q215" i="2"/>
  <c r="P215" i="2"/>
  <c r="L215" i="2"/>
  <c r="K215" i="2"/>
  <c r="H215" i="2"/>
  <c r="G215" i="2"/>
  <c r="F215" i="2"/>
  <c r="Z214" i="2"/>
  <c r="V214" i="2"/>
  <c r="U214" i="2"/>
  <c r="S214" i="2"/>
  <c r="R214" i="2"/>
  <c r="Q214" i="2"/>
  <c r="P214" i="2"/>
  <c r="L214" i="2"/>
  <c r="K214" i="2"/>
  <c r="H214" i="2"/>
  <c r="G214" i="2"/>
  <c r="F214" i="2"/>
  <c r="Z213" i="2"/>
  <c r="V213" i="2"/>
  <c r="U213" i="2"/>
  <c r="S213" i="2"/>
  <c r="R213" i="2"/>
  <c r="Q213" i="2"/>
  <c r="P213" i="2"/>
  <c r="L213" i="2"/>
  <c r="K213" i="2"/>
  <c r="H213" i="2"/>
  <c r="G213" i="2"/>
  <c r="F213" i="2"/>
  <c r="Z212" i="2"/>
  <c r="V212" i="2"/>
  <c r="U212" i="2"/>
  <c r="S212" i="2"/>
  <c r="R212" i="2"/>
  <c r="Q212" i="2"/>
  <c r="P212" i="2"/>
  <c r="L212" i="2"/>
  <c r="K212" i="2"/>
  <c r="H212" i="2"/>
  <c r="G212" i="2"/>
  <c r="F212" i="2"/>
  <c r="Z211" i="2"/>
  <c r="V211" i="2"/>
  <c r="U211" i="2"/>
  <c r="S211" i="2"/>
  <c r="R211" i="2"/>
  <c r="Q211" i="2"/>
  <c r="P211" i="2"/>
  <c r="L211" i="2"/>
  <c r="K211" i="2"/>
  <c r="H211" i="2"/>
  <c r="G211" i="2"/>
  <c r="F211" i="2"/>
  <c r="Z210" i="2"/>
  <c r="V210" i="2"/>
  <c r="U210" i="2"/>
  <c r="S210" i="2"/>
  <c r="R210" i="2"/>
  <c r="Q210" i="2"/>
  <c r="P210" i="2"/>
  <c r="L210" i="2"/>
  <c r="K210" i="2"/>
  <c r="H210" i="2"/>
  <c r="G210" i="2"/>
  <c r="F210" i="2"/>
  <c r="Z209" i="2"/>
  <c r="V209" i="2"/>
  <c r="U209" i="2"/>
  <c r="S209" i="2"/>
  <c r="R209" i="2"/>
  <c r="Q209" i="2"/>
  <c r="P209" i="2"/>
  <c r="L209" i="2"/>
  <c r="K209" i="2"/>
  <c r="H209" i="2"/>
  <c r="G209" i="2"/>
  <c r="F209" i="2"/>
  <c r="Z208" i="2"/>
  <c r="V208" i="2"/>
  <c r="U208" i="2"/>
  <c r="S208" i="2"/>
  <c r="R208" i="2"/>
  <c r="Q208" i="2"/>
  <c r="P208" i="2"/>
  <c r="L208" i="2"/>
  <c r="K208" i="2"/>
  <c r="H208" i="2"/>
  <c r="G208" i="2"/>
  <c r="F208" i="2"/>
  <c r="Z207" i="2"/>
  <c r="V207" i="2"/>
  <c r="U207" i="2"/>
  <c r="S207" i="2"/>
  <c r="R207" i="2"/>
  <c r="Q207" i="2"/>
  <c r="P207" i="2"/>
  <c r="L207" i="2"/>
  <c r="K207" i="2"/>
  <c r="H207" i="2"/>
  <c r="G207" i="2"/>
  <c r="F207" i="2"/>
  <c r="Z206" i="2"/>
  <c r="V206" i="2"/>
  <c r="U206" i="2"/>
  <c r="S206" i="2"/>
  <c r="R206" i="2"/>
  <c r="Q206" i="2"/>
  <c r="P206" i="2"/>
  <c r="L206" i="2"/>
  <c r="K206" i="2"/>
  <c r="H206" i="2"/>
  <c r="G206" i="2"/>
  <c r="F206" i="2"/>
  <c r="Z205" i="2"/>
  <c r="V205" i="2"/>
  <c r="U205" i="2"/>
  <c r="S205" i="2"/>
  <c r="R205" i="2"/>
  <c r="Q205" i="2"/>
  <c r="P205" i="2"/>
  <c r="L205" i="2"/>
  <c r="K205" i="2"/>
  <c r="H205" i="2"/>
  <c r="G205" i="2"/>
  <c r="F205" i="2"/>
  <c r="Z204" i="2"/>
  <c r="V204" i="2"/>
  <c r="U204" i="2"/>
  <c r="S204" i="2"/>
  <c r="R204" i="2"/>
  <c r="Q204" i="2"/>
  <c r="P204" i="2"/>
  <c r="L204" i="2"/>
  <c r="K204" i="2"/>
  <c r="H204" i="2"/>
  <c r="G204" i="2"/>
  <c r="F204" i="2"/>
  <c r="Z203" i="2"/>
  <c r="V203" i="2"/>
  <c r="U203" i="2"/>
  <c r="S203" i="2"/>
  <c r="R203" i="2"/>
  <c r="Q203" i="2"/>
  <c r="P203" i="2"/>
  <c r="L203" i="2"/>
  <c r="K203" i="2"/>
  <c r="H203" i="2"/>
  <c r="G203" i="2"/>
  <c r="F203" i="2"/>
  <c r="Z202" i="2"/>
  <c r="V202" i="2"/>
  <c r="U202" i="2"/>
  <c r="S202" i="2"/>
  <c r="R202" i="2"/>
  <c r="Q202" i="2"/>
  <c r="P202" i="2"/>
  <c r="L202" i="2"/>
  <c r="K202" i="2"/>
  <c r="H202" i="2"/>
  <c r="G202" i="2"/>
  <c r="F202" i="2"/>
  <c r="Z201" i="2"/>
  <c r="V201" i="2"/>
  <c r="U201" i="2"/>
  <c r="S201" i="2"/>
  <c r="R201" i="2"/>
  <c r="Q201" i="2"/>
  <c r="P201" i="2"/>
  <c r="L201" i="2"/>
  <c r="K201" i="2"/>
  <c r="H201" i="2"/>
  <c r="G201" i="2"/>
  <c r="F201" i="2"/>
  <c r="Z200" i="2"/>
  <c r="V200" i="2"/>
  <c r="U200" i="2"/>
  <c r="S200" i="2"/>
  <c r="R200" i="2"/>
  <c r="Q200" i="2"/>
  <c r="P200" i="2"/>
  <c r="L200" i="2"/>
  <c r="K200" i="2"/>
  <c r="H200" i="2"/>
  <c r="G200" i="2"/>
  <c r="F200" i="2"/>
  <c r="Z199" i="2"/>
  <c r="V199" i="2"/>
  <c r="U199" i="2"/>
  <c r="S199" i="2"/>
  <c r="R199" i="2"/>
  <c r="Q199" i="2"/>
  <c r="P199" i="2"/>
  <c r="L199" i="2"/>
  <c r="K199" i="2"/>
  <c r="H199" i="2"/>
  <c r="G199" i="2"/>
  <c r="F199" i="2"/>
  <c r="Z198" i="2"/>
  <c r="V198" i="2"/>
  <c r="U198" i="2"/>
  <c r="S198" i="2"/>
  <c r="R198" i="2"/>
  <c r="Q198" i="2"/>
  <c r="P198" i="2"/>
  <c r="L198" i="2"/>
  <c r="K198" i="2"/>
  <c r="H198" i="2"/>
  <c r="G198" i="2"/>
  <c r="F198" i="2"/>
  <c r="Z197" i="2"/>
  <c r="V197" i="2"/>
  <c r="U197" i="2"/>
  <c r="S197" i="2"/>
  <c r="R197" i="2"/>
  <c r="Q197" i="2"/>
  <c r="P197" i="2"/>
  <c r="L197" i="2"/>
  <c r="K197" i="2"/>
  <c r="H197" i="2"/>
  <c r="G197" i="2"/>
  <c r="F197" i="2"/>
  <c r="Z196" i="2"/>
  <c r="V196" i="2"/>
  <c r="U196" i="2"/>
  <c r="S196" i="2"/>
  <c r="R196" i="2"/>
  <c r="Q196" i="2"/>
  <c r="P196" i="2"/>
  <c r="L196" i="2"/>
  <c r="K196" i="2"/>
  <c r="H196" i="2"/>
  <c r="G196" i="2"/>
  <c r="F196" i="2"/>
  <c r="Z195" i="2"/>
  <c r="V195" i="2"/>
  <c r="U195" i="2"/>
  <c r="S195" i="2"/>
  <c r="R195" i="2"/>
  <c r="Q195" i="2"/>
  <c r="P195" i="2"/>
  <c r="L195" i="2"/>
  <c r="K195" i="2"/>
  <c r="H195" i="2"/>
  <c r="G195" i="2"/>
  <c r="F195" i="2"/>
  <c r="Z194" i="2"/>
  <c r="V194" i="2"/>
  <c r="U194" i="2"/>
  <c r="S194" i="2"/>
  <c r="R194" i="2"/>
  <c r="Q194" i="2"/>
  <c r="P194" i="2"/>
  <c r="L194" i="2"/>
  <c r="K194" i="2"/>
  <c r="H194" i="2"/>
  <c r="G194" i="2"/>
  <c r="F194" i="2"/>
  <c r="Z193" i="2"/>
  <c r="V193" i="2"/>
  <c r="U193" i="2"/>
  <c r="S193" i="2"/>
  <c r="R193" i="2"/>
  <c r="Q193" i="2"/>
  <c r="P193" i="2"/>
  <c r="L193" i="2"/>
  <c r="K193" i="2"/>
  <c r="H193" i="2"/>
  <c r="G193" i="2"/>
  <c r="F193" i="2"/>
  <c r="Z192" i="2"/>
  <c r="V192" i="2"/>
  <c r="U192" i="2"/>
  <c r="S192" i="2"/>
  <c r="R192" i="2"/>
  <c r="Q192" i="2"/>
  <c r="P192" i="2"/>
  <c r="L192" i="2"/>
  <c r="K192" i="2"/>
  <c r="H192" i="2"/>
  <c r="G192" i="2"/>
  <c r="F192" i="2"/>
  <c r="Z191" i="2"/>
  <c r="V191" i="2"/>
  <c r="U191" i="2"/>
  <c r="S191" i="2"/>
  <c r="R191" i="2"/>
  <c r="Q191" i="2"/>
  <c r="P191" i="2"/>
  <c r="L191" i="2"/>
  <c r="K191" i="2"/>
  <c r="H191" i="2"/>
  <c r="G191" i="2"/>
  <c r="F191" i="2"/>
  <c r="Z190" i="2"/>
  <c r="V190" i="2"/>
  <c r="U190" i="2"/>
  <c r="S190" i="2"/>
  <c r="R190" i="2"/>
  <c r="Q190" i="2"/>
  <c r="P190" i="2"/>
  <c r="L190" i="2"/>
  <c r="K190" i="2"/>
  <c r="H190" i="2"/>
  <c r="G190" i="2"/>
  <c r="F190" i="2"/>
  <c r="Z189" i="2"/>
  <c r="V189" i="2"/>
  <c r="U189" i="2"/>
  <c r="S189" i="2"/>
  <c r="R189" i="2"/>
  <c r="Q189" i="2"/>
  <c r="P189" i="2"/>
  <c r="L189" i="2"/>
  <c r="K189" i="2"/>
  <c r="H189" i="2"/>
  <c r="G189" i="2"/>
  <c r="F189" i="2"/>
  <c r="Z188" i="2"/>
  <c r="V188" i="2"/>
  <c r="U188" i="2"/>
  <c r="S188" i="2"/>
  <c r="R188" i="2"/>
  <c r="Q188" i="2"/>
  <c r="P188" i="2"/>
  <c r="L188" i="2"/>
  <c r="K188" i="2"/>
  <c r="H188" i="2"/>
  <c r="G188" i="2"/>
  <c r="F188" i="2"/>
  <c r="Z187" i="2"/>
  <c r="V187" i="2"/>
  <c r="U187" i="2"/>
  <c r="S187" i="2"/>
  <c r="R187" i="2"/>
  <c r="Q187" i="2"/>
  <c r="P187" i="2"/>
  <c r="L187" i="2"/>
  <c r="K187" i="2"/>
  <c r="H187" i="2"/>
  <c r="G187" i="2"/>
  <c r="F187" i="2"/>
  <c r="Z186" i="2"/>
  <c r="V186" i="2"/>
  <c r="U186" i="2"/>
  <c r="S186" i="2"/>
  <c r="R186" i="2"/>
  <c r="Q186" i="2"/>
  <c r="P186" i="2"/>
  <c r="L186" i="2"/>
  <c r="K186" i="2"/>
  <c r="H186" i="2"/>
  <c r="G186" i="2"/>
  <c r="F186" i="2"/>
  <c r="Z185" i="2"/>
  <c r="V185" i="2"/>
  <c r="U185" i="2"/>
  <c r="S185" i="2"/>
  <c r="R185" i="2"/>
  <c r="Q185" i="2"/>
  <c r="P185" i="2"/>
  <c r="L185" i="2"/>
  <c r="K185" i="2"/>
  <c r="H185" i="2"/>
  <c r="G185" i="2"/>
  <c r="F185" i="2"/>
  <c r="Z184" i="2"/>
  <c r="V184" i="2"/>
  <c r="U184" i="2"/>
  <c r="S184" i="2"/>
  <c r="R184" i="2"/>
  <c r="Q184" i="2"/>
  <c r="P184" i="2"/>
  <c r="L184" i="2"/>
  <c r="K184" i="2"/>
  <c r="H184" i="2"/>
  <c r="G184" i="2"/>
  <c r="F184" i="2"/>
  <c r="Z183" i="2"/>
  <c r="V183" i="2"/>
  <c r="U183" i="2"/>
  <c r="S183" i="2"/>
  <c r="R183" i="2"/>
  <c r="Q183" i="2"/>
  <c r="P183" i="2"/>
  <c r="L183" i="2"/>
  <c r="K183" i="2"/>
  <c r="H183" i="2"/>
  <c r="G183" i="2"/>
  <c r="F183" i="2"/>
  <c r="Z182" i="2"/>
  <c r="V182" i="2"/>
  <c r="U182" i="2"/>
  <c r="S182" i="2"/>
  <c r="R182" i="2"/>
  <c r="Q182" i="2"/>
  <c r="P182" i="2"/>
  <c r="L182" i="2"/>
  <c r="K182" i="2"/>
  <c r="H182" i="2"/>
  <c r="G182" i="2"/>
  <c r="F182" i="2"/>
  <c r="Z181" i="2"/>
  <c r="V181" i="2"/>
  <c r="U181" i="2"/>
  <c r="S181" i="2"/>
  <c r="R181" i="2"/>
  <c r="Q181" i="2"/>
  <c r="P181" i="2"/>
  <c r="L181" i="2"/>
  <c r="K181" i="2"/>
  <c r="H181" i="2"/>
  <c r="G181" i="2"/>
  <c r="F181" i="2"/>
  <c r="Z180" i="2"/>
  <c r="V180" i="2"/>
  <c r="U180" i="2"/>
  <c r="S180" i="2"/>
  <c r="R180" i="2"/>
  <c r="Q180" i="2"/>
  <c r="P180" i="2"/>
  <c r="L180" i="2"/>
  <c r="K180" i="2"/>
  <c r="H180" i="2"/>
  <c r="G180" i="2"/>
  <c r="F180" i="2"/>
  <c r="Z179" i="2"/>
  <c r="V179" i="2"/>
  <c r="U179" i="2"/>
  <c r="S179" i="2"/>
  <c r="R179" i="2"/>
  <c r="Q179" i="2"/>
  <c r="P179" i="2"/>
  <c r="L179" i="2"/>
  <c r="K179" i="2"/>
  <c r="H179" i="2"/>
  <c r="G179" i="2"/>
  <c r="F179" i="2"/>
  <c r="Z178" i="2"/>
  <c r="V178" i="2"/>
  <c r="U178" i="2"/>
  <c r="S178" i="2"/>
  <c r="R178" i="2"/>
  <c r="Q178" i="2"/>
  <c r="P178" i="2"/>
  <c r="L178" i="2"/>
  <c r="K178" i="2"/>
  <c r="H178" i="2"/>
  <c r="G178" i="2"/>
  <c r="F178" i="2"/>
  <c r="Z177" i="2"/>
  <c r="V177" i="2"/>
  <c r="U177" i="2"/>
  <c r="S177" i="2"/>
  <c r="R177" i="2"/>
  <c r="Q177" i="2"/>
  <c r="P177" i="2"/>
  <c r="L177" i="2"/>
  <c r="K177" i="2"/>
  <c r="H177" i="2"/>
  <c r="G177" i="2"/>
  <c r="F177" i="2"/>
  <c r="Z176" i="2"/>
  <c r="V176" i="2"/>
  <c r="U176" i="2"/>
  <c r="S176" i="2"/>
  <c r="R176" i="2"/>
  <c r="Q176" i="2"/>
  <c r="P176" i="2"/>
  <c r="L176" i="2"/>
  <c r="K176" i="2"/>
  <c r="H176" i="2"/>
  <c r="G176" i="2"/>
  <c r="F176" i="2"/>
  <c r="Z175" i="2"/>
  <c r="V175" i="2"/>
  <c r="U175" i="2"/>
  <c r="S175" i="2"/>
  <c r="R175" i="2"/>
  <c r="Q175" i="2"/>
  <c r="P175" i="2"/>
  <c r="L175" i="2"/>
  <c r="K175" i="2"/>
  <c r="H175" i="2"/>
  <c r="G175" i="2"/>
  <c r="F175" i="2"/>
  <c r="Z174" i="2"/>
  <c r="V174" i="2"/>
  <c r="U174" i="2"/>
  <c r="S174" i="2"/>
  <c r="R174" i="2"/>
  <c r="Q174" i="2"/>
  <c r="P174" i="2"/>
  <c r="L174" i="2"/>
  <c r="K174" i="2"/>
  <c r="H174" i="2"/>
  <c r="G174" i="2"/>
  <c r="F174" i="2"/>
  <c r="Z173" i="2"/>
  <c r="V173" i="2"/>
  <c r="U173" i="2"/>
  <c r="S173" i="2"/>
  <c r="R173" i="2"/>
  <c r="Q173" i="2"/>
  <c r="P173" i="2"/>
  <c r="L173" i="2"/>
  <c r="K173" i="2"/>
  <c r="H173" i="2"/>
  <c r="G173" i="2"/>
  <c r="F173" i="2"/>
  <c r="Z172" i="2"/>
  <c r="V172" i="2"/>
  <c r="U172" i="2"/>
  <c r="S172" i="2"/>
  <c r="R172" i="2"/>
  <c r="Q172" i="2"/>
  <c r="P172" i="2"/>
  <c r="L172" i="2"/>
  <c r="K172" i="2"/>
  <c r="H172" i="2"/>
  <c r="G172" i="2"/>
  <c r="F172" i="2"/>
  <c r="Z171" i="2"/>
  <c r="V171" i="2"/>
  <c r="U171" i="2"/>
  <c r="S171" i="2"/>
  <c r="R171" i="2"/>
  <c r="Q171" i="2"/>
  <c r="P171" i="2"/>
  <c r="L171" i="2"/>
  <c r="K171" i="2"/>
  <c r="H171" i="2"/>
  <c r="G171" i="2"/>
  <c r="F171" i="2"/>
  <c r="Z170" i="2"/>
  <c r="V170" i="2"/>
  <c r="U170" i="2"/>
  <c r="S170" i="2"/>
  <c r="R170" i="2"/>
  <c r="Q170" i="2"/>
  <c r="P170" i="2"/>
  <c r="L170" i="2"/>
  <c r="K170" i="2"/>
  <c r="H170" i="2"/>
  <c r="G170" i="2"/>
  <c r="F170" i="2"/>
  <c r="Z169" i="2"/>
  <c r="V169" i="2"/>
  <c r="U169" i="2"/>
  <c r="S169" i="2"/>
  <c r="R169" i="2"/>
  <c r="Q169" i="2"/>
  <c r="P169" i="2"/>
  <c r="L169" i="2"/>
  <c r="K169" i="2"/>
  <c r="H169" i="2"/>
  <c r="G169" i="2"/>
  <c r="F169" i="2"/>
  <c r="Z168" i="2"/>
  <c r="V168" i="2"/>
  <c r="U168" i="2"/>
  <c r="S168" i="2"/>
  <c r="R168" i="2"/>
  <c r="Q168" i="2"/>
  <c r="P168" i="2"/>
  <c r="L168" i="2"/>
  <c r="K168" i="2"/>
  <c r="H168" i="2"/>
  <c r="G168" i="2"/>
  <c r="F168" i="2"/>
  <c r="Z167" i="2"/>
  <c r="V167" i="2"/>
  <c r="U167" i="2"/>
  <c r="S167" i="2"/>
  <c r="R167" i="2"/>
  <c r="Q167" i="2"/>
  <c r="P167" i="2"/>
  <c r="L167" i="2"/>
  <c r="K167" i="2"/>
  <c r="H167" i="2"/>
  <c r="G167" i="2"/>
  <c r="F167" i="2"/>
  <c r="Z166" i="2"/>
  <c r="V166" i="2"/>
  <c r="U166" i="2"/>
  <c r="S166" i="2"/>
  <c r="R166" i="2"/>
  <c r="Q166" i="2"/>
  <c r="P166" i="2"/>
  <c r="L166" i="2"/>
  <c r="K166" i="2"/>
  <c r="H166" i="2"/>
  <c r="G166" i="2"/>
  <c r="F166" i="2"/>
  <c r="Z165" i="2"/>
  <c r="V165" i="2"/>
  <c r="U165" i="2"/>
  <c r="S165" i="2"/>
  <c r="R165" i="2"/>
  <c r="Q165" i="2"/>
  <c r="P165" i="2"/>
  <c r="L165" i="2"/>
  <c r="K165" i="2"/>
  <c r="H165" i="2"/>
  <c r="G165" i="2"/>
  <c r="F165" i="2"/>
  <c r="Z164" i="2"/>
  <c r="V164" i="2"/>
  <c r="U164" i="2"/>
  <c r="S164" i="2"/>
  <c r="R164" i="2"/>
  <c r="Q164" i="2"/>
  <c r="P164" i="2"/>
  <c r="L164" i="2"/>
  <c r="K164" i="2"/>
  <c r="H164" i="2"/>
  <c r="G164" i="2"/>
  <c r="F164" i="2"/>
  <c r="Z163" i="2"/>
  <c r="V163" i="2"/>
  <c r="U163" i="2"/>
  <c r="S163" i="2"/>
  <c r="R163" i="2"/>
  <c r="Q163" i="2"/>
  <c r="P163" i="2"/>
  <c r="L163" i="2"/>
  <c r="K163" i="2"/>
  <c r="H163" i="2"/>
  <c r="G163" i="2"/>
  <c r="F163" i="2"/>
  <c r="Z162" i="2"/>
  <c r="V162" i="2"/>
  <c r="U162" i="2"/>
  <c r="S162" i="2"/>
  <c r="R162" i="2"/>
  <c r="Q162" i="2"/>
  <c r="P162" i="2"/>
  <c r="L162" i="2"/>
  <c r="K162" i="2"/>
  <c r="H162" i="2"/>
  <c r="G162" i="2"/>
  <c r="F162" i="2"/>
  <c r="Z161" i="2"/>
  <c r="V161" i="2"/>
  <c r="U161" i="2"/>
  <c r="S161" i="2"/>
  <c r="R161" i="2"/>
  <c r="Q161" i="2"/>
  <c r="P161" i="2"/>
  <c r="L161" i="2"/>
  <c r="K161" i="2"/>
  <c r="H161" i="2"/>
  <c r="G161" i="2"/>
  <c r="F161" i="2"/>
  <c r="Z160" i="2"/>
  <c r="V160" i="2"/>
  <c r="U160" i="2"/>
  <c r="S160" i="2"/>
  <c r="R160" i="2"/>
  <c r="Q160" i="2"/>
  <c r="P160" i="2"/>
  <c r="L160" i="2"/>
  <c r="K160" i="2"/>
  <c r="H160" i="2"/>
  <c r="G160" i="2"/>
  <c r="F160" i="2"/>
  <c r="Z159" i="2"/>
  <c r="V159" i="2"/>
  <c r="U159" i="2"/>
  <c r="S159" i="2"/>
  <c r="R159" i="2"/>
  <c r="Q159" i="2"/>
  <c r="P159" i="2"/>
  <c r="L159" i="2"/>
  <c r="K159" i="2"/>
  <c r="H159" i="2"/>
  <c r="G159" i="2"/>
  <c r="F159" i="2"/>
  <c r="Z158" i="2"/>
  <c r="V158" i="2"/>
  <c r="U158" i="2"/>
  <c r="S158" i="2"/>
  <c r="R158" i="2"/>
  <c r="Q158" i="2"/>
  <c r="P158" i="2"/>
  <c r="L158" i="2"/>
  <c r="K158" i="2"/>
  <c r="H158" i="2"/>
  <c r="G158" i="2"/>
  <c r="F158" i="2"/>
  <c r="Z157" i="2"/>
  <c r="V157" i="2"/>
  <c r="U157" i="2"/>
  <c r="S157" i="2"/>
  <c r="R157" i="2"/>
  <c r="Q157" i="2"/>
  <c r="P157" i="2"/>
  <c r="L157" i="2"/>
  <c r="K157" i="2"/>
  <c r="H157" i="2"/>
  <c r="G157" i="2"/>
  <c r="F157" i="2"/>
  <c r="Z156" i="2"/>
  <c r="V156" i="2"/>
  <c r="U156" i="2"/>
  <c r="S156" i="2"/>
  <c r="R156" i="2"/>
  <c r="Q156" i="2"/>
  <c r="P156" i="2"/>
  <c r="L156" i="2"/>
  <c r="K156" i="2"/>
  <c r="H156" i="2"/>
  <c r="G156" i="2"/>
  <c r="F156" i="2"/>
  <c r="Z155" i="2"/>
  <c r="V155" i="2"/>
  <c r="U155" i="2"/>
  <c r="S155" i="2"/>
  <c r="R155" i="2"/>
  <c r="Q155" i="2"/>
  <c r="P155" i="2"/>
  <c r="L155" i="2"/>
  <c r="K155" i="2"/>
  <c r="H155" i="2"/>
  <c r="G155" i="2"/>
  <c r="F155" i="2"/>
  <c r="Z154" i="2"/>
  <c r="V154" i="2"/>
  <c r="U154" i="2"/>
  <c r="S154" i="2"/>
  <c r="R154" i="2"/>
  <c r="Q154" i="2"/>
  <c r="P154" i="2"/>
  <c r="L154" i="2"/>
  <c r="K154" i="2"/>
  <c r="H154" i="2"/>
  <c r="G154" i="2"/>
  <c r="F154" i="2"/>
  <c r="Z153" i="2"/>
  <c r="V153" i="2"/>
  <c r="U153" i="2"/>
  <c r="S153" i="2"/>
  <c r="R153" i="2"/>
  <c r="Q153" i="2"/>
  <c r="P153" i="2"/>
  <c r="L153" i="2"/>
  <c r="K153" i="2"/>
  <c r="H153" i="2"/>
  <c r="G153" i="2"/>
  <c r="F153" i="2"/>
  <c r="Z152" i="2"/>
  <c r="V152" i="2"/>
  <c r="U152" i="2"/>
  <c r="S152" i="2"/>
  <c r="R152" i="2"/>
  <c r="Q152" i="2"/>
  <c r="P152" i="2"/>
  <c r="L152" i="2"/>
  <c r="K152" i="2"/>
  <c r="H152" i="2"/>
  <c r="G152" i="2"/>
  <c r="F152" i="2"/>
  <c r="Z151" i="2"/>
  <c r="V151" i="2"/>
  <c r="U151" i="2"/>
  <c r="S151" i="2"/>
  <c r="R151" i="2"/>
  <c r="Q151" i="2"/>
  <c r="P151" i="2"/>
  <c r="L151" i="2"/>
  <c r="K151" i="2"/>
  <c r="H151" i="2"/>
  <c r="G151" i="2"/>
  <c r="F151" i="2"/>
  <c r="Z150" i="2"/>
  <c r="V150" i="2"/>
  <c r="U150" i="2"/>
  <c r="S150" i="2"/>
  <c r="R150" i="2"/>
  <c r="Q150" i="2"/>
  <c r="P150" i="2"/>
  <c r="L150" i="2"/>
  <c r="K150" i="2"/>
  <c r="H150" i="2"/>
  <c r="G150" i="2"/>
  <c r="F150" i="2"/>
  <c r="Z149" i="2"/>
  <c r="V149" i="2"/>
  <c r="U149" i="2"/>
  <c r="S149" i="2"/>
  <c r="R149" i="2"/>
  <c r="Q149" i="2"/>
  <c r="P149" i="2"/>
  <c r="L149" i="2"/>
  <c r="K149" i="2"/>
  <c r="H149" i="2"/>
  <c r="G149" i="2"/>
  <c r="F149" i="2"/>
  <c r="Z148" i="2"/>
  <c r="V148" i="2"/>
  <c r="U148" i="2"/>
  <c r="S148" i="2"/>
  <c r="R148" i="2"/>
  <c r="Q148" i="2"/>
  <c r="P148" i="2"/>
  <c r="L148" i="2"/>
  <c r="K148" i="2"/>
  <c r="H148" i="2"/>
  <c r="G148" i="2"/>
  <c r="F148" i="2"/>
  <c r="Z147" i="2"/>
  <c r="V147" i="2"/>
  <c r="U147" i="2"/>
  <c r="S147" i="2"/>
  <c r="R147" i="2"/>
  <c r="Q147" i="2"/>
  <c r="P147" i="2"/>
  <c r="L147" i="2"/>
  <c r="K147" i="2"/>
  <c r="H147" i="2"/>
  <c r="G147" i="2"/>
  <c r="F147" i="2"/>
  <c r="Z146" i="2"/>
  <c r="V146" i="2"/>
  <c r="U146" i="2"/>
  <c r="S146" i="2"/>
  <c r="R146" i="2"/>
  <c r="Q146" i="2"/>
  <c r="P146" i="2"/>
  <c r="L146" i="2"/>
  <c r="K146" i="2"/>
  <c r="H146" i="2"/>
  <c r="G146" i="2"/>
  <c r="F146" i="2"/>
  <c r="Z145" i="2"/>
  <c r="V145" i="2"/>
  <c r="U145" i="2"/>
  <c r="S145" i="2"/>
  <c r="R145" i="2"/>
  <c r="Q145" i="2"/>
  <c r="P145" i="2"/>
  <c r="L145" i="2"/>
  <c r="K145" i="2"/>
  <c r="H145" i="2"/>
  <c r="G145" i="2"/>
  <c r="F145" i="2"/>
  <c r="Z144" i="2"/>
  <c r="V144" i="2"/>
  <c r="U144" i="2"/>
  <c r="S144" i="2"/>
  <c r="R144" i="2"/>
  <c r="Q144" i="2"/>
  <c r="P144" i="2"/>
  <c r="L144" i="2"/>
  <c r="K144" i="2"/>
  <c r="H144" i="2"/>
  <c r="G144" i="2"/>
  <c r="F144" i="2"/>
  <c r="Z143" i="2"/>
  <c r="V143" i="2"/>
  <c r="U143" i="2"/>
  <c r="S143" i="2"/>
  <c r="R143" i="2"/>
  <c r="Q143" i="2"/>
  <c r="P143" i="2"/>
  <c r="L143" i="2"/>
  <c r="K143" i="2"/>
  <c r="H143" i="2"/>
  <c r="G143" i="2"/>
  <c r="F143" i="2"/>
  <c r="Z142" i="2"/>
  <c r="V142" i="2"/>
  <c r="U142" i="2"/>
  <c r="S142" i="2"/>
  <c r="R142" i="2"/>
  <c r="Q142" i="2"/>
  <c r="P142" i="2"/>
  <c r="L142" i="2"/>
  <c r="K142" i="2"/>
  <c r="H142" i="2"/>
  <c r="G142" i="2"/>
  <c r="F142" i="2"/>
  <c r="Z141" i="2"/>
  <c r="V141" i="2"/>
  <c r="U141" i="2"/>
  <c r="S141" i="2"/>
  <c r="R141" i="2"/>
  <c r="Q141" i="2"/>
  <c r="P141" i="2"/>
  <c r="L141" i="2"/>
  <c r="K141" i="2"/>
  <c r="H141" i="2"/>
  <c r="G141" i="2"/>
  <c r="F141" i="2"/>
  <c r="Z140" i="2"/>
  <c r="V140" i="2"/>
  <c r="U140" i="2"/>
  <c r="S140" i="2"/>
  <c r="R140" i="2"/>
  <c r="Q140" i="2"/>
  <c r="P140" i="2"/>
  <c r="L140" i="2"/>
  <c r="K140" i="2"/>
  <c r="H140" i="2"/>
  <c r="G140" i="2"/>
  <c r="F140" i="2"/>
  <c r="Z139" i="2"/>
  <c r="V139" i="2"/>
  <c r="U139" i="2"/>
  <c r="S139" i="2"/>
  <c r="R139" i="2"/>
  <c r="Q139" i="2"/>
  <c r="P139" i="2"/>
  <c r="L139" i="2"/>
  <c r="K139" i="2"/>
  <c r="H139" i="2"/>
  <c r="G139" i="2"/>
  <c r="F139" i="2"/>
  <c r="Z138" i="2"/>
  <c r="V138" i="2"/>
  <c r="U138" i="2"/>
  <c r="S138" i="2"/>
  <c r="R138" i="2"/>
  <c r="Q138" i="2"/>
  <c r="P138" i="2"/>
  <c r="L138" i="2"/>
  <c r="K138" i="2"/>
  <c r="H138" i="2"/>
  <c r="G138" i="2"/>
  <c r="F138" i="2"/>
  <c r="Z137" i="2"/>
  <c r="V137" i="2"/>
  <c r="U137" i="2"/>
  <c r="S137" i="2"/>
  <c r="R137" i="2"/>
  <c r="Q137" i="2"/>
  <c r="P137" i="2"/>
  <c r="L137" i="2"/>
  <c r="K137" i="2"/>
  <c r="H137" i="2"/>
  <c r="G137" i="2"/>
  <c r="F137" i="2"/>
  <c r="Z136" i="2"/>
  <c r="V136" i="2"/>
  <c r="U136" i="2"/>
  <c r="S136" i="2"/>
  <c r="R136" i="2"/>
  <c r="Q136" i="2"/>
  <c r="P136" i="2"/>
  <c r="L136" i="2"/>
  <c r="K136" i="2"/>
  <c r="H136" i="2"/>
  <c r="G136" i="2"/>
  <c r="F136" i="2"/>
  <c r="Z135" i="2"/>
  <c r="V135" i="2"/>
  <c r="U135" i="2"/>
  <c r="S135" i="2"/>
  <c r="R135" i="2"/>
  <c r="Q135" i="2"/>
  <c r="P135" i="2"/>
  <c r="L135" i="2"/>
  <c r="K135" i="2"/>
  <c r="H135" i="2"/>
  <c r="G135" i="2"/>
  <c r="F135" i="2"/>
  <c r="Z134" i="2"/>
  <c r="V134" i="2"/>
  <c r="U134" i="2"/>
  <c r="S134" i="2"/>
  <c r="R134" i="2"/>
  <c r="Q134" i="2"/>
  <c r="P134" i="2"/>
  <c r="L134" i="2"/>
  <c r="K134" i="2"/>
  <c r="H134" i="2"/>
  <c r="G134" i="2"/>
  <c r="F134" i="2"/>
  <c r="Z133" i="2"/>
  <c r="V133" i="2"/>
  <c r="U133" i="2"/>
  <c r="S133" i="2"/>
  <c r="R133" i="2"/>
  <c r="Q133" i="2"/>
  <c r="P133" i="2"/>
  <c r="L133" i="2"/>
  <c r="K133" i="2"/>
  <c r="H133" i="2"/>
  <c r="G133" i="2"/>
  <c r="F133" i="2"/>
  <c r="Z132" i="2"/>
  <c r="V132" i="2"/>
  <c r="U132" i="2"/>
  <c r="S132" i="2"/>
  <c r="R132" i="2"/>
  <c r="Q132" i="2"/>
  <c r="P132" i="2"/>
  <c r="L132" i="2"/>
  <c r="K132" i="2"/>
  <c r="H132" i="2"/>
  <c r="G132" i="2"/>
  <c r="F132" i="2"/>
  <c r="Z131" i="2"/>
  <c r="V131" i="2"/>
  <c r="U131" i="2"/>
  <c r="S131" i="2"/>
  <c r="R131" i="2"/>
  <c r="Q131" i="2"/>
  <c r="P131" i="2"/>
  <c r="L131" i="2"/>
  <c r="K131" i="2"/>
  <c r="H131" i="2"/>
  <c r="G131" i="2"/>
  <c r="F131" i="2"/>
  <c r="Z130" i="2"/>
  <c r="V130" i="2"/>
  <c r="U130" i="2"/>
  <c r="S130" i="2"/>
  <c r="R130" i="2"/>
  <c r="Q130" i="2"/>
  <c r="P130" i="2"/>
  <c r="L130" i="2"/>
  <c r="K130" i="2"/>
  <c r="H130" i="2"/>
  <c r="G130" i="2"/>
  <c r="F130" i="2"/>
  <c r="Z129" i="2"/>
  <c r="V129" i="2"/>
  <c r="U129" i="2"/>
  <c r="S129" i="2"/>
  <c r="R129" i="2"/>
  <c r="Q129" i="2"/>
  <c r="P129" i="2"/>
  <c r="L129" i="2"/>
  <c r="K129" i="2"/>
  <c r="H129" i="2"/>
  <c r="G129" i="2"/>
  <c r="F129" i="2"/>
  <c r="Z128" i="2"/>
  <c r="V128" i="2"/>
  <c r="U128" i="2"/>
  <c r="S128" i="2"/>
  <c r="R128" i="2"/>
  <c r="Q128" i="2"/>
  <c r="P128" i="2"/>
  <c r="L128" i="2"/>
  <c r="K128" i="2"/>
  <c r="H128" i="2"/>
  <c r="G128" i="2"/>
  <c r="F128" i="2"/>
  <c r="Z127" i="2"/>
  <c r="V127" i="2"/>
  <c r="U127" i="2"/>
  <c r="S127" i="2"/>
  <c r="R127" i="2"/>
  <c r="Q127" i="2"/>
  <c r="P127" i="2"/>
  <c r="L127" i="2"/>
  <c r="K127" i="2"/>
  <c r="H127" i="2"/>
  <c r="G127" i="2"/>
  <c r="F127" i="2"/>
  <c r="Z126" i="2"/>
  <c r="V126" i="2"/>
  <c r="U126" i="2"/>
  <c r="S126" i="2"/>
  <c r="R126" i="2"/>
  <c r="Q126" i="2"/>
  <c r="P126" i="2"/>
  <c r="L126" i="2"/>
  <c r="K126" i="2"/>
  <c r="H126" i="2"/>
  <c r="G126" i="2"/>
  <c r="F126" i="2"/>
  <c r="Z125" i="2"/>
  <c r="V125" i="2"/>
  <c r="U125" i="2"/>
  <c r="S125" i="2"/>
  <c r="R125" i="2"/>
  <c r="Q125" i="2"/>
  <c r="P125" i="2"/>
  <c r="L125" i="2"/>
  <c r="K125" i="2"/>
  <c r="H125" i="2"/>
  <c r="G125" i="2"/>
  <c r="F125" i="2"/>
  <c r="Z124" i="2"/>
  <c r="V124" i="2"/>
  <c r="U124" i="2"/>
  <c r="S124" i="2"/>
  <c r="R124" i="2"/>
  <c r="Q124" i="2"/>
  <c r="P124" i="2"/>
  <c r="L124" i="2"/>
  <c r="K124" i="2"/>
  <c r="H124" i="2"/>
  <c r="G124" i="2"/>
  <c r="F124" i="2"/>
  <c r="Z123" i="2"/>
  <c r="V123" i="2"/>
  <c r="U123" i="2"/>
  <c r="S123" i="2"/>
  <c r="R123" i="2"/>
  <c r="Q123" i="2"/>
  <c r="P123" i="2"/>
  <c r="L123" i="2"/>
  <c r="K123" i="2"/>
  <c r="H123" i="2"/>
  <c r="G123" i="2"/>
  <c r="F123" i="2"/>
  <c r="Z122" i="2"/>
  <c r="V122" i="2"/>
  <c r="U122" i="2"/>
  <c r="S122" i="2"/>
  <c r="R122" i="2"/>
  <c r="Q122" i="2"/>
  <c r="P122" i="2"/>
  <c r="L122" i="2"/>
  <c r="K122" i="2"/>
  <c r="H122" i="2"/>
  <c r="G122" i="2"/>
  <c r="F122" i="2"/>
  <c r="Z121" i="2"/>
  <c r="V121" i="2"/>
  <c r="U121" i="2"/>
  <c r="S121" i="2"/>
  <c r="R121" i="2"/>
  <c r="Q121" i="2"/>
  <c r="P121" i="2"/>
  <c r="L121" i="2"/>
  <c r="K121" i="2"/>
  <c r="H121" i="2"/>
  <c r="G121" i="2"/>
  <c r="F121" i="2"/>
  <c r="Z120" i="2"/>
  <c r="V120" i="2"/>
  <c r="U120" i="2"/>
  <c r="S120" i="2"/>
  <c r="R120" i="2"/>
  <c r="Q120" i="2"/>
  <c r="P120" i="2"/>
  <c r="L120" i="2"/>
  <c r="K120" i="2"/>
  <c r="H120" i="2"/>
  <c r="G120" i="2"/>
  <c r="F120" i="2"/>
  <c r="Z119" i="2"/>
  <c r="V119" i="2"/>
  <c r="U119" i="2"/>
  <c r="S119" i="2"/>
  <c r="R119" i="2"/>
  <c r="Q119" i="2"/>
  <c r="P119" i="2"/>
  <c r="L119" i="2"/>
  <c r="K119" i="2"/>
  <c r="H119" i="2"/>
  <c r="G119" i="2"/>
  <c r="F119" i="2"/>
  <c r="Z118" i="2"/>
  <c r="V118" i="2"/>
  <c r="U118" i="2"/>
  <c r="S118" i="2"/>
  <c r="R118" i="2"/>
  <c r="Q118" i="2"/>
  <c r="P118" i="2"/>
  <c r="L118" i="2"/>
  <c r="K118" i="2"/>
  <c r="H118" i="2"/>
  <c r="G118" i="2"/>
  <c r="F118" i="2"/>
  <c r="Z117" i="2"/>
  <c r="V117" i="2"/>
  <c r="U117" i="2"/>
  <c r="S117" i="2"/>
  <c r="R117" i="2"/>
  <c r="Q117" i="2"/>
  <c r="P117" i="2"/>
  <c r="L117" i="2"/>
  <c r="K117" i="2"/>
  <c r="H117" i="2"/>
  <c r="G117" i="2"/>
  <c r="F117" i="2"/>
  <c r="Z116" i="2"/>
  <c r="V116" i="2"/>
  <c r="U116" i="2"/>
  <c r="S116" i="2"/>
  <c r="R116" i="2"/>
  <c r="Q116" i="2"/>
  <c r="P116" i="2"/>
  <c r="L116" i="2"/>
  <c r="K116" i="2"/>
  <c r="H116" i="2"/>
  <c r="G116" i="2"/>
  <c r="F116" i="2"/>
  <c r="Z115" i="2"/>
  <c r="V115" i="2"/>
  <c r="U115" i="2"/>
  <c r="S115" i="2"/>
  <c r="R115" i="2"/>
  <c r="Q115" i="2"/>
  <c r="P115" i="2"/>
  <c r="L115" i="2"/>
  <c r="K115" i="2"/>
  <c r="H115" i="2"/>
  <c r="G115" i="2"/>
  <c r="F115" i="2"/>
  <c r="Z114" i="2"/>
  <c r="V114" i="2"/>
  <c r="U114" i="2"/>
  <c r="S114" i="2"/>
  <c r="R114" i="2"/>
  <c r="Q114" i="2"/>
  <c r="P114" i="2"/>
  <c r="L114" i="2"/>
  <c r="K114" i="2"/>
  <c r="H114" i="2"/>
  <c r="G114" i="2"/>
  <c r="F114" i="2"/>
  <c r="Z113" i="2"/>
  <c r="V113" i="2"/>
  <c r="U113" i="2"/>
  <c r="S113" i="2"/>
  <c r="R113" i="2"/>
  <c r="Q113" i="2"/>
  <c r="P113" i="2"/>
  <c r="L113" i="2"/>
  <c r="K113" i="2"/>
  <c r="H113" i="2"/>
  <c r="G113" i="2"/>
  <c r="F113" i="2"/>
  <c r="Z112" i="2"/>
  <c r="V112" i="2"/>
  <c r="U112" i="2"/>
  <c r="S112" i="2"/>
  <c r="R112" i="2"/>
  <c r="Q112" i="2"/>
  <c r="P112" i="2"/>
  <c r="L112" i="2"/>
  <c r="K112" i="2"/>
  <c r="H112" i="2"/>
  <c r="G112" i="2"/>
  <c r="F112" i="2"/>
  <c r="Z111" i="2"/>
  <c r="V111" i="2"/>
  <c r="U111" i="2"/>
  <c r="S111" i="2"/>
  <c r="R111" i="2"/>
  <c r="Q111" i="2"/>
  <c r="P111" i="2"/>
  <c r="L111" i="2"/>
  <c r="K111" i="2"/>
  <c r="H111" i="2"/>
  <c r="G111" i="2"/>
  <c r="F111" i="2"/>
  <c r="Z110" i="2"/>
  <c r="V110" i="2"/>
  <c r="U110" i="2"/>
  <c r="S110" i="2"/>
  <c r="R110" i="2"/>
  <c r="Q110" i="2"/>
  <c r="P110" i="2"/>
  <c r="L110" i="2"/>
  <c r="K110" i="2"/>
  <c r="H110" i="2"/>
  <c r="G110" i="2"/>
  <c r="F110" i="2"/>
  <c r="Z109" i="2"/>
  <c r="V109" i="2"/>
  <c r="U109" i="2"/>
  <c r="S109" i="2"/>
  <c r="R109" i="2"/>
  <c r="Q109" i="2"/>
  <c r="P109" i="2"/>
  <c r="L109" i="2"/>
  <c r="K109" i="2"/>
  <c r="H109" i="2"/>
  <c r="G109" i="2"/>
  <c r="F109" i="2"/>
  <c r="Z108" i="2"/>
  <c r="V108" i="2"/>
  <c r="U108" i="2"/>
  <c r="S108" i="2"/>
  <c r="R108" i="2"/>
  <c r="Q108" i="2"/>
  <c r="P108" i="2"/>
  <c r="L108" i="2"/>
  <c r="K108" i="2"/>
  <c r="H108" i="2"/>
  <c r="G108" i="2"/>
  <c r="F108" i="2"/>
  <c r="Z107" i="2"/>
  <c r="V107" i="2"/>
  <c r="U107" i="2"/>
  <c r="S107" i="2"/>
  <c r="R107" i="2"/>
  <c r="Q107" i="2"/>
  <c r="P107" i="2"/>
  <c r="L107" i="2"/>
  <c r="K107" i="2"/>
  <c r="H107" i="2"/>
  <c r="G107" i="2"/>
  <c r="F107" i="2"/>
  <c r="Z106" i="2"/>
  <c r="V106" i="2"/>
  <c r="U106" i="2"/>
  <c r="S106" i="2"/>
  <c r="R106" i="2"/>
  <c r="Q106" i="2"/>
  <c r="P106" i="2"/>
  <c r="L106" i="2"/>
  <c r="K106" i="2"/>
  <c r="H106" i="2"/>
  <c r="G106" i="2"/>
  <c r="F106" i="2"/>
  <c r="Z105" i="2"/>
  <c r="V105" i="2"/>
  <c r="U105" i="2"/>
  <c r="S105" i="2"/>
  <c r="R105" i="2"/>
  <c r="Q105" i="2"/>
  <c r="P105" i="2"/>
  <c r="L105" i="2"/>
  <c r="K105" i="2"/>
  <c r="H105" i="2"/>
  <c r="G105" i="2"/>
  <c r="F105" i="2"/>
  <c r="Z104" i="2"/>
  <c r="V104" i="2"/>
  <c r="U104" i="2"/>
  <c r="S104" i="2"/>
  <c r="R104" i="2"/>
  <c r="Q104" i="2"/>
  <c r="P104" i="2"/>
  <c r="L104" i="2"/>
  <c r="K104" i="2"/>
  <c r="H104" i="2"/>
  <c r="G104" i="2"/>
  <c r="F104" i="2"/>
  <c r="Z103" i="2"/>
  <c r="V103" i="2"/>
  <c r="U103" i="2"/>
  <c r="S103" i="2"/>
  <c r="R103" i="2"/>
  <c r="Q103" i="2"/>
  <c r="P103" i="2"/>
  <c r="L103" i="2"/>
  <c r="K103" i="2"/>
  <c r="H103" i="2"/>
  <c r="G103" i="2"/>
  <c r="F103" i="2"/>
  <c r="Z102" i="2"/>
  <c r="V102" i="2"/>
  <c r="U102" i="2"/>
  <c r="S102" i="2"/>
  <c r="R102" i="2"/>
  <c r="Q102" i="2"/>
  <c r="P102" i="2"/>
  <c r="L102" i="2"/>
  <c r="K102" i="2"/>
  <c r="H102" i="2"/>
  <c r="G102" i="2"/>
  <c r="F102" i="2"/>
  <c r="Z101" i="2"/>
  <c r="V101" i="2"/>
  <c r="U101" i="2"/>
  <c r="S101" i="2"/>
  <c r="R101" i="2"/>
  <c r="Q101" i="2"/>
  <c r="P101" i="2"/>
  <c r="L101" i="2"/>
  <c r="K101" i="2"/>
  <c r="H101" i="2"/>
  <c r="G101" i="2"/>
  <c r="F101" i="2"/>
  <c r="Z100" i="2"/>
  <c r="V100" i="2"/>
  <c r="U100" i="2"/>
  <c r="S100" i="2"/>
  <c r="R100" i="2"/>
  <c r="Q100" i="2"/>
  <c r="P100" i="2"/>
  <c r="L100" i="2"/>
  <c r="K100" i="2"/>
  <c r="H100" i="2"/>
  <c r="G100" i="2"/>
  <c r="F100" i="2"/>
  <c r="Z99" i="2"/>
  <c r="V99" i="2"/>
  <c r="U99" i="2"/>
  <c r="S99" i="2"/>
  <c r="R99" i="2"/>
  <c r="Q99" i="2"/>
  <c r="P99" i="2"/>
  <c r="L99" i="2"/>
  <c r="K99" i="2"/>
  <c r="H99" i="2"/>
  <c r="G99" i="2"/>
  <c r="F99" i="2"/>
  <c r="Z98" i="2"/>
  <c r="V98" i="2"/>
  <c r="U98" i="2"/>
  <c r="S98" i="2"/>
  <c r="R98" i="2"/>
  <c r="Q98" i="2"/>
  <c r="P98" i="2"/>
  <c r="L98" i="2"/>
  <c r="K98" i="2"/>
  <c r="H98" i="2"/>
  <c r="G98" i="2"/>
  <c r="F98" i="2"/>
  <c r="Z97" i="2"/>
  <c r="V97" i="2"/>
  <c r="U97" i="2"/>
  <c r="S97" i="2"/>
  <c r="R97" i="2"/>
  <c r="Q97" i="2"/>
  <c r="P97" i="2"/>
  <c r="L97" i="2"/>
  <c r="K97" i="2"/>
  <c r="H97" i="2"/>
  <c r="G97" i="2"/>
  <c r="F97" i="2"/>
  <c r="Z96" i="2"/>
  <c r="V96" i="2"/>
  <c r="U96" i="2"/>
  <c r="S96" i="2"/>
  <c r="R96" i="2"/>
  <c r="Q96" i="2"/>
  <c r="P96" i="2"/>
  <c r="L96" i="2"/>
  <c r="K96" i="2"/>
  <c r="H96" i="2"/>
  <c r="G96" i="2"/>
  <c r="F96" i="2"/>
  <c r="Z95" i="2"/>
  <c r="V95" i="2"/>
  <c r="U95" i="2"/>
  <c r="S95" i="2"/>
  <c r="R95" i="2"/>
  <c r="Q95" i="2"/>
  <c r="P95" i="2"/>
  <c r="L95" i="2"/>
  <c r="K95" i="2"/>
  <c r="H95" i="2"/>
  <c r="G95" i="2"/>
  <c r="F95" i="2"/>
  <c r="Z94" i="2"/>
  <c r="V94" i="2"/>
  <c r="U94" i="2"/>
  <c r="S94" i="2"/>
  <c r="R94" i="2"/>
  <c r="Q94" i="2"/>
  <c r="P94" i="2"/>
  <c r="L94" i="2"/>
  <c r="K94" i="2"/>
  <c r="H94" i="2"/>
  <c r="G94" i="2"/>
  <c r="F94" i="2"/>
  <c r="Z93" i="2"/>
  <c r="V93" i="2"/>
  <c r="U93" i="2"/>
  <c r="S93" i="2"/>
  <c r="R93" i="2"/>
  <c r="Q93" i="2"/>
  <c r="P93" i="2"/>
  <c r="L93" i="2"/>
  <c r="K93" i="2"/>
  <c r="H93" i="2"/>
  <c r="G93" i="2"/>
  <c r="F93" i="2"/>
  <c r="Z92" i="2"/>
  <c r="V92" i="2"/>
  <c r="U92" i="2"/>
  <c r="S92" i="2"/>
  <c r="R92" i="2"/>
  <c r="Q92" i="2"/>
  <c r="P92" i="2"/>
  <c r="L92" i="2"/>
  <c r="K92" i="2"/>
  <c r="H92" i="2"/>
  <c r="G92" i="2"/>
  <c r="F92" i="2"/>
  <c r="Z91" i="2"/>
  <c r="V91" i="2"/>
  <c r="U91" i="2"/>
  <c r="S91" i="2"/>
  <c r="R91" i="2"/>
  <c r="Q91" i="2"/>
  <c r="P91" i="2"/>
  <c r="L91" i="2"/>
  <c r="K91" i="2"/>
  <c r="H91" i="2"/>
  <c r="G91" i="2"/>
  <c r="F91" i="2"/>
  <c r="Z90" i="2"/>
  <c r="V90" i="2"/>
  <c r="U90" i="2"/>
  <c r="S90" i="2"/>
  <c r="R90" i="2"/>
  <c r="Q90" i="2"/>
  <c r="P90" i="2"/>
  <c r="L90" i="2"/>
  <c r="K90" i="2"/>
  <c r="H90" i="2"/>
  <c r="G90" i="2"/>
  <c r="F90" i="2"/>
  <c r="Z89" i="2"/>
  <c r="V89" i="2"/>
  <c r="U89" i="2"/>
  <c r="S89" i="2"/>
  <c r="R89" i="2"/>
  <c r="Q89" i="2"/>
  <c r="P89" i="2"/>
  <c r="L89" i="2"/>
  <c r="K89" i="2"/>
  <c r="H89" i="2"/>
  <c r="G89" i="2"/>
  <c r="F89" i="2"/>
  <c r="Z88" i="2"/>
  <c r="V88" i="2"/>
  <c r="U88" i="2"/>
  <c r="S88" i="2"/>
  <c r="R88" i="2"/>
  <c r="Q88" i="2"/>
  <c r="P88" i="2"/>
  <c r="L88" i="2"/>
  <c r="K88" i="2"/>
  <c r="H88" i="2"/>
  <c r="G88" i="2"/>
  <c r="F88" i="2"/>
  <c r="Z87" i="2"/>
  <c r="V87" i="2"/>
  <c r="U87" i="2"/>
  <c r="S87" i="2"/>
  <c r="R87" i="2"/>
  <c r="Q87" i="2"/>
  <c r="P87" i="2"/>
  <c r="L87" i="2"/>
  <c r="K87" i="2"/>
  <c r="H87" i="2"/>
  <c r="G87" i="2"/>
  <c r="F87" i="2"/>
  <c r="Z86" i="2"/>
  <c r="V86" i="2"/>
  <c r="U86" i="2"/>
  <c r="S86" i="2"/>
  <c r="R86" i="2"/>
  <c r="Q86" i="2"/>
  <c r="P86" i="2"/>
  <c r="L86" i="2"/>
  <c r="K86" i="2"/>
  <c r="H86" i="2"/>
  <c r="G86" i="2"/>
  <c r="F86" i="2"/>
  <c r="Z85" i="2"/>
  <c r="V85" i="2"/>
  <c r="U85" i="2"/>
  <c r="S85" i="2"/>
  <c r="R85" i="2"/>
  <c r="Q85" i="2"/>
  <c r="P85" i="2"/>
  <c r="L85" i="2"/>
  <c r="K85" i="2"/>
  <c r="H85" i="2"/>
  <c r="G85" i="2"/>
  <c r="F85" i="2"/>
  <c r="Z84" i="2"/>
  <c r="V84" i="2"/>
  <c r="U84" i="2"/>
  <c r="S84" i="2"/>
  <c r="R84" i="2"/>
  <c r="Q84" i="2"/>
  <c r="P84" i="2"/>
  <c r="L84" i="2"/>
  <c r="K84" i="2"/>
  <c r="H84" i="2"/>
  <c r="G84" i="2"/>
  <c r="F84" i="2"/>
  <c r="Z83" i="2"/>
  <c r="V83" i="2"/>
  <c r="U83" i="2"/>
  <c r="S83" i="2"/>
  <c r="R83" i="2"/>
  <c r="Q83" i="2"/>
  <c r="P83" i="2"/>
  <c r="L83" i="2"/>
  <c r="K83" i="2"/>
  <c r="H83" i="2"/>
  <c r="G83" i="2"/>
  <c r="F83" i="2"/>
  <c r="Z82" i="2"/>
  <c r="V82" i="2"/>
  <c r="U82" i="2"/>
  <c r="S82" i="2"/>
  <c r="R82" i="2"/>
  <c r="Q82" i="2"/>
  <c r="P82" i="2"/>
  <c r="L82" i="2"/>
  <c r="K82" i="2"/>
  <c r="H82" i="2"/>
  <c r="G82" i="2"/>
  <c r="F82" i="2"/>
  <c r="Z81" i="2"/>
  <c r="V81" i="2"/>
  <c r="U81" i="2"/>
  <c r="S81" i="2"/>
  <c r="R81" i="2"/>
  <c r="Q81" i="2"/>
  <c r="P81" i="2"/>
  <c r="L81" i="2"/>
  <c r="K81" i="2"/>
  <c r="H81" i="2"/>
  <c r="G81" i="2"/>
  <c r="F81" i="2"/>
  <c r="Z80" i="2"/>
  <c r="V80" i="2"/>
  <c r="U80" i="2"/>
  <c r="S80" i="2"/>
  <c r="R80" i="2"/>
  <c r="Q80" i="2"/>
  <c r="P80" i="2"/>
  <c r="L80" i="2"/>
  <c r="K80" i="2"/>
  <c r="H80" i="2"/>
  <c r="G80" i="2"/>
  <c r="F80" i="2"/>
  <c r="Z79" i="2"/>
  <c r="V79" i="2"/>
  <c r="U79" i="2"/>
  <c r="S79" i="2"/>
  <c r="R79" i="2"/>
  <c r="Q79" i="2"/>
  <c r="P79" i="2"/>
  <c r="L79" i="2"/>
  <c r="K79" i="2"/>
  <c r="H79" i="2"/>
  <c r="G79" i="2"/>
  <c r="F79" i="2"/>
  <c r="Z78" i="2"/>
  <c r="V78" i="2"/>
  <c r="U78" i="2"/>
  <c r="S78" i="2"/>
  <c r="R78" i="2"/>
  <c r="Q78" i="2"/>
  <c r="P78" i="2"/>
  <c r="L78" i="2"/>
  <c r="K78" i="2"/>
  <c r="H78" i="2"/>
  <c r="G78" i="2"/>
  <c r="F78" i="2"/>
  <c r="Z77" i="2"/>
  <c r="V77" i="2"/>
  <c r="U77" i="2"/>
  <c r="S77" i="2"/>
  <c r="R77" i="2"/>
  <c r="Q77" i="2"/>
  <c r="P77" i="2"/>
  <c r="L77" i="2"/>
  <c r="K77" i="2"/>
  <c r="H77" i="2"/>
  <c r="G77" i="2"/>
  <c r="F77" i="2"/>
  <c r="Z76" i="2"/>
  <c r="V76" i="2"/>
  <c r="U76" i="2"/>
  <c r="S76" i="2"/>
  <c r="R76" i="2"/>
  <c r="Q76" i="2"/>
  <c r="P76" i="2"/>
  <c r="L76" i="2"/>
  <c r="K76" i="2"/>
  <c r="H76" i="2"/>
  <c r="G76" i="2"/>
  <c r="F76" i="2"/>
  <c r="Z75" i="2"/>
  <c r="V75" i="2"/>
  <c r="U75" i="2"/>
  <c r="S75" i="2"/>
  <c r="R75" i="2"/>
  <c r="Q75" i="2"/>
  <c r="P75" i="2"/>
  <c r="L75" i="2"/>
  <c r="K75" i="2"/>
  <c r="H75" i="2"/>
  <c r="G75" i="2"/>
  <c r="F75" i="2"/>
  <c r="Z74" i="2"/>
  <c r="V74" i="2"/>
  <c r="U74" i="2"/>
  <c r="S74" i="2"/>
  <c r="R74" i="2"/>
  <c r="Q74" i="2"/>
  <c r="P74" i="2"/>
  <c r="L74" i="2"/>
  <c r="K74" i="2"/>
  <c r="H74" i="2"/>
  <c r="G74" i="2"/>
  <c r="F74" i="2"/>
  <c r="Z73" i="2"/>
  <c r="V73" i="2"/>
  <c r="U73" i="2"/>
  <c r="S73" i="2"/>
  <c r="R73" i="2"/>
  <c r="Q73" i="2"/>
  <c r="P73" i="2"/>
  <c r="L73" i="2"/>
  <c r="K73" i="2"/>
  <c r="H73" i="2"/>
  <c r="G73" i="2"/>
  <c r="F73" i="2"/>
  <c r="Z72" i="2"/>
  <c r="V72" i="2"/>
  <c r="U72" i="2"/>
  <c r="S72" i="2"/>
  <c r="R72" i="2"/>
  <c r="Q72" i="2"/>
  <c r="P72" i="2"/>
  <c r="L72" i="2"/>
  <c r="K72" i="2"/>
  <c r="H72" i="2"/>
  <c r="G72" i="2"/>
  <c r="F72" i="2"/>
  <c r="Z71" i="2"/>
  <c r="V71" i="2"/>
  <c r="U71" i="2"/>
  <c r="S71" i="2"/>
  <c r="R71" i="2"/>
  <c r="Q71" i="2"/>
  <c r="P71" i="2"/>
  <c r="L71" i="2"/>
  <c r="K71" i="2"/>
  <c r="H71" i="2"/>
  <c r="G71" i="2"/>
  <c r="F71" i="2"/>
  <c r="Z70" i="2"/>
  <c r="V70" i="2"/>
  <c r="U70" i="2"/>
  <c r="S70" i="2"/>
  <c r="R70" i="2"/>
  <c r="Q70" i="2"/>
  <c r="P70" i="2"/>
  <c r="L70" i="2"/>
  <c r="K70" i="2"/>
  <c r="H70" i="2"/>
  <c r="G70" i="2"/>
  <c r="F70" i="2"/>
  <c r="Z69" i="2"/>
  <c r="V69" i="2"/>
  <c r="U69" i="2"/>
  <c r="S69" i="2"/>
  <c r="R69" i="2"/>
  <c r="Q69" i="2"/>
  <c r="P69" i="2"/>
  <c r="L69" i="2"/>
  <c r="K69" i="2"/>
  <c r="H69" i="2"/>
  <c r="G69" i="2"/>
  <c r="F69" i="2"/>
  <c r="Z68" i="2"/>
  <c r="V68" i="2"/>
  <c r="U68" i="2"/>
  <c r="S68" i="2"/>
  <c r="R68" i="2"/>
  <c r="Q68" i="2"/>
  <c r="P68" i="2"/>
  <c r="L68" i="2"/>
  <c r="K68" i="2"/>
  <c r="H68" i="2"/>
  <c r="G68" i="2"/>
  <c r="F68" i="2"/>
  <c r="Z67" i="2"/>
  <c r="V67" i="2"/>
  <c r="U67" i="2"/>
  <c r="S67" i="2"/>
  <c r="R67" i="2"/>
  <c r="Q67" i="2"/>
  <c r="P67" i="2"/>
  <c r="L67" i="2"/>
  <c r="K67" i="2"/>
  <c r="H67" i="2"/>
  <c r="G67" i="2"/>
  <c r="F67" i="2"/>
  <c r="Z66" i="2"/>
  <c r="V66" i="2"/>
  <c r="U66" i="2"/>
  <c r="S66" i="2"/>
  <c r="R66" i="2"/>
  <c r="Q66" i="2"/>
  <c r="P66" i="2"/>
  <c r="L66" i="2"/>
  <c r="K66" i="2"/>
  <c r="H66" i="2"/>
  <c r="G66" i="2"/>
  <c r="F66" i="2"/>
  <c r="Z65" i="2"/>
  <c r="V65" i="2"/>
  <c r="U65" i="2"/>
  <c r="S65" i="2"/>
  <c r="R65" i="2"/>
  <c r="Q65" i="2"/>
  <c r="P65" i="2"/>
  <c r="L65" i="2"/>
  <c r="K65" i="2"/>
  <c r="H65" i="2"/>
  <c r="G65" i="2"/>
  <c r="F65" i="2"/>
  <c r="Z64" i="2"/>
  <c r="V64" i="2"/>
  <c r="U64" i="2"/>
  <c r="S64" i="2"/>
  <c r="R64" i="2"/>
  <c r="Q64" i="2"/>
  <c r="P64" i="2"/>
  <c r="L64" i="2"/>
  <c r="K64" i="2"/>
  <c r="H64" i="2"/>
  <c r="G64" i="2"/>
  <c r="F64" i="2"/>
  <c r="Z63" i="2"/>
  <c r="V63" i="2"/>
  <c r="U63" i="2"/>
  <c r="S63" i="2"/>
  <c r="R63" i="2"/>
  <c r="Q63" i="2"/>
  <c r="P63" i="2"/>
  <c r="L63" i="2"/>
  <c r="K63" i="2"/>
  <c r="H63" i="2"/>
  <c r="G63" i="2"/>
  <c r="F63" i="2"/>
  <c r="Z62" i="2"/>
  <c r="V62" i="2"/>
  <c r="U62" i="2"/>
  <c r="S62" i="2"/>
  <c r="R62" i="2"/>
  <c r="Q62" i="2"/>
  <c r="P62" i="2"/>
  <c r="L62" i="2"/>
  <c r="K62" i="2"/>
  <c r="H62" i="2"/>
  <c r="G62" i="2"/>
  <c r="F62" i="2"/>
  <c r="Z61" i="2"/>
  <c r="V61" i="2"/>
  <c r="U61" i="2"/>
  <c r="S61" i="2"/>
  <c r="R61" i="2"/>
  <c r="Q61" i="2"/>
  <c r="P61" i="2"/>
  <c r="L61" i="2"/>
  <c r="K61" i="2"/>
  <c r="H61" i="2"/>
  <c r="G61" i="2"/>
  <c r="F61" i="2"/>
  <c r="Z60" i="2"/>
  <c r="V60" i="2"/>
  <c r="U60" i="2"/>
  <c r="S60" i="2"/>
  <c r="R60" i="2"/>
  <c r="Q60" i="2"/>
  <c r="P60" i="2"/>
  <c r="L60" i="2"/>
  <c r="K60" i="2"/>
  <c r="H60" i="2"/>
  <c r="G60" i="2"/>
  <c r="F60" i="2"/>
  <c r="Z59" i="2"/>
  <c r="V59" i="2"/>
  <c r="U59" i="2"/>
  <c r="S59" i="2"/>
  <c r="R59" i="2"/>
  <c r="Q59" i="2"/>
  <c r="P59" i="2"/>
  <c r="L59" i="2"/>
  <c r="K59" i="2"/>
  <c r="H59" i="2"/>
  <c r="G59" i="2"/>
  <c r="F59" i="2"/>
  <c r="Z58" i="2"/>
  <c r="V58" i="2"/>
  <c r="U58" i="2"/>
  <c r="S58" i="2"/>
  <c r="R58" i="2"/>
  <c r="Q58" i="2"/>
  <c r="P58" i="2"/>
  <c r="L58" i="2"/>
  <c r="K58" i="2"/>
  <c r="H58" i="2"/>
  <c r="G58" i="2"/>
  <c r="F58" i="2"/>
  <c r="Z57" i="2"/>
  <c r="V57" i="2"/>
  <c r="U57" i="2"/>
  <c r="S57" i="2"/>
  <c r="R57" i="2"/>
  <c r="Q57" i="2"/>
  <c r="P57" i="2"/>
  <c r="L57" i="2"/>
  <c r="K57" i="2"/>
  <c r="H57" i="2"/>
  <c r="G57" i="2"/>
  <c r="F57" i="2"/>
  <c r="Z56" i="2"/>
  <c r="V56" i="2"/>
  <c r="U56" i="2"/>
  <c r="S56" i="2"/>
  <c r="R56" i="2"/>
  <c r="Q56" i="2"/>
  <c r="P56" i="2"/>
  <c r="L56" i="2"/>
  <c r="K56" i="2"/>
  <c r="H56" i="2"/>
  <c r="G56" i="2"/>
  <c r="F56" i="2"/>
  <c r="Z55" i="2"/>
  <c r="V55" i="2"/>
  <c r="U55" i="2"/>
  <c r="S55" i="2"/>
  <c r="R55" i="2"/>
  <c r="Q55" i="2"/>
  <c r="P55" i="2"/>
  <c r="L55" i="2"/>
  <c r="K55" i="2"/>
  <c r="H55" i="2"/>
  <c r="G55" i="2"/>
  <c r="F55" i="2"/>
  <c r="Z54" i="2"/>
  <c r="V54" i="2"/>
  <c r="U54" i="2"/>
  <c r="S54" i="2"/>
  <c r="R54" i="2"/>
  <c r="Q54" i="2"/>
  <c r="P54" i="2"/>
  <c r="L54" i="2"/>
  <c r="K54" i="2"/>
  <c r="H54" i="2"/>
  <c r="G54" i="2"/>
  <c r="F54" i="2"/>
  <c r="Z53" i="2"/>
  <c r="V53" i="2"/>
  <c r="U53" i="2"/>
  <c r="S53" i="2"/>
  <c r="R53" i="2"/>
  <c r="Q53" i="2"/>
  <c r="P53" i="2"/>
  <c r="L53" i="2"/>
  <c r="K53" i="2"/>
  <c r="H53" i="2"/>
  <c r="G53" i="2"/>
  <c r="F53" i="2"/>
  <c r="Z52" i="2"/>
  <c r="V52" i="2"/>
  <c r="U52" i="2"/>
  <c r="S52" i="2"/>
  <c r="R52" i="2"/>
  <c r="Q52" i="2"/>
  <c r="P52" i="2"/>
  <c r="L52" i="2"/>
  <c r="K52" i="2"/>
  <c r="H52" i="2"/>
  <c r="G52" i="2"/>
  <c r="F52" i="2"/>
  <c r="Z51" i="2"/>
  <c r="V51" i="2"/>
  <c r="U51" i="2"/>
  <c r="S51" i="2"/>
  <c r="R51" i="2"/>
  <c r="Q51" i="2"/>
  <c r="P51" i="2"/>
  <c r="L51" i="2"/>
  <c r="K51" i="2"/>
  <c r="H51" i="2"/>
  <c r="G51" i="2"/>
  <c r="F51" i="2"/>
  <c r="Z50" i="2"/>
  <c r="V50" i="2"/>
  <c r="U50" i="2"/>
  <c r="S50" i="2"/>
  <c r="R50" i="2"/>
  <c r="Q50" i="2"/>
  <c r="P50" i="2"/>
  <c r="L50" i="2"/>
  <c r="K50" i="2"/>
  <c r="H50" i="2"/>
  <c r="G50" i="2"/>
  <c r="F50" i="2"/>
  <c r="Z49" i="2"/>
  <c r="V49" i="2"/>
  <c r="U49" i="2"/>
  <c r="S49" i="2"/>
  <c r="R49" i="2"/>
  <c r="Q49" i="2"/>
  <c r="P49" i="2"/>
  <c r="L49" i="2"/>
  <c r="K49" i="2"/>
  <c r="H49" i="2"/>
  <c r="G49" i="2"/>
  <c r="F49" i="2"/>
  <c r="Z48" i="2"/>
  <c r="V48" i="2"/>
  <c r="U48" i="2"/>
  <c r="S48" i="2"/>
  <c r="R48" i="2"/>
  <c r="Q48" i="2"/>
  <c r="P48" i="2"/>
  <c r="L48" i="2"/>
  <c r="K48" i="2"/>
  <c r="H48" i="2"/>
  <c r="G48" i="2"/>
  <c r="F48" i="2"/>
  <c r="Z47" i="2"/>
  <c r="V47" i="2"/>
  <c r="U47" i="2"/>
  <c r="S47" i="2"/>
  <c r="R47" i="2"/>
  <c r="Q47" i="2"/>
  <c r="P47" i="2"/>
  <c r="L47" i="2"/>
  <c r="K47" i="2"/>
  <c r="H47" i="2"/>
  <c r="G47" i="2"/>
  <c r="F47" i="2"/>
  <c r="Z46" i="2"/>
  <c r="V46" i="2"/>
  <c r="U46" i="2"/>
  <c r="S46" i="2"/>
  <c r="R46" i="2"/>
  <c r="Q46" i="2"/>
  <c r="P46" i="2"/>
  <c r="L46" i="2"/>
  <c r="K46" i="2"/>
  <c r="H46" i="2"/>
  <c r="G46" i="2"/>
  <c r="F46" i="2"/>
  <c r="Z45" i="2"/>
  <c r="V45" i="2"/>
  <c r="U45" i="2"/>
  <c r="S45" i="2"/>
  <c r="R45" i="2"/>
  <c r="Q45" i="2"/>
  <c r="P45" i="2"/>
  <c r="L45" i="2"/>
  <c r="K45" i="2"/>
  <c r="H45" i="2"/>
  <c r="G45" i="2"/>
  <c r="F45" i="2"/>
  <c r="Z44" i="2"/>
  <c r="V44" i="2"/>
  <c r="U44" i="2"/>
  <c r="S44" i="2"/>
  <c r="R44" i="2"/>
  <c r="Q44" i="2"/>
  <c r="P44" i="2"/>
  <c r="L44" i="2"/>
  <c r="K44" i="2"/>
  <c r="H44" i="2"/>
  <c r="G44" i="2"/>
  <c r="F44" i="2"/>
  <c r="Z43" i="2"/>
  <c r="V43" i="2"/>
  <c r="U43" i="2"/>
  <c r="S43" i="2"/>
  <c r="R43" i="2"/>
  <c r="Q43" i="2"/>
  <c r="P43" i="2"/>
  <c r="L43" i="2"/>
  <c r="K43" i="2"/>
  <c r="H43" i="2"/>
  <c r="G43" i="2"/>
  <c r="F43" i="2"/>
  <c r="Z42" i="2"/>
  <c r="V42" i="2"/>
  <c r="U42" i="2"/>
  <c r="S42" i="2"/>
  <c r="R42" i="2"/>
  <c r="Q42" i="2"/>
  <c r="P42" i="2"/>
  <c r="L42" i="2"/>
  <c r="K42" i="2"/>
  <c r="H42" i="2"/>
  <c r="G42" i="2"/>
  <c r="F42" i="2"/>
  <c r="Z41" i="2"/>
  <c r="V41" i="2"/>
  <c r="U41" i="2"/>
  <c r="S41" i="2"/>
  <c r="R41" i="2"/>
  <c r="Q41" i="2"/>
  <c r="P41" i="2"/>
  <c r="L41" i="2"/>
  <c r="K41" i="2"/>
  <c r="H41" i="2"/>
  <c r="G41" i="2"/>
  <c r="F41" i="2"/>
  <c r="Z40" i="2"/>
  <c r="V40" i="2"/>
  <c r="U40" i="2"/>
  <c r="S40" i="2"/>
  <c r="R40" i="2"/>
  <c r="Q40" i="2"/>
  <c r="P40" i="2"/>
  <c r="L40" i="2"/>
  <c r="K40" i="2"/>
  <c r="H40" i="2"/>
  <c r="G40" i="2"/>
  <c r="F40" i="2"/>
  <c r="Z39" i="2"/>
  <c r="V39" i="2"/>
  <c r="U39" i="2"/>
  <c r="S39" i="2"/>
  <c r="R39" i="2"/>
  <c r="Q39" i="2"/>
  <c r="P39" i="2"/>
  <c r="L39" i="2"/>
  <c r="K39" i="2"/>
  <c r="H39" i="2"/>
  <c r="G39" i="2"/>
  <c r="F39" i="2"/>
  <c r="Z38" i="2"/>
  <c r="V38" i="2"/>
  <c r="U38" i="2"/>
  <c r="S38" i="2"/>
  <c r="R38" i="2"/>
  <c r="Q38" i="2"/>
  <c r="P38" i="2"/>
  <c r="L38" i="2"/>
  <c r="K38" i="2"/>
  <c r="H38" i="2"/>
  <c r="G38" i="2"/>
  <c r="F38" i="2"/>
  <c r="Z37" i="2"/>
  <c r="V37" i="2"/>
  <c r="U37" i="2"/>
  <c r="S37" i="2"/>
  <c r="R37" i="2"/>
  <c r="Q37" i="2"/>
  <c r="P37" i="2"/>
  <c r="L37" i="2"/>
  <c r="K37" i="2"/>
  <c r="H37" i="2"/>
  <c r="G37" i="2"/>
  <c r="F37" i="2"/>
  <c r="Z36" i="2"/>
  <c r="V36" i="2"/>
  <c r="U36" i="2"/>
  <c r="S36" i="2"/>
  <c r="R36" i="2"/>
  <c r="Q36" i="2"/>
  <c r="P36" i="2"/>
  <c r="L36" i="2"/>
  <c r="K36" i="2"/>
  <c r="H36" i="2"/>
  <c r="G36" i="2"/>
  <c r="F36" i="2"/>
  <c r="Z35" i="2"/>
  <c r="V35" i="2"/>
  <c r="U35" i="2"/>
  <c r="S35" i="2"/>
  <c r="R35" i="2"/>
  <c r="Q35" i="2"/>
  <c r="P35" i="2"/>
  <c r="L35" i="2"/>
  <c r="K35" i="2"/>
  <c r="H35" i="2"/>
  <c r="G35" i="2"/>
  <c r="F35" i="2"/>
  <c r="Z34" i="2"/>
  <c r="V34" i="2"/>
  <c r="U34" i="2"/>
  <c r="S34" i="2"/>
  <c r="R34" i="2"/>
  <c r="Q34" i="2"/>
  <c r="P34" i="2"/>
  <c r="L34" i="2"/>
  <c r="K34" i="2"/>
  <c r="H34" i="2"/>
  <c r="G34" i="2"/>
  <c r="F34" i="2"/>
  <c r="Z33" i="2"/>
  <c r="V33" i="2"/>
  <c r="U33" i="2"/>
  <c r="S33" i="2"/>
  <c r="R33" i="2"/>
  <c r="Q33" i="2"/>
  <c r="P33" i="2"/>
  <c r="L33" i="2"/>
  <c r="K33" i="2"/>
  <c r="H33" i="2"/>
  <c r="G33" i="2"/>
  <c r="F33" i="2"/>
  <c r="Z32" i="2"/>
  <c r="V32" i="2"/>
  <c r="U32" i="2"/>
  <c r="S32" i="2"/>
  <c r="R32" i="2"/>
  <c r="Q32" i="2"/>
  <c r="P32" i="2"/>
  <c r="L32" i="2"/>
  <c r="K32" i="2"/>
  <c r="H32" i="2"/>
  <c r="G32" i="2"/>
  <c r="F32" i="2"/>
  <c r="Z31" i="2"/>
  <c r="V31" i="2"/>
  <c r="U31" i="2"/>
  <c r="S31" i="2"/>
  <c r="R31" i="2"/>
  <c r="Q31" i="2"/>
  <c r="P31" i="2"/>
  <c r="L31" i="2"/>
  <c r="K31" i="2"/>
  <c r="H31" i="2"/>
  <c r="G31" i="2"/>
  <c r="F31" i="2"/>
  <c r="Z30" i="2"/>
  <c r="V30" i="2"/>
  <c r="U30" i="2"/>
  <c r="S30" i="2"/>
  <c r="R30" i="2"/>
  <c r="Q30" i="2"/>
  <c r="P30" i="2"/>
  <c r="L30" i="2"/>
  <c r="K30" i="2"/>
  <c r="H30" i="2"/>
  <c r="G30" i="2"/>
  <c r="F30" i="2"/>
  <c r="Z29" i="2"/>
  <c r="V29" i="2"/>
  <c r="U29" i="2"/>
  <c r="S29" i="2"/>
  <c r="R29" i="2"/>
  <c r="Q29" i="2"/>
  <c r="P29" i="2"/>
  <c r="L29" i="2"/>
  <c r="K29" i="2"/>
  <c r="H29" i="2"/>
  <c r="G29" i="2"/>
  <c r="F29" i="2"/>
  <c r="Z28" i="2"/>
  <c r="V28" i="2"/>
  <c r="U28" i="2"/>
  <c r="S28" i="2"/>
  <c r="R28" i="2"/>
  <c r="Q28" i="2"/>
  <c r="P28" i="2"/>
  <c r="L28" i="2"/>
  <c r="K28" i="2"/>
  <c r="H28" i="2"/>
  <c r="G28" i="2"/>
  <c r="F28" i="2"/>
  <c r="Z27" i="2"/>
  <c r="V27" i="2"/>
  <c r="U27" i="2"/>
  <c r="S27" i="2"/>
  <c r="R27" i="2"/>
  <c r="Q27" i="2"/>
  <c r="P27" i="2"/>
  <c r="L27" i="2"/>
  <c r="K27" i="2"/>
  <c r="H27" i="2"/>
  <c r="G27" i="2"/>
  <c r="F27" i="2"/>
  <c r="Z26" i="2"/>
  <c r="V26" i="2"/>
  <c r="U26" i="2"/>
  <c r="S26" i="2"/>
  <c r="R26" i="2"/>
  <c r="Q26" i="2"/>
  <c r="P26" i="2"/>
  <c r="L26" i="2"/>
  <c r="K26" i="2"/>
  <c r="H26" i="2"/>
  <c r="G26" i="2"/>
  <c r="F26" i="2"/>
  <c r="Z25" i="2"/>
  <c r="V25" i="2"/>
  <c r="U25" i="2"/>
  <c r="S25" i="2"/>
  <c r="R25" i="2"/>
  <c r="Q25" i="2"/>
  <c r="P25" i="2"/>
  <c r="L25" i="2"/>
  <c r="K25" i="2"/>
  <c r="H25" i="2"/>
  <c r="G25" i="2"/>
  <c r="F25" i="2"/>
  <c r="Z24" i="2"/>
  <c r="V24" i="2"/>
  <c r="U24" i="2"/>
  <c r="S24" i="2"/>
  <c r="R24" i="2"/>
  <c r="Q24" i="2"/>
  <c r="P24" i="2"/>
  <c r="L24" i="2"/>
  <c r="K24" i="2"/>
  <c r="H24" i="2"/>
  <c r="G24" i="2"/>
  <c r="F24" i="2"/>
  <c r="Z23" i="2"/>
  <c r="V23" i="2"/>
  <c r="U23" i="2"/>
  <c r="S23" i="2"/>
  <c r="R23" i="2"/>
  <c r="Q23" i="2"/>
  <c r="P23" i="2"/>
  <c r="L23" i="2"/>
  <c r="K23" i="2"/>
  <c r="H23" i="2"/>
  <c r="G23" i="2"/>
  <c r="F23" i="2"/>
  <c r="Z22" i="2"/>
  <c r="V22" i="2"/>
  <c r="U22" i="2"/>
  <c r="S22" i="2"/>
  <c r="R22" i="2"/>
  <c r="Q22" i="2"/>
  <c r="P22" i="2"/>
  <c r="L22" i="2"/>
  <c r="K22" i="2"/>
  <c r="H22" i="2"/>
  <c r="G22" i="2"/>
  <c r="F22" i="2"/>
  <c r="Z21" i="2"/>
  <c r="V21" i="2"/>
  <c r="U21" i="2"/>
  <c r="S21" i="2"/>
  <c r="R21" i="2"/>
  <c r="Q21" i="2"/>
  <c r="P21" i="2"/>
  <c r="L21" i="2"/>
  <c r="K21" i="2"/>
  <c r="H21" i="2"/>
  <c r="G21" i="2"/>
  <c r="F21" i="2"/>
  <c r="Z20" i="2"/>
  <c r="V20" i="2"/>
  <c r="U20" i="2"/>
  <c r="S20" i="2"/>
  <c r="R20" i="2"/>
  <c r="Q20" i="2"/>
  <c r="P20" i="2"/>
  <c r="L20" i="2"/>
  <c r="K20" i="2"/>
  <c r="H20" i="2"/>
  <c r="G20" i="2"/>
  <c r="F20" i="2"/>
  <c r="Z19" i="2"/>
  <c r="V19" i="2"/>
  <c r="U19" i="2"/>
  <c r="S19" i="2"/>
  <c r="R19" i="2"/>
  <c r="Q19" i="2"/>
  <c r="P19" i="2"/>
  <c r="L19" i="2"/>
  <c r="K19" i="2"/>
  <c r="H19" i="2"/>
  <c r="G19" i="2"/>
  <c r="F19" i="2"/>
  <c r="Z18" i="2"/>
  <c r="V18" i="2"/>
  <c r="U18" i="2"/>
  <c r="S18" i="2"/>
  <c r="R18" i="2"/>
  <c r="Q18" i="2"/>
  <c r="P18" i="2"/>
  <c r="L18" i="2"/>
  <c r="K18" i="2"/>
  <c r="H18" i="2"/>
  <c r="G18" i="2"/>
  <c r="F18" i="2"/>
  <c r="Z17" i="2"/>
  <c r="V17" i="2"/>
  <c r="U17" i="2"/>
  <c r="S17" i="2"/>
  <c r="R17" i="2"/>
  <c r="Q17" i="2"/>
  <c r="P17" i="2"/>
  <c r="L17" i="2"/>
  <c r="K17" i="2"/>
  <c r="H17" i="2"/>
  <c r="G17" i="2"/>
  <c r="F17" i="2"/>
  <c r="Z16" i="2"/>
  <c r="V16" i="2"/>
  <c r="U16" i="2"/>
  <c r="S16" i="2"/>
  <c r="R16" i="2"/>
  <c r="Q16" i="2"/>
  <c r="P16" i="2"/>
  <c r="L16" i="2"/>
  <c r="K16" i="2"/>
  <c r="H16" i="2"/>
  <c r="G16" i="2"/>
  <c r="F16" i="2"/>
  <c r="Z15" i="2"/>
  <c r="V15" i="2"/>
  <c r="U15" i="2"/>
  <c r="S15" i="2"/>
  <c r="R15" i="2"/>
  <c r="Q15" i="2"/>
  <c r="P15" i="2"/>
  <c r="L15" i="2"/>
  <c r="K15" i="2"/>
  <c r="H15" i="2"/>
  <c r="G15" i="2"/>
  <c r="F15" i="2"/>
  <c r="Z14" i="2"/>
  <c r="V14" i="2"/>
  <c r="U14" i="2"/>
  <c r="S14" i="2"/>
  <c r="R14" i="2"/>
  <c r="Q14" i="2"/>
  <c r="P14" i="2"/>
  <c r="L14" i="2"/>
  <c r="K14" i="2"/>
  <c r="H14" i="2"/>
  <c r="G14" i="2"/>
  <c r="F14" i="2"/>
  <c r="Z13" i="2"/>
  <c r="V13" i="2"/>
  <c r="U13" i="2"/>
  <c r="S13" i="2"/>
  <c r="R13" i="2"/>
  <c r="Q13" i="2"/>
  <c r="P13" i="2"/>
  <c r="L13" i="2"/>
  <c r="K13" i="2"/>
  <c r="H13" i="2"/>
  <c r="G13" i="2"/>
  <c r="F13" i="2"/>
  <c r="Z12" i="2"/>
  <c r="V12" i="2"/>
  <c r="U12" i="2"/>
  <c r="S12" i="2"/>
  <c r="R12" i="2"/>
  <c r="Q12" i="2"/>
  <c r="P12" i="2"/>
  <c r="L12" i="2"/>
  <c r="K12" i="2"/>
  <c r="H12" i="2"/>
  <c r="G12" i="2"/>
  <c r="F12" i="2"/>
  <c r="Z11" i="2"/>
  <c r="V11" i="2"/>
  <c r="U11" i="2"/>
  <c r="S11" i="2"/>
  <c r="R11" i="2"/>
  <c r="Q11" i="2"/>
  <c r="P11" i="2"/>
  <c r="L11" i="2"/>
  <c r="K11" i="2"/>
  <c r="H11" i="2"/>
  <c r="G11" i="2"/>
  <c r="F11" i="2"/>
  <c r="Z10" i="2"/>
  <c r="V10" i="2"/>
  <c r="U10" i="2"/>
  <c r="S10" i="2"/>
  <c r="R10" i="2"/>
  <c r="Q10" i="2"/>
  <c r="P10" i="2"/>
  <c r="L10" i="2"/>
  <c r="K10" i="2"/>
  <c r="H10" i="2"/>
  <c r="G10" i="2"/>
  <c r="F10" i="2"/>
  <c r="Z9" i="2"/>
  <c r="V9" i="2"/>
  <c r="U9" i="2"/>
  <c r="S9" i="2"/>
  <c r="R9" i="2"/>
  <c r="Q9" i="2"/>
  <c r="P9" i="2"/>
  <c r="L9" i="2"/>
  <c r="K9" i="2"/>
  <c r="H9" i="2"/>
  <c r="G9" i="2"/>
  <c r="F9" i="2"/>
  <c r="Z8" i="2"/>
  <c r="V8" i="2"/>
  <c r="U8" i="2"/>
  <c r="S8" i="2"/>
  <c r="R8" i="2"/>
  <c r="Q8" i="2"/>
  <c r="P8" i="2"/>
  <c r="L8" i="2"/>
  <c r="K8" i="2"/>
  <c r="H8" i="2"/>
  <c r="G8" i="2"/>
  <c r="F8" i="2"/>
  <c r="Z7" i="2"/>
  <c r="V7" i="2"/>
  <c r="U7" i="2"/>
  <c r="S7" i="2"/>
  <c r="R7" i="2"/>
  <c r="Q7" i="2"/>
  <c r="P7" i="2"/>
  <c r="L7" i="2"/>
  <c r="K7" i="2"/>
  <c r="H7" i="2"/>
  <c r="G7" i="2"/>
  <c r="F7" i="2"/>
  <c r="Z6" i="2"/>
  <c r="V6" i="2"/>
  <c r="U6" i="2"/>
  <c r="S6" i="2"/>
  <c r="R6" i="2"/>
  <c r="Q6" i="2"/>
  <c r="P6" i="2"/>
  <c r="L6" i="2"/>
  <c r="K6" i="2"/>
  <c r="H6" i="2"/>
  <c r="G6" i="2"/>
  <c r="F6" i="2"/>
  <c r="Z5" i="2"/>
  <c r="V5" i="2"/>
  <c r="U5" i="2"/>
  <c r="S5" i="2"/>
  <c r="R5" i="2"/>
  <c r="Q5" i="2"/>
  <c r="P5" i="2"/>
  <c r="L5" i="2"/>
  <c r="K5" i="2"/>
  <c r="H5" i="2"/>
  <c r="G5" i="2"/>
  <c r="F5" i="2"/>
  <c r="Z4" i="2"/>
  <c r="V4" i="2"/>
  <c r="U4" i="2"/>
  <c r="S4" i="2"/>
  <c r="R4" i="2"/>
  <c r="Q4" i="2"/>
  <c r="P4" i="2"/>
  <c r="L4" i="2"/>
  <c r="K4" i="2"/>
  <c r="H4" i="2"/>
  <c r="G4" i="2"/>
  <c r="F4" i="2"/>
  <c r="Z3" i="2"/>
  <c r="V3" i="2"/>
  <c r="U3" i="2"/>
  <c r="S3" i="2"/>
  <c r="R3" i="2"/>
  <c r="Q3" i="2"/>
  <c r="P3" i="2"/>
  <c r="L3" i="2"/>
  <c r="K3" i="2"/>
  <c r="H3" i="2"/>
  <c r="G3" i="2"/>
  <c r="F3" i="2"/>
  <c r="Z2" i="2"/>
  <c r="V2" i="2"/>
  <c r="U2" i="2"/>
  <c r="S2" i="2"/>
  <c r="R2" i="2"/>
  <c r="Q2" i="2"/>
  <c r="P2" i="2"/>
  <c r="L2" i="2"/>
  <c r="K2" i="2"/>
  <c r="H2" i="2"/>
  <c r="G2" i="2"/>
  <c r="F2" i="2"/>
</calcChain>
</file>

<file path=xl/sharedStrings.xml><?xml version="1.0" encoding="utf-8"?>
<sst xmlns="http://schemas.openxmlformats.org/spreadsheetml/2006/main" count="3239" uniqueCount="1753">
  <si>
    <t>CHROM</t>
  </si>
  <si>
    <t>POS</t>
  </si>
  <si>
    <t>REF</t>
  </si>
  <si>
    <t>ALT</t>
  </si>
  <si>
    <t>Func</t>
  </si>
  <si>
    <t>T:FUP</t>
  </si>
  <si>
    <t>Variant</t>
  </si>
  <si>
    <t>TranscriptID</t>
  </si>
  <si>
    <t>Classification</t>
  </si>
  <si>
    <t>T:COV</t>
  </si>
  <si>
    <t>T:MAF</t>
  </si>
  <si>
    <t>T:LogR</t>
  </si>
  <si>
    <t>GeneDetail</t>
  </si>
  <si>
    <t>ExonicFunc</t>
  </si>
  <si>
    <t>AAChange</t>
  </si>
  <si>
    <t>ExAC</t>
  </si>
  <si>
    <t>gnomADexome</t>
  </si>
  <si>
    <t>esp6500si</t>
  </si>
  <si>
    <t>1000g2015aug</t>
  </si>
  <si>
    <t>snp150</t>
  </si>
  <si>
    <t>ucsf500normT</t>
  </si>
  <si>
    <t>ucsf500normN</t>
  </si>
  <si>
    <t>cosmic87</t>
  </si>
  <si>
    <t>cbioportal2018nov</t>
  </si>
  <si>
    <t>clinvar</t>
  </si>
  <si>
    <t>CADD</t>
  </si>
  <si>
    <t>chr17</t>
  </si>
  <si>
    <t>16068343</t>
  </si>
  <si>
    <t>G</t>
  </si>
  <si>
    <t>A</t>
  </si>
  <si>
    <t>exonic</t>
  </si>
  <si>
    <t>595</t>
  </si>
  <si>
    <t>stopgain</t>
  </si>
  <si>
    <t>NCOR1:NM_001190438:exon2:c.241C&gt;T:p.R81*,NCOR1:NM_001190440:exon4:c.568C&gt;T:p.R190*,NCOR1:NM_006311:exon5:c.568C&gt;T:p.R190*</t>
  </si>
  <si>
    <t>rs78230791</t>
  </si>
  <si>
    <t>ID=COSM4590772,COSM4129609;OCCURRENCE=2(thyroid),23(upper_aerodigestive_tract)</t>
  </si>
  <si>
    <t>14:NCOR1:R190*(14)</t>
  </si>
  <si>
    <t>16068463</t>
  </si>
  <si>
    <t>C</t>
  </si>
  <si>
    <t>T</t>
  </si>
  <si>
    <t>957</t>
  </si>
  <si>
    <t>nonsynonymous SNV</t>
  </si>
  <si>
    <t>NCOR1:NM_001190438:exon2:c.121G&gt;A:p.G41R,NCOR1:NM_001190440:exon4:c.448G&gt;A:p.G150R,NCOR1:NM_006311:exon5:c.448G&gt;A:p.G150R</t>
  </si>
  <si>
    <t>rs74453660</t>
  </si>
  <si>
    <t>ID=COSM5712778,COSM4593341,COSM249685;OCCURRENCE=4(central_nervous_system),2(kidney),3(large_intestine),2(lung),5(thyroid),9(upper_aerodigestive_tract),2(urinary_tract)</t>
  </si>
  <si>
    <t>11:NCOR1:G150R(11)</t>
  </si>
  <si>
    <t>16068396</t>
  </si>
  <si>
    <t>885</t>
  </si>
  <si>
    <t>NCOR1:NM_001190438:exon2:c.188C&gt;T:p.S63L,NCOR1:NM_001190440:exon4:c.515C&gt;T:p.S172L,NCOR1:NM_006311:exon5:c.515C&gt;T:p.S172L</t>
  </si>
  <si>
    <t>rs150910818</t>
  </si>
  <si>
    <t>ID=COSM4590747,COSM1630066,COSM5712777;OCCURRENCE=6(central_nervous_system),1(kidney),4(large_intestine),1(liver),3(thyroid),23(upper_aerodigestive_tract)</t>
  </si>
  <si>
    <t>15:NCOR1:S172L(15)</t>
  </si>
  <si>
    <t>chr16</t>
  </si>
  <si>
    <t>23641461</t>
  </si>
  <si>
    <t>795</t>
  </si>
  <si>
    <t>PALB2:NM_024675:exon5:c.2014G&gt;C:p.E672Q</t>
  </si>
  <si>
    <t>rs45532440</t>
  </si>
  <si>
    <t>ID=COSM4986920;OCCURRENCE=1(lung),1(ovary),4(soft_tissue)</t>
  </si>
  <si>
    <t>3:PALB2:E672Q(3)</t>
  </si>
  <si>
    <t>CLINSIG=Benign/Likely_benign;CLNDN=Fanconi_anemia|Hereditary_cancer-predisposing_syndrome|Familial_cancer_of_breast|Pancreatic_cancer_3|not_specified;CLNREVSTAT=criteria_provided,_multiple_submitters,_no_conflicts;CLNDISDB=MedGen:C0015625,Orphanet:ORPHA84,SNOMED_CT:30575002|MedGen:C0027672,SNOMED_CT:699346009|MedGen:C0346153,OMIM:114480,Orphanet:ORPHA227535,SNOMED_CT:254843006|MedGen:C3150547,OMIM:613348|MedGen:CN169374;CLNALLELEID=132140</t>
  </si>
  <si>
    <t>chr6</t>
  </si>
  <si>
    <t>106547372</t>
  </si>
  <si>
    <t>775</t>
  </si>
  <si>
    <t>PRDM1:NM_182907:exon2:c.207C&gt;G:p.D69E,PRDM1:NM_001198:exon4:c.609C&gt;G:p.D203E</t>
  </si>
  <si>
    <t>rs811925</t>
  </si>
  <si>
    <t>ID=COSM4160094,COSM4160093;OCCURRENCE=1(liver),1(pleura),3(soft_tissue),1(thyroid)</t>
  </si>
  <si>
    <t>3:PRDM1:D203E(3)</t>
  </si>
  <si>
    <t>CLINSIG=not_provided;CLNDN=not_specified;CLNREVSTAT=no_assertion_provided;CLNDISDB=MedGen:CN169374;CLNALLELEID=138815</t>
  </si>
  <si>
    <t>chr4</t>
  </si>
  <si>
    <t>187630590</t>
  </si>
  <si>
    <t>772</t>
  </si>
  <si>
    <t>FAT1:NM_005245:exon2:c.392C&gt;T:p.A131V</t>
  </si>
  <si>
    <t>rs3733415</t>
  </si>
  <si>
    <t>ID=COSM4416273,COSM4416272;OCCURRENCE=1(breast),3(haematopoietic_and_lymphoid_tissue),2(large_intestine)</t>
  </si>
  <si>
    <t>5:FAT1:A131V(5)</t>
  </si>
  <si>
    <t>chr3</t>
  </si>
  <si>
    <t>47125385</t>
  </si>
  <si>
    <t>763</t>
  </si>
  <si>
    <t>SETD2:NM_001349370:exon11:c.5753C&gt;T:p.P1918L,SETD2:NM_014159:exon12:c.5885C&gt;T:p.P1962L</t>
  </si>
  <si>
    <t>rs4082155</t>
  </si>
  <si>
    <t>ID=COSM149376,COSM149375;OCCURRENCE=1(haematopoietic_and_lymphoid_tissue),1(large_intestine),5(prostate),15(soft_tissue),1(stomach)</t>
  </si>
  <si>
    <t>17:SETD2:P1962L(17)</t>
  </si>
  <si>
    <t>CLINSIG=not_provided;CLNDN=not_specified;CLNREVSTAT=no_assertion_provided;CLNDISDB=MedGen:CN169374;CLNALLELEID=138941</t>
  </si>
  <si>
    <t>chr5</t>
  </si>
  <si>
    <t>112176756</t>
  </si>
  <si>
    <t>761</t>
  </si>
  <si>
    <t>APC:NM_001127511:exon14:c.5411T&gt;A:p.V1804D,APC:NM_000038:exon16:c.5465T&gt;A:p.V1822D,APC:NM_001127510:exon17:c.5465T&gt;A:p.V1822D</t>
  </si>
  <si>
    <t>rs459552</t>
  </si>
  <si>
    <t>ID=COSM3760871;OCCURRENCE=41(large_intestine),1(lung)</t>
  </si>
  <si>
    <t>15:APC:V1822D(15)</t>
  </si>
  <si>
    <t>CLINSIG=Benign;CLNDN=Hereditary_cancer-predisposing_syndrome|Familial_adenomatous_polyposis_1|Familial_colorectal_cancer|not_specified|APC-Associated_Polyposis_Disorders|not_provided;CLNREVSTAT=criteria_provided,_multiple_submitters,_no_conflicts;CLNDISDB=MedGen:C0027672,SNOMED_CT:699346009|MedGen:C2713442,OMIM:175100|MedGen:CN029768|MedGen:CN169374|MedGen:CN239210|MedGen:CN517202;CLNALLELEID=33882</t>
  </si>
  <si>
    <t>chr14</t>
  </si>
  <si>
    <t>75513828</t>
  </si>
  <si>
    <t>755</t>
  </si>
  <si>
    <t>MLH3:NM_001040108:exon2:c.2531C&gt;T:p.P844L,MLH3:NM_014381:exon2:c.2531C&gt;T:p.P844L</t>
  </si>
  <si>
    <t>rs175080</t>
  </si>
  <si>
    <t>ID=COSM3754113,COSM3754114;OCCURRENCE=3(haematopoietic_and_lymphoid_tissue),1(large_intestine),2(lung)</t>
  </si>
  <si>
    <t>CLINSIG=Likely_benign;CLNDN=Lynch_syndrome|not_specified;CLNREVSTAT=criteria_provided,_multiple_submitters,_no_conflicts;CLNDISDB=MedGen:C1333990,Orphanet:ORPHA144,SNOMED_CT:315058005|MedGen:CN169374;CLNALLELEID=255064</t>
  </si>
  <si>
    <t>80168937</t>
  </si>
  <si>
    <t>735</t>
  </si>
  <si>
    <t>MSH3:NM_002439:exon23:c.3133G&gt;A:p.A1045T</t>
  </si>
  <si>
    <t>rs26279</t>
  </si>
  <si>
    <t>ID=COSM4416274,COSM4416275;OCCURRENCE=1(haematopoietic_and_lymphoid_tissue),35(large_intestine)</t>
  </si>
  <si>
    <t>2:MSH3:A1045T(2)</t>
  </si>
  <si>
    <t>16068377</t>
  </si>
  <si>
    <t>730</t>
  </si>
  <si>
    <t>NCOR1:NM_001190438:exon2:c.207G&gt;C:p.K69N,NCOR1:NM_001190440:exon4:c.534G&gt;C:p.K178N,NCOR1:NM_006311:exon5:c.534G&gt;C:p.K178N</t>
  </si>
  <si>
    <t>rs200020868</t>
  </si>
  <si>
    <t>ID=COSM4591233,COSM5574217,COSM4591234;OCCURRENCE=2(haematopoietic_and_lymphoid_tissue),1(large_intestine),2(skin),23(upper_aerodigestive_tract)</t>
  </si>
  <si>
    <t>14:NCOR1:K178N(14)</t>
  </si>
  <si>
    <t>chr9</t>
  </si>
  <si>
    <t>120475302</t>
  </si>
  <si>
    <t>726</t>
  </si>
  <si>
    <t>TLR4:NM_138557:exon2:c.296A&gt;G:p.D99G,TLR4:NM_138554:exon3:c.896A&gt;G:p.D299G,TLR4:NM_003266:exon4:c.776A&gt;G:p.D259G</t>
  </si>
  <si>
    <t>rs4986790</t>
  </si>
  <si>
    <t>ID=COSM4988203;OCCURRENCE=6(soft_tissue)</t>
  </si>
  <si>
    <t>2:TLR4:D299G(2)</t>
  </si>
  <si>
    <t>CLINSIG=Benign;CLNDN=TLR4_POLYMORPHISM;CLNREVSTAT=no_assertion_criteria_provided;CLNDISDB=.;CLNALLELEID=21699</t>
  </si>
  <si>
    <t>187628398</t>
  </si>
  <si>
    <t>722</t>
  </si>
  <si>
    <t>FAT1:NM_005245:exon2:c.2584G&gt;C:p.V862L</t>
  </si>
  <si>
    <t>rs1877731</t>
  </si>
  <si>
    <t>ID=COSM4003037,COSM4003036;OCCURRENCE=1(breast),5(haematopoietic_and_lymphoid_tissue)</t>
  </si>
  <si>
    <t>28:FAT1:V862L(28)</t>
  </si>
  <si>
    <t>152708310</t>
  </si>
  <si>
    <t>701</t>
  </si>
  <si>
    <t>SYNE1:NM_033071:exon54:c.8405C&gt;T:p.A2802V,SYNE1:NM_182961:exon54:c.8384C&gt;T:p.A2795V</t>
  </si>
  <si>
    <t>rs214950</t>
  </si>
  <si>
    <t>ID=COSM3761576,COSM3761574,COSM3761572,COSM3761573,COSM3761575;OCCURRENCE=1(breast),1(haematopoietic_and_lymphoid_tissue),4(large_intestine)</t>
  </si>
  <si>
    <t>1:SYNE1:A2795V(1)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</si>
  <si>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135898</t>
  </si>
  <si>
    <t>chr20</t>
  </si>
  <si>
    <t>31022959</t>
  </si>
  <si>
    <t>698</t>
  </si>
  <si>
    <t>ASXL1:NM_015338:exon12:c.2444T&gt;C:p.L815P</t>
  </si>
  <si>
    <t>rs6058694</t>
  </si>
  <si>
    <t>ID=COSM6494658,COSM6494657;OCCURRENCE=97(haematopoietic_and_lymphoid_tissue)</t>
  </si>
  <si>
    <t>14:ASXL1:L815P(14)</t>
  </si>
  <si>
    <t>CLINSIG=not_provided;CLNDN=not_specified;CLNREVSTAT=no_assertion_provided;CLNDISDB=MedGen:CN169374;CLNALLELEID=137338</t>
  </si>
  <si>
    <t>chr1</t>
  </si>
  <si>
    <t>16256007</t>
  </si>
  <si>
    <t>682</t>
  </si>
  <si>
    <t>SPEN:NM_015001:exon11:c.3272T&gt;C:p.L1091P</t>
  </si>
  <si>
    <t>rs848209</t>
  </si>
  <si>
    <t>ID=COSM4142934;OCCURRENCE=3(haematopoietic_and_lymphoid_tissue),1(lung),1(thyroid),1(urinary_tract)</t>
  </si>
  <si>
    <t>13:SPEN:L1091P(13)</t>
  </si>
  <si>
    <t>chr7</t>
  </si>
  <si>
    <t>148525904</t>
  </si>
  <si>
    <t>EZH2:NM_152998:exon5:c.436G&gt;C:p.D146H,EZH2:NM_001203247:exon6:c.553G&gt;C:p.D185H,EZH2:NM_001203248:exon6:c.526G&gt;C:p.D176H,EZH2:NM_001203249:exon6:c.526G&gt;C:p.D176H,EZH2:NM_004456:exon6:c.553G&gt;C:p.D185H</t>
  </si>
  <si>
    <t>rs2302427</t>
  </si>
  <si>
    <t>ID=COSM3762470,COSM3762469;OCCURRENCE=1(central_nervous_system),12(haematopoietic_and_lymphoid_tissue),1(large_intestine),1(lung),3(soft_tissue),1(thyroid)</t>
  </si>
  <si>
    <t>4:EZH2:D185H(4)</t>
  </si>
  <si>
    <t>CLINSIG=Benign;CLNDN=Weaver_syndrome|not_specified;CLNREVSTAT=criteria_provided,_multiple_submitters,_no_conflicts;CLNDISDB=MedGen:C0265210,OMIM:277590,SNOMED_CT:63119004|MedGen:CN169374;CLNALLELEID=137963</t>
  </si>
  <si>
    <t>106196951</t>
  </si>
  <si>
    <t>675</t>
  </si>
  <si>
    <t>TET2:NM_001127208:exon11:c.5284A&gt;G:p.I1762V</t>
  </si>
  <si>
    <t>rs2454206</t>
  </si>
  <si>
    <t>ID=COSM3760322;OCCURRENCE=51(haematopoietic_and_lymphoid_tissue),1(large_intestine),2(lung),5(prostate),1(thyroid)</t>
  </si>
  <si>
    <t>18:TET2:I1762V(18)</t>
  </si>
  <si>
    <t>CLINSIG=not_provided;CLNDN=not_specified;CLNREVSTAT=no_assertion_provided;CLNDISDB=MedGen:CN169374;CLNALLELEID=139026</t>
  </si>
  <si>
    <t>142281612</t>
  </si>
  <si>
    <t>672</t>
  </si>
  <si>
    <t>ATR:NM_001184:exon4:c.632T&gt;C:p.M211T</t>
  </si>
  <si>
    <t>rs2227928</t>
  </si>
  <si>
    <t>ID=COSM149487;OCCURRENCE=1(haematopoietic_and_lymphoid_tissue),3(large_intestine),4(prostate),20(soft_tissue),1(stomach)</t>
  </si>
  <si>
    <t>8:ATR:M211T(8)</t>
  </si>
  <si>
    <t>CLINSIG=Benign/Likely_benign;CLNDN=Seckel_syndrome|not_specified;CLNREVSTAT=criteria_provided,_multiple_submitters,_no_conflicts;CLNDISDB=MedGen:C0265202,Orphanet:ORPHA808,SNOMED_CT:57917004|MedGen:CN169374;CLNALLELEID=99571</t>
  </si>
  <si>
    <t>187629770</t>
  </si>
  <si>
    <t>652</t>
  </si>
  <si>
    <t>FAT1:NM_005245:exon2:c.1212T&gt;G:p.S404R</t>
  </si>
  <si>
    <t>rs3733414</t>
  </si>
  <si>
    <t>ID=COSM4003045,COSM4003044;OCCURRENCE=5(haematopoietic_and_lymphoid_tissue),1(lung)</t>
  </si>
  <si>
    <t>11:FAT1:S404R(11)</t>
  </si>
  <si>
    <t>chr13</t>
  </si>
  <si>
    <t>32906729</t>
  </si>
  <si>
    <t>BRCA2:NM_000059:exon10:c.1114A&gt;C:p.N372H</t>
  </si>
  <si>
    <t>rs144848</t>
  </si>
  <si>
    <t>ID=COSM3753646,COSM147663;OCCURRENCE=1(breast),1(haematopoietic_and_lymphoid_tissue),4(large_intestine),2(lung),1(prostate),16(soft_tissue),1(stomach),1(thymus),1(thyroid),2(urinary_tract)</t>
  </si>
  <si>
    <t>10:BRCA2:N372H(10)</t>
  </si>
  <si>
    <t>CLINSIG=Benign;CLNDN=Fanconi_anemia|Hereditary_cancer-predisposing_syndrome|Familial_cancer_of_breast|Hereditary_breast_and_ovarian_cancer_syndrome|Ductal_breast_carcinoma|Breast-ovarian_cancer,_familial_2|not_specified|not_provided;CLNREVSTAT=reviewed_by_expert_panel;CLNDISDB=MedGen:C0015625,Orphanet:ORPHA84,SNOMED_CT:30575002|MedGen:C0027672,SNOMED_CT:699346009|MedGen:C0346153,OMIM:114480,Orphanet:ORPHA227535,SNOMED_CT:254843006|MedGen:C0677776,Orphanet:ORPHA145|MedGen:C1527349|MedGen:C2675520,OMIM:612555|MedGen:CN169374|MedGen:CN517202;CLNALLELEID=24368</t>
  </si>
  <si>
    <t>41244435</t>
  </si>
  <si>
    <t>651</t>
  </si>
  <si>
    <t>BRCA1:NM_007297:exon9:c.2972A&gt;G:p.E991G,BRCA1:NM_007294:exon10:c.3113A&gt;G:p.E1038G,BRCA1:NM_007300:exon10:c.3113A&gt;G:p.E1038G</t>
  </si>
  <si>
    <t>rs16941</t>
  </si>
  <si>
    <t>ID=COSM3755562,COSM3755563;OCCURRENCE=1(breast),3(haematopoietic_and_lymphoid_tissue),1(large_intestine),1(thymus)</t>
  </si>
  <si>
    <t>11:BRCA1:E1038G(11)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</si>
  <si>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50254</t>
  </si>
  <si>
    <t>chr18</t>
  </si>
  <si>
    <t>42529996</t>
  </si>
  <si>
    <t>SETBP1:NM_015559:exon4:c.691G&gt;C:p.V231L</t>
  </si>
  <si>
    <t>rs11082414</t>
  </si>
  <si>
    <t>ID=COSM6494525;OCCURRENCE=35(haematopoietic_and_lymphoid_tissue)</t>
  </si>
  <si>
    <t>14:SETBP1:V231L(14)</t>
  </si>
  <si>
    <t>CLINSIG=Benign;CLNDN=Schinzel-Giedion_syndrome|not_specified;CLNREVSTAT=criteria_provided,_multiple_submitters,_no_conflicts;CLNDISDB=MedGen:C0265227,OMIM:269150,SNOMED_CT:18899000|MedGen:CN169374;CLNALLELEID=169420</t>
  </si>
  <si>
    <t>176637576</t>
  </si>
  <si>
    <t>650</t>
  </si>
  <si>
    <t>NSD1:NM_022455:exon5:c.2176T&gt;C:p.S726P,NSD1:NM_172349:exon6:c.1369T&gt;C:p.S457P</t>
  </si>
  <si>
    <t>rs28932178</t>
  </si>
  <si>
    <t>ID=COSM4418709,COSM4418708;OCCURRENCE=1(breast),19(haematopoietic_and_lymphoid_tissue),1(lung),9(soft_tissue)</t>
  </si>
  <si>
    <t>CLINSIG=Benign;CLNDN=Weaver_syndrome|not_specified|Sotos_Syndrome;CLNREVSTAT=criteria_provided,_multiple_submitters,_no_conflicts;CLNDISDB=MedGen:C0265210,OMIM:277590,SNOMED_CT:63119004|MedGen:CN169374|MedGen:CN239475;CLNALLELEID=101937</t>
  </si>
  <si>
    <t>41244936</t>
  </si>
  <si>
    <t>644</t>
  </si>
  <si>
    <t>BRCA1:NM_007297:exon9:c.2471C&gt;T:p.P824L,BRCA1:NM_007294:exon10:c.2612C&gt;T:p.P871L,BRCA1:NM_007300:exon10:c.2612C&gt;T:p.P871L</t>
  </si>
  <si>
    <t>rs799917</t>
  </si>
  <si>
    <t>ID=COSM148278,COSM3755564;OCCURRENCE=1(breast),3(haematopoietic_and_lymphoid_tissue),4(large_intestine),2(lung),1(peritoneum),3(prostate),1(skin),14(soft_tissue),1(stomach)</t>
  </si>
  <si>
    <t>22:BRCA1:P871L(22)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</si>
  <si>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50251</t>
  </si>
  <si>
    <t>187629140</t>
  </si>
  <si>
    <t>643</t>
  </si>
  <si>
    <t>FAT1:NM_005245:exon2:c.1842C&gt;G:p.F614L</t>
  </si>
  <si>
    <t>rs367863</t>
  </si>
  <si>
    <t>ID=COSM4003038,COSM4003039;OCCURRENCE=1(breast),5(haematopoietic_and_lymphoid_tissue),3(lung)</t>
  </si>
  <si>
    <t>13:FAT1:F614L(13)</t>
  </si>
  <si>
    <t>16259813</t>
  </si>
  <si>
    <t>642</t>
  </si>
  <si>
    <t>SPEN:NM_015001:exon11:c.7078A&gt;G:p.N2360D</t>
  </si>
  <si>
    <t>rs848210</t>
  </si>
  <si>
    <t>ID=COSM4142938;OCCURRENCE=3(haematopoietic_and_lymphoid_tissue),2(lung),1(thyroid)</t>
  </si>
  <si>
    <t>27:SPEN:N2360D(27)</t>
  </si>
  <si>
    <t>150551491</t>
  </si>
  <si>
    <t>GTCC</t>
  </si>
  <si>
    <t>635</t>
  </si>
  <si>
    <t>nonframeshift deletion</t>
  </si>
  <si>
    <t>MCL1:NM_021960:exon1:c.513_515del:p.171_172del,MCL1:NM_182763:exon1:c.513_515del:p.171_172del</t>
  </si>
  <si>
    <t>rs759789515</t>
  </si>
  <si>
    <t>ID=COSM1724575;OCCURRENCE=4(NS),1(bone),2(large_intestine),1(pancreas),1(skin),1(soft_tissue)</t>
  </si>
  <si>
    <t>7:MCL1:E171del(7)</t>
  </si>
  <si>
    <t>41244000</t>
  </si>
  <si>
    <t>632</t>
  </si>
  <si>
    <t>BRCA1:NM_007297:exon9:c.3407A&gt;G:p.K1136R,BRCA1:NM_007294:exon10:c.3548A&gt;G:p.K1183R,BRCA1:NM_007300:exon10:c.3548A&gt;G:p.K1183R</t>
  </si>
  <si>
    <t>rs16942</t>
  </si>
  <si>
    <t>ID=COSM148277,COSM3755561;OCCURRENCE=1(breast),3(haematopoietic_and_lymphoid_tissue),4(large_intestine),2(lung),2(prostate),14(soft_tissue),1(stomach),1(thyroid)</t>
  </si>
  <si>
    <t>10:BRCA1:K1183R(10)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</si>
  <si>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50257</t>
  </si>
  <si>
    <t>55979558</t>
  </si>
  <si>
    <t>629</t>
  </si>
  <si>
    <t>KDR:NM_002253:exon7:c.889G&gt;A:p.V297I</t>
  </si>
  <si>
    <t>rs2305948</t>
  </si>
  <si>
    <t>ID=COSM1131107;OCCURRENCE=1(autonomic_ganglia),2(large_intestine),3(prostate),10(soft_tissue)</t>
  </si>
  <si>
    <t>4:KDR:V297I(4)</t>
  </si>
  <si>
    <t>CLINSIG=not_provided;CLNDN=not_specified;CLNREVSTAT=no_assertion_provided;CLNDISDB=MedGen:CN169374;CLNALLELEID=138355</t>
  </si>
  <si>
    <t>chr2</t>
  </si>
  <si>
    <t>209113112</t>
  </si>
  <si>
    <t>623</t>
  </si>
  <si>
    <t>IDH1:NM_001282386:exon4:c.395G&gt;A:p.R132H,IDH1:NM_001282387:exon4:c.395G&gt;A:p.R132H,IDH1:NM_005896:exon4:c.395G&gt;A:p.R132H</t>
  </si>
  <si>
    <t>rs121913500</t>
  </si>
  <si>
    <t>ID=COSM28746;OCCURRENCE=41(bone),4430(central_nervous_system),365(haematopoietic_and_lymphoid_tissue),1(kidney),1(lung),2(pancreas),8(prostate),1(salivary_gland),1(skin),1(stomach),1(upper_aerodigestive_tract),1(urinary_tract)</t>
  </si>
  <si>
    <t>638:IDH1:R132H(638)</t>
  </si>
  <si>
    <t>CLINSIG=Pathogenic/Likely_pathogenic;CLNDN=Medulloblastoma|Acute_myeloid_leukemia|Transitional_cell_carcinoma_of_the_bladder|Multiple_myeloma|Astrocytoma|Brainstem_glioma|Lung_adenocarcinoma|Neoplasm_of_brain|Neoplasm_of_the_breast|Glioblastoma|Malignant_melanoma_of_skin|Adenoid_cystic_carcinoma|Myelodysplastic_syndrome|Oligodendroglioma|Colorectal_Neoplasms|Adenocarcinoma_of_prostate|Hepatocellular_carcinoma|Glioblastoma_multiforme,_somatic;CLNREVSTAT=no_assertion_criteria_provided;CLNDISDB=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0009592,MeSH:D001254,MedGen:C0004114,Orphanet:ORPHA94,SNOMED_CT:38713004|Human_Phenotype_Ontology:HP:0010796,MedGen:C0677865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0100843,MeSH:D005909,MedGen:C0017636,SNOMED_CT:63634009|MeSH:C562393,MedGen:C0151779,SNOMED_CT:93655004|MeSH:D003528,MedGen:C0010606|MeSH:D009190,MedGen:C3463824,OMIM:614286,Orphanet:ORPHA52688|MeSH:D009837,MedGen:C0028945,SNOMED_CT:443936004|MeSH:D015179,MedGen:CN236642|MedGen:C0007112|MedGen:C2239176,OMIM:114550,Orphanet:ORPHA88673,SNOMED_CT:187769009,SNOMED_CT:25370001|MedGen:C4016231;CLNALLELEID=166215</t>
  </si>
  <si>
    <t>161807855</t>
  </si>
  <si>
    <t>PRKN:NM_013988:exon7:c.691G&gt;C:p.V231L,PRKN:NM_013987:exon9:c.1054G&gt;C:p.V352L,PRKN:NM_004562:exon10:c.1138G&gt;C:p.V380L</t>
  </si>
  <si>
    <t>rs1801582</t>
  </si>
  <si>
    <t>ID=COSM4985458;OCCURRENCE=6(soft_tissue)</t>
  </si>
  <si>
    <t>6:PRKN:V380L(6)</t>
  </si>
  <si>
    <t>CLINSIG=Benign/Likely_benign;CLNDN=Parkinson_Disease,_Juvenile|Parkinson_disease_2|not_specified;CLNREVSTAT=criteria_provided,_multiple_submitters,_no_conflicts;CLNDISDB=MedGen:C0752105|MedGen:C1868675,OMIM:600116|MedGen:CN169374;CLNALLELEID=49645</t>
  </si>
  <si>
    <t>187627792</t>
  </si>
  <si>
    <t>604</t>
  </si>
  <si>
    <t>FAT1:NM_005245:exon2:c.3190A&gt;G:p.R1064G</t>
  </si>
  <si>
    <t>rs11939575</t>
  </si>
  <si>
    <t>ID=COSM4003034,COSM4003035;OCCURRENCE=1(breast),5(haematopoietic_and_lymphoid_tissue)</t>
  </si>
  <si>
    <t>14:FAT1:R1064G(14)</t>
  </si>
  <si>
    <t>16097870</t>
  </si>
  <si>
    <t>599</t>
  </si>
  <si>
    <t>NCOR1:NM_001190438:exon1:c.14G&gt;T:p.G5V,NCOR1:NM_001190440:exon1:c.14G&gt;T:p.G5V,NCOR1:NM_006311:exon2:c.14G&gt;T:p.G5V</t>
  </si>
  <si>
    <t>rs76145228</t>
  </si>
  <si>
    <t>ID=COSM3733523,COSM5427042,COSM4592605;OCCURRENCE=5(breast),3(haematopoietic_and_lymphoid_tissue),1(large_intestine),1(lung),2(pancreas),1(thyroid),17(upper_aerodigestive_tract),2(urinary_tract)</t>
  </si>
  <si>
    <t>14:NCOR1:G5V(14)</t>
  </si>
  <si>
    <t>16068340</t>
  </si>
  <si>
    <t>594</t>
  </si>
  <si>
    <t>NCOR1:NM_001190438:exon2:c.244G&gt;A:p.E82K,NCOR1:NM_001190440:exon4:c.571G&gt;A:p.E191K,NCOR1:NM_006311:exon5:c.571G&gt;A:p.E191K</t>
  </si>
  <si>
    <t>rs76780359</t>
  </si>
  <si>
    <t>ID=COSM4591259,COSM4129608,COSM5895138;OCCURRENCE=1(skin),2(thyroid),23(upper_aerodigestive_tract)</t>
  </si>
  <si>
    <t>13:NCOR1:E191K(13)</t>
  </si>
  <si>
    <t>142178144</t>
  </si>
  <si>
    <t>593</t>
  </si>
  <si>
    <t>ATR:NM_001184:exon43:c.7274G&gt;A:p.R2425Q</t>
  </si>
  <si>
    <t>rs2229032</t>
  </si>
  <si>
    <t>ID=COSM149485;OCCURRENCE=3(haematopoietic_and_lymphoid_tissue),2(kidney),12(soft_tissue),1(stomach),1(thyroid),1(upper_aerodigestive_tract)</t>
  </si>
  <si>
    <t>6:ATR:R2425Q(6)</t>
  </si>
  <si>
    <t>CLINSIG=Benign/Likely_benign;CLNDN=Seckel_syndrome|not_specified|not_provided;CLNREVSTAT=criteria_provided,_multiple_submitters,_no_conflicts;CLNDISDB=MedGen:C0265202,Orphanet:ORPHA808,SNOMED_CT:57917004|MedGen:CN169374|MedGen:CN517202;CLNALLELEID=140173</t>
  </si>
  <si>
    <t>chr15</t>
  </si>
  <si>
    <t>80263345</t>
  </si>
  <si>
    <t>589</t>
  </si>
  <si>
    <t>BCL2A1:NM_001114735:exon1:c.117T&gt;G:p.N39K,BCL2A1:NM_004049:exon1:c.117T&gt;G:p.N39K</t>
  </si>
  <si>
    <t>rs1138358</t>
  </si>
  <si>
    <t>ID=COSM3999618,COSM3999617;OCCURRENCE=3(haematopoietic_and_lymphoid_tissue),1(lung),1(thyroid),1(urinary_tract)</t>
  </si>
  <si>
    <t>117725448</t>
  </si>
  <si>
    <t>581</t>
  </si>
  <si>
    <t>ROS1:NM_002944:exon5:c.433A&gt;C:p.T145P</t>
  </si>
  <si>
    <t>rs1998206</t>
  </si>
  <si>
    <t>ID=COSM4003669,COSM4003668;OCCURRENCE=1(breast),1(haematopoietic_and_lymphoid_tissue),1(liver),3(soft_tissue),1(urinary_tract)</t>
  </si>
  <si>
    <t>2:ROS1:T145P(2)</t>
  </si>
  <si>
    <t>50436033</t>
  </si>
  <si>
    <t>580</t>
  </si>
  <si>
    <t>IKZF1:NM_001291845:exon4:c.490A&gt;G:p.R164G</t>
  </si>
  <si>
    <t>rs10899750</t>
  </si>
  <si>
    <t>ID=COSN26961937,COSN26961606,COSN26961615,COSN26961939,COSN26961663,COSN26961643,COSN26961942,COSN26961617,COSN26961614,COSN26961921,COSN26961619,COSN26961608,COSN26961923,COSN26961647,COSN26961636,COSN26961610,COSN26961938,COSN26961645,COSN26961634,COSN26961616,COSN26961623,COSN26961927,COSN26961665,COSN26961659,COSN26961632,COSN26961642,COSN26961925,COSN26961613,COSN26961630,COSN26961668,COSN26961661,COSN26961920,COSN26961628,COSN26961658,COSN26961934,COSN26961919,COSN26961622,COSN26961667,COSN26961926,COSN26961631,COSN26961928,COSN26961637,COSN26961638,COSN26634105,COSN26961654,COSN26728748,COSN26961641,COSN26961651,COSN26961646,COSN26961931,COSN26961653,COSN26961618,COSN26961607,COSN26961635,COSN26961639,COSN26961620,COSN26961660,COSN26961655,COSN26961633,COSN26961626,COSN26961918,COSN26961935,COSN26961933,COSN26961649,COSN26961625,COSN26961932,COSN26961662,COSN26961656,COSN26961929,COSN26961650,COSN26961941,COSN26961664,COSN26961604,COSN26961627,COSN26961609,COSN26961624,COSN26961605,COSN26961936,COSN26961657,COSN26961621,COSN26961640,COSN26961940,COSN26961652,COSN26961924,COSN26961612,COSN26961922,COSN26961629,COSN26961930,COSN26961603,COSN26961648,COSN26961644,COSN26961611,COSN26961666;OCCURRENCE=1(breast),91(haematopoietic_and_lymphoid_tissue),1(liver)</t>
  </si>
  <si>
    <t>176637240</t>
  </si>
  <si>
    <t>576</t>
  </si>
  <si>
    <t>NSD1:NM_022455:exon5:c.1840G&gt;T:p.V614L,NSD1:NM_172349:exon6:c.1033G&gt;T:p.V345L</t>
  </si>
  <si>
    <t>rs3733875</t>
  </si>
  <si>
    <t>ID=COSM4987203,COSM4987204;OCCURRENCE=1(breast),12(haematopoietic_and_lymphoid_tissue),2(lung),1(oesophagus),1(skin),7(soft_tissue)</t>
  </si>
  <si>
    <t>1:NSD1:V614L(1)</t>
  </si>
  <si>
    <t>CLINSIG=Benign;CLNDN=Weaver_syndrome|not_specified|Sotos_Syndrome;CLNREVSTAT=criteria_provided,_multiple_submitters,_no_conflicts;CLNDISDB=MedGen:C0265210,OMIM:277590,SNOMED_CT:63119004|MedGen:CN169374|MedGen:CN239475;CLNALLELEID=101936</t>
  </si>
  <si>
    <t>152665261</t>
  </si>
  <si>
    <t>572</t>
  </si>
  <si>
    <t>SYNE1:NM_033071:exon73:c.11967G&gt;T:p.E3989D,SYNE1:NM_182961:exon74:c.12180G&gt;T:p.E4060D</t>
  </si>
  <si>
    <t>rs4645434</t>
  </si>
  <si>
    <t>ID=COSM3748319,COSM42924,COSM1441465,COSM136573,COSM3748318;OCCURRENCE=1(central_nervous_system),1(haematopoietic_and_lymphoid_tissue),2(large_intestine),1(skin),1(urinary_tract)</t>
  </si>
  <si>
    <t>6:SYNE1:E4060D(6)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</si>
  <si>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135844</t>
  </si>
  <si>
    <t>16097825</t>
  </si>
  <si>
    <t>547</t>
  </si>
  <si>
    <t>NCOR1:NM_001190438:exon1:c.59A&gt;C:p.Y20S,NCOR1:NM_001190440:exon1:c.59A&gt;C:p.Y20S,NCOR1:NM_006311:exon2:c.59A&gt;C:p.Y20S</t>
  </si>
  <si>
    <t>rs73281920</t>
  </si>
  <si>
    <t>ID=COSM4592175,COSM5427043,COSM3733522;OCCURRENCE=5(breast),4(central_nervous_system),2(haematopoietic_and_lymphoid_tissue),1(kidney),1(large_intestine),2(pancreas),3(thyroid),13(upper_aerodigestive_tract)</t>
  </si>
  <si>
    <t>13:NCOR1:Y20S(13)</t>
  </si>
  <si>
    <t>2191309</t>
  </si>
  <si>
    <t>544</t>
  </si>
  <si>
    <t>SMARCA2:NM_001289398:exon6:c.612C&gt;G:p.D204E,SMARCA2:NM_001289399:exon7:c.696C&gt;G:p.D232E,SMARCA2:NM_001289400:exon7:c.702C&gt;G:p.D234E,SMARCA2:NM_001289397:exon32:c.4410C&gt;G:p.D1470E,SMARCA2:NM_139045:exon32:c.4584C&gt;G:p.D1528E,SMARCA2:NM_001289396:exon33:c.4638C&gt;G:p.D1546E,SMARCA2:NM_003070:exon33:c.4638C&gt;G:p.D1546E</t>
  </si>
  <si>
    <t>rs2296212</t>
  </si>
  <si>
    <t>ID=COSM4408968,COSM4408971,COSM4408969,COSM4408970;OCCURRENCE=1(breast),1(haematopoietic_and_lymphoid_tissue),1(liver),3(soft_tissue),1(urinary_tract)</t>
  </si>
  <si>
    <t>3:SMARCA2:D1546E(3)</t>
  </si>
  <si>
    <t>CLINSIG=Benign;CLNDN=Nicolaides-Baraitser_syndrome|not_specified;CLNREVSTAT=criteria_provided,_single_submitter;CLNDISDB=MedGen:C1303073,OMIM:601358,Orphanet:ORPHA3051,SNOMED_CT:401046009|MedGen:CN169374;CLNALLELEID=131881</t>
  </si>
  <si>
    <t>225362478</t>
  </si>
  <si>
    <t>534</t>
  </si>
  <si>
    <t>CUL3:NM_001257197:exon11:c.1501G&gt;A:p.V501I,CUL3:NM_001257198:exon12:c.1717G&gt;A:p.V573I,CUL3:NM_003590:exon12:c.1699G&gt;A:p.V567I</t>
  </si>
  <si>
    <t>rs3738952</t>
  </si>
  <si>
    <t>ID=COSM6350665;OCCURRENCE=1(breast),15(haematopoietic_and_lymphoid_tissue),1(lung)</t>
  </si>
  <si>
    <t>1:CUL3:V567I(1)</t>
  </si>
  <si>
    <t>CLINSIG=Benign;CLNDN=not_specified|Pseudohypoaldosteronism,_Type_I,_Dominant;CLNREVSTAT=criteria_provided,_multiple_submitters,_no_conflicts;CLNDISDB=MedGen:CN169374|MedGen:CN239441;CLNALLELEID=250581</t>
  </si>
  <si>
    <t>35874575</t>
  </si>
  <si>
    <t>533</t>
  </si>
  <si>
    <t>IL7R:NM_002185:exon6:c.731C&gt;T:p.T244I</t>
  </si>
  <si>
    <t>rs6897932</t>
  </si>
  <si>
    <t>ID=COSM132904;OCCURRENCE=2(haematopoietic_and_lymphoid_tissue),4(large_intestine),1(lung),1(pancreas),5(soft_tissue),1(stomach)</t>
  </si>
  <si>
    <t>10:IL7R:T244I(10)</t>
  </si>
  <si>
    <t>CLINSIG=Benign;CLNDN=not_specified|Severe_Combined_Immune_Deficiency;CLNREVSTAT=criteria_provided,_multiple_submitters,_no_conflicts;CLNDISDB=MedGen:CN169374|MedGen:CN239264;CLNALLELEID=138269</t>
  </si>
  <si>
    <t>chr19</t>
  </si>
  <si>
    <t>36224705</t>
  </si>
  <si>
    <t>531</t>
  </si>
  <si>
    <t>KMT2B:NM_014727:exon30:c.7091A&gt;G:p.D2364G</t>
  </si>
  <si>
    <t>rs231591</t>
  </si>
  <si>
    <t>ID=COSM6848096,COSM3756677;OCCURRENCE=1(haematopoietic_and_lymphoid_tissue),1(large_intestine),1(lung),1(pancreas),1(pleura),1(thyroid)</t>
  </si>
  <si>
    <t>3:KMT2B:D2364G(3)</t>
  </si>
  <si>
    <t>28624294</t>
  </si>
  <si>
    <t>528</t>
  </si>
  <si>
    <t>FLT3:NM_004119:exon6:c.680C&gt;T:p.T227M</t>
  </si>
  <si>
    <t>rs1933437</t>
  </si>
  <si>
    <t>ID=COSM5019176;OCCURRENCE=68(haematopoietic_and_lymphoid_tissue),1(large_intestine),18(soft_tissue)</t>
  </si>
  <si>
    <t>14:FLT3:T227M(14)</t>
  </si>
  <si>
    <t>CLINSIG=not_provided;CLNDN=not_specified;CLNREVSTAT=no_assertion_provided;CLNDISDB=MedGen:CN169374;CLNALLELEID=138186</t>
  </si>
  <si>
    <t>133541575</t>
  </si>
  <si>
    <t>518</t>
  </si>
  <si>
    <t>NCKAP5:NM_207363:exon14:c.2809G&gt;A:p.V937I</t>
  </si>
  <si>
    <t>rs12611515</t>
  </si>
  <si>
    <t>ID=COSM441142;OCCURRENCE=5(haematopoietic_and_lymphoid_tissue),2(lung),1(upper_aerodigestive_tract)</t>
  </si>
  <si>
    <t>4:NCKAP5:V937I(4)</t>
  </si>
  <si>
    <t>80911525</t>
  </si>
  <si>
    <t>517</t>
  </si>
  <si>
    <t>SPRY2:NM_001318536:exon2:c.316C&gt;T:p.P106S,SPRY2:NM_001318537:exon2:c.316C&gt;T:p.P106S,SPRY2:NM_001318538:exon2:c.316C&gt;T:p.P106S,SPRY2:NM_005842:exon2:c.316C&gt;T:p.P106S</t>
  </si>
  <si>
    <t>rs504122</t>
  </si>
  <si>
    <t>ID=COSM3753753;OCCURRENCE=3(haematopoietic_and_lymphoid_tissue),1(large_intestine),1(pancreas),1(thyroid),2(urinary_tract)</t>
  </si>
  <si>
    <t>9:SPRY2:P106S(9)</t>
  </si>
  <si>
    <t>56177848</t>
  </si>
  <si>
    <t>TCAA</t>
  </si>
  <si>
    <t>511</t>
  </si>
  <si>
    <t>MAP3K1:NM_005921:exon14:c.2822_2824del:p.941_942del</t>
  </si>
  <si>
    <t>rs10552703</t>
  </si>
  <si>
    <t>ID=COSM4594440,COSM4594439;OCCURRENCE=5(central_nervous_system),1(upper_aerodigestive_tract)</t>
  </si>
  <si>
    <t>CLINSIG=Benign;CLNDN=46,XY_sex_reversal,_type_6|not_specified;CLNREVSTAT=criteria_provided,_multiple_submitters,_no_conflicts;CLNDISDB=MedGen:C3151064,OMIM:613762|MedGen:CN169374;CLNALLELEID=428439</t>
  </si>
  <si>
    <t>41223094</t>
  </si>
  <si>
    <t>500</t>
  </si>
  <si>
    <t>BRCA1:NM_007297:exon14:c.4696A&gt;G:p.S1566G,BRCA1:NM_007298:exon14:c.1525A&gt;G:p.S509G,BRCA1:NM_007294:exon15:c.4837A&gt;G:p.S1613G,BRCA1:NM_007299:exon15:c.1525A&gt;G:p.S509G,BRCA1:NM_007300:exon16:c.4900A&gt;G:p.S1634G</t>
  </si>
  <si>
    <t>rs1799966</t>
  </si>
  <si>
    <t>ID=COSM3755560,COSM3755559;OCCURRENCE=1(breast),3(haematopoietic_and_lymphoid_tissue),2(large_intestine),2(lung),1(thymus),1(urinary_tract)</t>
  </si>
  <si>
    <t>18:BRCA1:S1634G(11),S1613G(7)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</si>
  <si>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50266</t>
  </si>
  <si>
    <t>23646191</t>
  </si>
  <si>
    <t>498</t>
  </si>
  <si>
    <t>PALB2:NM_024675:exon4:c.1676A&gt;G:p.Q559R</t>
  </si>
  <si>
    <t>rs152451</t>
  </si>
  <si>
    <t>ID=COSM4985454;OCCURRENCE=1(haematopoietic_and_lymphoid_tissue),1(lung),9(soft_tissue)</t>
  </si>
  <si>
    <t>5:PALB2:Q559R(5)</t>
  </si>
  <si>
    <t>CLINSIG=Benign/Likely_benign;CLNDN=Fanconi_anemia|Hereditary_cancer-predisposing_syndrome|Familial_cancer_of_breast|not_specified;CLNREVSTAT=criteria_provided,_multiple_submitters,_no_conflicts;CLNDISDB=MedGen:C0015625,Orphanet:ORPHA84,SNOMED_CT:30575002|MedGen:C0027672,SNOMED_CT:699346009|MedGen:C0346153,OMIM:114480,Orphanet:ORPHA227535,SNOMED_CT:254843006|MedGen:CN169374;CLNALLELEID=132123</t>
  </si>
  <si>
    <t>5557708</t>
  </si>
  <si>
    <t>490</t>
  </si>
  <si>
    <t>PDCD1LG2:NM_025239:exon5:c.722T&gt;C:p.I241T</t>
  </si>
  <si>
    <t>rs7854413</t>
  </si>
  <si>
    <t>ID=COSM3982895;OCCURRENCE=2(haematopoietic_and_lymphoid_tissue),2(lung),3(soft_tissue)</t>
  </si>
  <si>
    <t>1:PDCD1LG2:I241T(1)</t>
  </si>
  <si>
    <t>152469188</t>
  </si>
  <si>
    <t>485</t>
  </si>
  <si>
    <t>SYNE1:NM_001347702:exon8:c.1433G&gt;C:p.G478A,SYNE1:NM_001347701:exon10:c.1574G&gt;C:p.G525A,SYNE1:NM_033071:exon136:c.24755G&gt;C:p.G8252A,SYNE1:NM_182961:exon137:c.24968G&gt;C:p.G8323A</t>
  </si>
  <si>
    <t>rs2252755</t>
  </si>
  <si>
    <t>ID=COSM4407131,COSM4407132,COSM4407130,COSM4407129,COSM4407133;OCCURRENCE=1(haematopoietic_and_lymphoid_tissue),5(large_intestine),1(liver),2(lung)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</si>
  <si>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135874</t>
  </si>
  <si>
    <t>chr11</t>
  </si>
  <si>
    <t>108183167</t>
  </si>
  <si>
    <t>484</t>
  </si>
  <si>
    <t>ATM:NM_000051:exon40:c.5948A&gt;G:p.N1983S</t>
  </si>
  <si>
    <t>rs659243</t>
  </si>
  <si>
    <t>ID=COSM4590264,COSM4590263;OCCURRENCE=97(haematopoietic_and_lymphoid_tissue),23(upper_aerodigestive_tract)</t>
  </si>
  <si>
    <t>14:ATM:N1983S(14)</t>
  </si>
  <si>
    <t>CLINSIG=Benign;CLNDN=not_specified;CLNREVSTAT=criteria_provided,_single_submitter;CLNDISDB=MedGen:CN169374;CLNALLELEID=137366</t>
  </si>
  <si>
    <t>36645696</t>
  </si>
  <si>
    <t>482</t>
  </si>
  <si>
    <t>CDKN1A:NM_001291549:exon2:c.83A&gt;G:p.D28G</t>
  </si>
  <si>
    <t>rs2395655</t>
  </si>
  <si>
    <t>ID=COSM5480661;OCCURRENCE=1(breast),10(central_nervous_system),1(large_intestine)</t>
  </si>
  <si>
    <t>55229255</t>
  </si>
  <si>
    <t>468</t>
  </si>
  <si>
    <t>EGFR:NM_001346941:exon7:c.761G&gt;A:p.R254K,EGFR:NM_001346897:exon12:c.1427G&gt;A:p.R476K,EGFR:NM_001346899:exon12:c.1427G&gt;A:p.R476K,EGFR:NM_001346898:exon13:c.1562G&gt;A:p.R521K,EGFR:NM_001346900:exon13:c.1403G&gt;A:p.R468K,EGFR:NM_005228:exon13:c.1562G&gt;A:p.R521K,EGFR:NM_201282:exon13:c.1562G&gt;A:p.R521K,EGFR:NM_201284:exon13:c.1562G&gt;A:p.R521K</t>
  </si>
  <si>
    <t>rs2227983</t>
  </si>
  <si>
    <t>ID=COSM3721609,COSM5830713,COSM5830712,COSM3721608;OCCURRENCE=1(autonomic_ganglia),2(central_nervous_system),1(haematopoietic_and_lymphoid_tissue),1(large_intestine),8(lung),1(pleura),1(thyroid),1(upper_aerodigestive_tract)</t>
  </si>
  <si>
    <t>21:EGFR:R521K(21)</t>
  </si>
  <si>
    <t>CLINSIG=Likely_benign;CLNDN=Lung_cancer|not_specified;CLNREVSTAT=criteria_provided,_multiple_submitters,_no_conflicts;CLNDISDB=MedGen:C0684249,OMIM:211980,SNOMED_CT:187875007|MedGen:CN169374;CLNALLELEID=137760</t>
  </si>
  <si>
    <t>73350079</t>
  </si>
  <si>
    <t>467</t>
  </si>
  <si>
    <t>DIS3:NM_001322348:exon4:c.437A&gt;G:p.N146S,DIS3:NM_001128226:exon5:c.716A&gt;G:p.N239S,DIS3:NM_014953:exon5:c.806A&gt;G:p.N269S,DIS3:NM_001322349:exon6:c.320A&gt;G:p.N107S</t>
  </si>
  <si>
    <t>rs4883918</t>
  </si>
  <si>
    <t>ID=COSM5003869;OCCURRENCE=45(haematopoietic_and_lymphoid_tissue),1(lung),1(pancreas),8(soft_tissue)</t>
  </si>
  <si>
    <t>7:DIS3:N269S(7)</t>
  </si>
  <si>
    <t>35861068</t>
  </si>
  <si>
    <t>466</t>
  </si>
  <si>
    <t>IL7R:NM_002185:exon2:c.197T&gt;C:p.I66T</t>
  </si>
  <si>
    <t>rs1494558</t>
  </si>
  <si>
    <t>ID=COSM149813;OCCURRENCE=1(haematopoietic_and_lymphoid_tissue),2(large_intestine),2(lung),18(soft_tissue),1(stomach),3(urinary_tract)</t>
  </si>
  <si>
    <t>15:IL7R:I66T(15)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</si>
  <si>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29878</t>
  </si>
  <si>
    <t>35871190</t>
  </si>
  <si>
    <t>464</t>
  </si>
  <si>
    <t>IL7R:NM_002185:exon4:c.412G&gt;A:p.V138I</t>
  </si>
  <si>
    <t>rs1494555</t>
  </si>
  <si>
    <t>ID=COSM149814;OCCURRENCE=1(haematopoietic_and_lymphoid_tissue),2(large_intestine),1(pancreas),18(soft_tissue),1(stomach),1(thyroid)</t>
  </si>
  <si>
    <t>15:IL7R:V138I(15)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</si>
  <si>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29879</t>
  </si>
  <si>
    <t>chr22</t>
  </si>
  <si>
    <t>36684354</t>
  </si>
  <si>
    <t>453</t>
  </si>
  <si>
    <t>MYH9:NM_002473:exon34:c.4876A&gt;G:p.I1626V</t>
  </si>
  <si>
    <t>rs2269529</t>
  </si>
  <si>
    <t>ID=COSM5019313;OCCURRENCE=12(soft_tissue),1(urinary_tract)</t>
  </si>
  <si>
    <t>CLINSIG=Benign;CLNDN=MYH9_related_disorders|not_specified|MYH9-related_disorder|Nonsyndromic_Hearing_Loss,_Dominant;CLNREVSTAT=criteria_provided,_multiple_submitters,_no_conflicts;CLNDISDB=MedGen:CN073381,Orphanet:ORPHA182050|MedGen:CN169374|MedGen:CN239288|MedGen:CN239435;CLNALLELEID=47570</t>
  </si>
  <si>
    <t>98209594</t>
  </si>
  <si>
    <t>452</t>
  </si>
  <si>
    <t>PTCH1:NM_000264:exon23:c.3944C&gt;T:p.P1315L,PTCH1:NM_001083602:exon23:c.3746C&gt;T:p.P1249L,PTCH1:NM_001083603:exon23:c.3941C&gt;T:p.P1314L,PTCH1:NM_001083604:exon23:c.3491C&gt;T:p.P1164L,PTCH1:NM_001083605:exon23:c.3491C&gt;T:p.P1164L,PTCH1:NM_001083606:exon23:c.3491C&gt;T:p.P1164L,PTCH1:NM_001083607:exon23:c.3491C&gt;T:p.P1164L</t>
  </si>
  <si>
    <t>rs357564</t>
  </si>
  <si>
    <t>ID=COSM1638396,COSM1638395,COSM1638394,COSM1638397;OCCURRENCE=1(bone),1(breast),3(haematopoietic_and_lymphoid_tissue),1(large_intestine),2(lung),2(pancreas),11(soft_tissue)</t>
  </si>
  <si>
    <t>18:PTCH1:P1315L(18)</t>
  </si>
  <si>
    <t>CLINSIG=Benign;CLNDN=Holoprosencephaly_sequence|Gorlin_syndrome|Hereditary_cancer-predisposing_syndrome|not_specified|not_provided;CLNREVSTAT=criteria_provided,_multiple_submitters,_no_conflicts;CLNDISDB=Gene:3244,Human_Phenotype_Ontology:HP:0001360,MedGen:C0079541,Orphanet:ORPHA2162,SNOMED_CT:30915001|MedGen:C0004779,OMIM:109400,Orphanet:ORPHA377,SNOMED_CT:69408002|MedGen:C0027672,SNOMED_CT:699346009|MedGen:CN169374|MedGen:CN517202;CLNALLELEID=50102</t>
  </si>
  <si>
    <t>chr8</t>
  </si>
  <si>
    <t>48805816</t>
  </si>
  <si>
    <t>AG</t>
  </si>
  <si>
    <t>449</t>
  </si>
  <si>
    <t>unknown</t>
  </si>
  <si>
    <t>UNKNOWN</t>
  </si>
  <si>
    <t>rs11411516</t>
  </si>
  <si>
    <t>ID=COSM5022161,COSM5022162;OCCURRENCE=1(bone),6(central_nervous_system)</t>
  </si>
  <si>
    <t>chr12</t>
  </si>
  <si>
    <t>6711147</t>
  </si>
  <si>
    <t>439</t>
  </si>
  <si>
    <t>CHD4:NM_001297553:exon3:c.396G&gt;T:p.E132D,CHD4:NM_001273:exon4:c.417G&gt;T:p.E139D</t>
  </si>
  <si>
    <t>rs1639122</t>
  </si>
  <si>
    <t>ID=COSM1363777,COSM1363775,COSM1363776;OCCURRENCE=4(haematopoietic_and_lymphoid_tissue),2(large_intestine),1(lung),1(pancreas),2(prostate),1(skin),16(soft_tissue)</t>
  </si>
  <si>
    <t>2:CHD4:E139D(2)</t>
  </si>
  <si>
    <t>142567910</t>
  </si>
  <si>
    <t>435</t>
  </si>
  <si>
    <t>LRP1B:NM_018557:exon2:c.143A&gt;G:p.Q48R</t>
  </si>
  <si>
    <t>rs12990449</t>
  </si>
  <si>
    <t>ID=COSM5019848;OCCURRENCE=1(haematopoietic_and_lymphoid_tissue),1(lung),7(soft_tissue)</t>
  </si>
  <si>
    <t>1:LRP1B:Q48R(1)</t>
  </si>
  <si>
    <t>41903782</t>
  </si>
  <si>
    <t>425</t>
  </si>
  <si>
    <t>CCND3:NM_001136125:exon4:c.559T&gt;G:p.S187A,CCND3:NM_001136126:exon4:c.187T&gt;G:p.S63A,CCND3:NM_001136017:exon5:c.532T&gt;G:p.S178A,CCND3:NM_001287427:exon5:c.625T&gt;G:p.S209A,CCND3:NM_001287434:exon5:c.187T&gt;G:p.S63A,CCND3:NM_001760:exon5:c.775T&gt;G:p.S259A</t>
  </si>
  <si>
    <t>rs1051130</t>
  </si>
  <si>
    <t>ID=COSM451455;OCCURRENCE=1(breast),85(haematopoietic_and_lymphoid_tissue),1(pancreas),20(soft_tissue),1(thyroid),2(urinary_tract)</t>
  </si>
  <si>
    <t>25:CCND3:S259A(25)</t>
  </si>
  <si>
    <t>80149981</t>
  </si>
  <si>
    <t>419</t>
  </si>
  <si>
    <t>MSH3:NM_002439:exon21:c.2846A&gt;G:p.Q949R</t>
  </si>
  <si>
    <t>rs184967</t>
  </si>
  <si>
    <t>ID=COSM4160036;OCCURRENCE=42(large_intestine),1(liver),1(thyroid)</t>
  </si>
  <si>
    <t>1:MSH3:Q949R(1)</t>
  </si>
  <si>
    <t>chrX</t>
  </si>
  <si>
    <t>76937963</t>
  </si>
  <si>
    <t>415</t>
  </si>
  <si>
    <t>ATRX:NM_138270:exon8:c.2671C&gt;G:p.Q891E,ATRX:NM_000489:exon9:c.2785C&gt;G:p.Q929E</t>
  </si>
  <si>
    <t>rs3088074</t>
  </si>
  <si>
    <t>ID=COSM3759543,COSM3759544;OCCURRENCE=2(breast),1(haematopoietic_and_lymphoid_tissue),1(large_intestine),2(urinary_tract)</t>
  </si>
  <si>
    <t>4:ATRX:Q929E(4)</t>
  </si>
  <si>
    <t>CLINSIG=Benign;CLNDN=not_specified;CLNREVSTAT=criteria_provided,_single_submitter;CLNDISDB=MedGen:CN169374;CLNALLELEID=99042</t>
  </si>
  <si>
    <t>17124815</t>
  </si>
  <si>
    <t>412</t>
  </si>
  <si>
    <t>FLCN:NM_144606:exon8:c.907G&gt;A:p.G303R</t>
  </si>
  <si>
    <t>rs3744124</t>
  </si>
  <si>
    <t>ID=COSM4129627;OCCURRENCE=1(breast),2(haematopoietic_and_lymphoid_tissue),3(soft_tissue),1(thyroid)</t>
  </si>
  <si>
    <t>CLINSIG=Benign;CLNDN=not_specified|not_provided;CLNREVSTAT=criteria_provided,_single_submitter;CLNDISDB=MedGen:CN169374|MedGen:CN517202;CLNALLELEID=50300</t>
  </si>
  <si>
    <t>7579472</t>
  </si>
  <si>
    <t>409</t>
  </si>
  <si>
    <t>TP53:NM_001126118:exon3:c.98C&gt;G:p.P33R,TP53:NM_000546:exon4:c.215C&gt;G:p.P72R,TP53:NM_001126112:exon4:c.215C&gt;G:p.P72R,TP53:NM_001126113:exon4:c.215C&gt;G:p.P72R,TP53:NM_001126114:exon4:c.215C&gt;G:p.P72R,TP53:NM_001276695:exon4:c.98C&gt;G:p.P33R,TP53:NM_001276696:exon4:c.98C&gt;G:p.P33R,TP53:NM_001276760:exon4:c.98C&gt;G:p.P33R,TP53:NM_001276761:exon4:c.98C&gt;G:p.P33R</t>
  </si>
  <si>
    <t>rs1042522</t>
  </si>
  <si>
    <t>ID=COSM250061,COSM3766193,COSM3766192,COSM3766190,COSM3766191;OCCURRENCE=2(biliary_tract),1(central_nervous_system),85(haematopoietic_and_lymphoid_tissue),37(large_intestine),2(liver),2(lung),3(pancreas),1(pleura),1(prostate),1(skin),20(soft_tissue),1(stomach),2(thyroid),3(upper_aerodigestive_tract),1(urinary_tract)</t>
  </si>
  <si>
    <t>33:TP53:P72R(33)</t>
  </si>
  <si>
    <t>CLINSIG=drug_response;CLNDN=CODON_72_POLYMORPHISM,_(rs1042522)|Li-Fraumeni_syndrome_1|Hereditary_cancer-predisposing_syndrome|Li-Fraumeni_syndrome|not_specified|antineoplastic_agents_response_-_Efficacy,_Toxicity/ADR|cisplatin_response_-_Efficacy,_Toxicity/ADR|cyclophosphamide_response_-_Efficacy,_Toxicity/ADR|fluorouracil_response_-_Efficacy,_Toxicity/ADR|paclitaxel_response_-_Efficacy,_Toxicity/ADR|not_provided;CLNREVSTAT=reviewed_by_expert_panel;CLNDISDB=.|Gene:553989,MedGen:C1835398,OMIM:151623|MedGen:C0027672,SNOMED_CT:699346009|MedGen:C0085390,Orphanet:ORPHA524,SNOMED_CT:428850001|MedGen:CN169374|MedGen:CN236462|MedGen:CN236501|MedGen:CN236518|MedGen:CN236554|MedGen:CN236572|MedGen:CN517202;CLNALLELEID=27390</t>
  </si>
  <si>
    <t>89836323</t>
  </si>
  <si>
    <t>397</t>
  </si>
  <si>
    <t>FANCA:NM_000135:exon26:c.2426G&gt;A:p.G809D,FANCA:NM_001286167:exon26:c.2426G&gt;A:p.G809D</t>
  </si>
  <si>
    <t>rs7195066</t>
  </si>
  <si>
    <t>ID=COSM435949;OCCURRENCE=1(large_intestine),10(soft_tissue)</t>
  </si>
  <si>
    <t>11:FANCA:G809D(11)</t>
  </si>
  <si>
    <t>CLINSIG=Benign;CLNDN=Fanconi_anemia|not_specified;CLNREVSTAT=criteria_provided,_multiple_submitters,_no_conflicts;CLNDISDB=MedGen:C0015625,Orphanet:ORPHA84,SNOMED_CT:30575002|MedGen:CN169374;CLNALLELEID=137993</t>
  </si>
  <si>
    <t>10475652</t>
  </si>
  <si>
    <t>386</t>
  </si>
  <si>
    <t>TYK2:NM_003331:exon8:c.1084G&gt;T:p.V362F</t>
  </si>
  <si>
    <t>rs2304256</t>
  </si>
  <si>
    <t>ID=COSM3756274;OCCURRENCE=1(breast),42(haematopoietic_and_lymphoid_tissue),1(large_intestine),1(lung),1(prostate),11(soft_tissue)</t>
  </si>
  <si>
    <t>1:TYK2:V362F(1)</t>
  </si>
  <si>
    <t>CLINSIG=Benign;CLNDN=not_specified|Familial_Atypical_Mycobacteriosis,_Autosomal_Recessive;CLNREVSTAT=criteria_provided,_multiple_submitters,_no_conflicts;CLNDISDB=MedGen:CN169374|MedGen:CN239257;CLNALLELEID=256742</t>
  </si>
  <si>
    <t>111884608</t>
  </si>
  <si>
    <t>378</t>
  </si>
  <si>
    <t>SH2B3:NM_001291424:exon2:c.178T&gt;C:p.W60R,SH2B3:NM_005475:exon3:c.784T&gt;C:p.W262R</t>
  </si>
  <si>
    <t>rs3184504</t>
  </si>
  <si>
    <t>ID=COSM4985153,COSM6494130;OCCURRENCE=85(haematopoietic_and_lymphoid_tissue),1(pancreas),15(soft_tissue)</t>
  </si>
  <si>
    <t>15:SH2B3:W262R(15)</t>
  </si>
  <si>
    <t>1295349</t>
  </si>
  <si>
    <t>upstream</t>
  </si>
  <si>
    <t>362</t>
  </si>
  <si>
    <t>dist=187</t>
  </si>
  <si>
    <t>rs2853669</t>
  </si>
  <si>
    <t>ID=COSM6908517;OCCURRENCE=9(urinary_tract)</t>
  </si>
  <si>
    <t>CLINSIG=Benign;CLNDN=Idiopathic_fibrosing_alveolitis,_chronic_form|Dyskeratosis_congenita,_autosomal_dominant,_2;CLNREVSTAT=criteria_provided,_single_submitter;CLNDISDB=MedGen:C1800706,OMIM:178500,Orphanet:ORPHA79126,SNOMED_CT:28168000|MedGen:C3151443,OMIM:613989;CLNALLELEID=520856</t>
  </si>
  <si>
    <t>234590970</t>
  </si>
  <si>
    <t>360</t>
  </si>
  <si>
    <t>UGT1A7:NM_019077:exon1:c.387T&gt;G:p.N129K</t>
  </si>
  <si>
    <t>rs17868323</t>
  </si>
  <si>
    <t>ID=COSM3758046;OCCURRENCE=1(breast),1(haematopoietic_and_lymphoid_tissue),1(large_intestine),19(upper_aerodigestive_tract)</t>
  </si>
  <si>
    <t>CLINSIG=Benign;CLNDN=not_specified;CLNREVSTAT=criteria_provided,_single_submitter;CLNDISDB=MedGen:CN169374;CLNALLELEID=434020</t>
  </si>
  <si>
    <t>48710955</t>
  </si>
  <si>
    <t>356</t>
  </si>
  <si>
    <t>rs7830743</t>
  </si>
  <si>
    <t>ID=COSM4419825,COSM4419824;OCCURRENCE=3(haematopoietic_and_lymphoid_tissue),9(soft_tissue)</t>
  </si>
  <si>
    <t>1:PRKDC:I3433T(1)</t>
  </si>
  <si>
    <t>CLINSIG=Benign;CLNDN=not_specified;CLNREVSTAT=criteria_provided,_single_submitter;CLNDISDB=MedGen:CN169374;CLNALLELEID=371887</t>
  </si>
  <si>
    <t>41743861</t>
  </si>
  <si>
    <t>353</t>
  </si>
  <si>
    <t>AXL:NM_001699:exon7:c.796A&gt;G:p.N266D,AXL:NM_021913:exon7:c.796A&gt;G:p.N266D</t>
  </si>
  <si>
    <t>rs7249222</t>
  </si>
  <si>
    <t>ID=COSM4590532,COSM4590533;OCCURRENCE=23(upper_aerodigestive_tract)</t>
  </si>
  <si>
    <t>14:AXL:N266D(14)</t>
  </si>
  <si>
    <t>64572018</t>
  </si>
  <si>
    <t>328</t>
  </si>
  <si>
    <t>MEN1:NM_000244:exon10:c.1636A&gt;G:p.T546A,MEN1:NM_130799:exon10:c.1621A&gt;G:p.T541A,MEN1:NM_130800:exon10:c.1636A&gt;G:p.T546A,MEN1:NM_130801:exon10:c.1636A&gt;G:p.T546A,MEN1:NM_130802:exon10:c.1636A&gt;G:p.T546A,MEN1:NM_130803:exon10:c.1636A&gt;G:p.T546A,MEN1:NM_130804:exon11:c.1636A&gt;G:p.T546A</t>
  </si>
  <si>
    <t>rs2959656</t>
  </si>
  <si>
    <t>ID=COSM255213;OCCURRENCE=1(haematopoietic_and_lymphoid_tissue),1(lung),22(soft_tissue)</t>
  </si>
  <si>
    <t>14:MEN1:T546A(14)</t>
  </si>
  <si>
    <t>CLINSIG=Benign;CLNDN=not_specified;CLNREVSTAT=criteria_provided,_multiple_submitters,_no_conflicts;CLNDISDB=MedGen:CN169374;CLNALLELEID=138379</t>
  </si>
  <si>
    <t>7578407</t>
  </si>
  <si>
    <t>304</t>
  </si>
  <si>
    <t>TP53:NM_001126115:exon1:c.127C&gt;G:p.R43G,TP53:NM_001126116:exon1:c.127C&gt;G:p.R43G,TP53:NM_001126117:exon1:c.127C&gt;G:p.R43G,TP53:NM_001276697:exon1:c.46C&gt;G:p.R16G,TP53:NM_001276698:exon1:c.46C&gt;G:p.R16G,TP53:NM_001276699:exon1:c.46C&gt;G:p.R16G,TP53:NM_001126118:exon4:c.406C&gt;G:p.R136G,TP53:NM_000546:exon5:c.523C&gt;G:p.R175G,TP53:NM_001126112:exon5:c.523C&gt;G:p.R175G,TP53:NM_001126113:exon5:c.523C&gt;G:p.R175G,TP53:NM_001126114:exon5:c.523C&gt;G:p.R175G,TP53:NM_001276695:exon5:c.406C&gt;G:p.R136G,TP53:NM_001276696:exon5:c.406C&gt;G:p.R136G,TP53:NM_001276760:exon5:c.406C&gt;G:p.R136G,TP53:NM_001276761:exon5:c.406C&gt;G:p.R136G</t>
  </si>
  <si>
    <t>rs138729528</t>
  </si>
  <si>
    <t>ID=COSM4070040,COSM707882,COSM707883,COSM1640852,COSM707881,COSM10870,COSM707880;OCCURRENCE=3(breast),1(central_nervous_system),1(endometrium),5(haematopoietic_and_lymphoid_tissue),5(large_intestine),5(lung),3(oesophagus),2(ovary),1(pancreas),4(stomach),1(upper_aerodigestive_tract),1(urinary_tract)</t>
  </si>
  <si>
    <t>21:TP53:R175G(21)</t>
  </si>
  <si>
    <t>CLINSIG=Pathogenic/Likely_pathogenic;CLNDN=Medulloblastoma|Chronic_lymphocytic_leukemia|Pancreatic_adenocarcinoma|Transitional_cell_carcinoma_of_the_bladder|Brainstem_glioma|Carcinoma_of_esophagus|Lung_adenocarcinoma|Squamous_cell_lung_carcinoma|Neoplasm_of_brain|Neoplasm_of_the_breast|Glioblastoma|Squamous_cell_carcinoma_of_the_head_and_neck|Malignant_melanoma_of_skin|Nasopharyngeal_Neoplasms|Colorectal_Neoplasms|Adenocarcinoma_of_prostate|Hereditary_cancer-predisposing_syndrome|Li-Fraumeni_syndrome|Malignant_neoplasm_of_body_of_uterus|Carcinoma_of_gallbladder|Adenocarcinoma_of_stomach|Ovarian_Serous_Cystadenocarcinoma|Uterine_Carcinosarcoma|Hepatocellular_carcinoma;CLNREVSTAT=criteria_provided,_multiple_submitters,_no_conflicts;CLNDISDB=Human_Phenotype_Ontology:HP:0002885,MeSH:D008527,MedGen:C0025149,OMIM:155255,Orphanet:ORPHA616|Human_Phenotype_Ontology:HP:0005550,MeSH:D015451,MedGen:C0023434,OMIM:151400,SNOMED_CT:277473004,SNOMED_CT:51092000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0100843,MeSH:D005909,MedGen:C0017636,SNOMED_CT:63634009|MeSH:C535575,MedGen:C1168401,OMIM:275355,Orphanet:ORPHA67037|MeSH:C562393,MedGen:C0151779,SNOMED_CT:93655004|MeSH:D009303,MedGen:C0027439|MeSH:D015179,MedGen:CN236642|MedGen:C0007112|MedGen:C0027672,SNOMED_CT:699346009|MedGen:C0085390,Orphanet:ORPHA524,SNOMED_CT:428850001|MedGen:C0153574,Orphanet:ORPHA213569|MedGen:C0235782|MedGen:C0278701|MedGen:C0279663|MedGen:C0280630|MedGen:C2239176,OMIM:114550,Orphanet:ORPHA88673,SNOMED_CT:187769009,SNOMED_CT:25370001;CLNALLELEID=363528</t>
  </si>
  <si>
    <t>56435885</t>
  </si>
  <si>
    <t>RNF43:NM_001305545:exon8:c.871C&gt;A:p.L291M,RNF43:NM_001305544:exon9:c.1252C&gt;A:p.L418M,RNF43:NM_017763:exon9:c.1252C&gt;A:p.L418M</t>
  </si>
  <si>
    <t>rs2526374</t>
  </si>
  <si>
    <t>ID=COSM4130449;OCCURRENCE=1(breast),3(lung),1(thymus),1(thyroid)</t>
  </si>
  <si>
    <t>9:RNF43:L418M(9)</t>
  </si>
  <si>
    <t>CLINSIG=Benign;CLNDN=not_specified;CLNREVSTAT=criteria_provided,_single_submitter;CLNDISDB=MedGen:CN169374;CLNALLELEID=390237</t>
  </si>
  <si>
    <t>15291576</t>
  </si>
  <si>
    <t>302</t>
  </si>
  <si>
    <t>NOTCH3:NM_000435:exon19:c.3058G&gt;C:p.A1020P</t>
  </si>
  <si>
    <t>rs35769976</t>
  </si>
  <si>
    <t>ID=COSM4985070,COSM4985071;OCCURRENCE=1(ovary),5(soft_tissue)</t>
  </si>
  <si>
    <t>4:NOTCH3:A1020P(4)</t>
  </si>
  <si>
    <t>CLINSIG=Benign;CLNDN=Cerebral_autosomal_dominant_arteriopathy_with_subcortical_infarcts_and_leukoencephalopathy|not_specified;CLNREVSTAT=criteria_provided,_multiple_submitters,_no_conflicts;CLNDISDB=MedGen:C0751587,OMIM:125310,Orphanet:ORPHA136,SNOMED_CT:390936003|MedGen:CN169374;CLNALLELEID=24266</t>
  </si>
  <si>
    <t>56448297</t>
  </si>
  <si>
    <t>298</t>
  </si>
  <si>
    <t>RNF43:NM_001305544:exon3:c.350G&gt;A:p.R117H,RNF43:NM_017763:exon3:c.350G&gt;A:p.R117H</t>
  </si>
  <si>
    <t>rs2257205</t>
  </si>
  <si>
    <t>ID=COSM3755721;OCCURRENCE=1(large_intestine),1(lung),5(soft_tissue)</t>
  </si>
  <si>
    <t>11:RNF43:R117H(11)</t>
  </si>
  <si>
    <t>121416650</t>
  </si>
  <si>
    <t>291</t>
  </si>
  <si>
    <t>HNF1A:NM_000545:exon1:c.79A&gt;C:p.I27L,HNF1A:NM_001306179:exon1:c.79A&gt;C:p.I27L</t>
  </si>
  <si>
    <t>rs1169288</t>
  </si>
  <si>
    <t>ID=COSM430522;OCCURRENCE=1(large_intestine),9(liver),4(prostate),10(soft_tissue),1(urinary_tract)</t>
  </si>
  <si>
    <t>8:HNF1A:I27L(8)</t>
  </si>
  <si>
    <t>CLINSIG=Benign;CLNDN=SERUM_HDL_CHOLESTEROL_LEVEL,_MODIFIER_OF|Maturity_onset_diabetes_mellitus_in_young|Insulin_resistance,_susceptibility_to|not_specified;CLNREVSTAT=criteria_provided,_multiple_submitters,_no_conflicts;CLNDISDB=.|Human_Phenotype_Ontology:HP:0004904,MedGen:C0342276,OMIM:606391,Orphanet:ORPHA552,SNOMED_CT:28453007|MedGen:C1852091|MedGen:CN169374;CLNALLELEID=29976</t>
  </si>
  <si>
    <t>95825374</t>
  </si>
  <si>
    <t>TTGCTGCTGC</t>
  </si>
  <si>
    <t>290</t>
  </si>
  <si>
    <t>MAML2:NM_032427:exon2:c.1812_1820del:p.604_607del</t>
  </si>
  <si>
    <t>rs141671766</t>
  </si>
  <si>
    <t>ID=COSM4169244;OCCURRENCE=1(genital_tract),2(haematopoietic_and_lymphoid_tissue),10(large_intestine),1(liver),1(lung),1(ovary),2(stomach),22(upper_aerodigestive_tract)</t>
  </si>
  <si>
    <t>176520243</t>
  </si>
  <si>
    <t>262</t>
  </si>
  <si>
    <t>FGFR4:NM_002011:exon9:c.1162G&gt;A:p.G388R,FGFR4:NM_213647:exon9:c.1162G&gt;A:p.G388R</t>
  </si>
  <si>
    <t>rs351855</t>
  </si>
  <si>
    <t>ID=COSM1567768;OCCURRENCE=1(breast),1(large_intestine),1(liver),2(lung),16(soft_tissue),2(thyroid)</t>
  </si>
  <si>
    <t>7:FGFR4:G388R(7)</t>
  </si>
  <si>
    <t>CLINSIG=Pathogenic;CLNDN=Cancer_progression_and_tumor_cell_motility;CLNREVSTAT=no_assertion_criteria_provided;CLNDISDB=MedGen:C4016099;CLNALLELEID=31365</t>
  </si>
  <si>
    <t>37879588</t>
  </si>
  <si>
    <t>254</t>
  </si>
  <si>
    <t>ERBB2:NM_001289937:exon17:c.1963A&gt;G:p.I655V,ERBB2:NM_004448:exon17:c.1963A&gt;G:p.I655V,ERBB2:NM_001005862:exon20:c.1873A&gt;G:p.I625V,ERBB2:NM_001289936:exon21:c.1918A&gt;G:p.I640V</t>
  </si>
  <si>
    <t>rs1136201</t>
  </si>
  <si>
    <t>ID=COSM4000121,COSM5019265;OCCURRENCE=3(haematopoietic_and_lymphoid_tissue),1(large_intestine),2(lung),1(oesophagus),16(soft_tissue),1(urinary_tract)</t>
  </si>
  <si>
    <t>12:ERBB2:I655V(12)</t>
  </si>
  <si>
    <t>CLINSIG=Benign;CLNDN=ERBB2_POLYMORPHISM|not_specified;CLNREVSTAT=no_assertion_criteria_provided;CLNDISDB=.|MedGen:CN169374;CLNALLELEID=28912</t>
  </si>
  <si>
    <t>121435427</t>
  </si>
  <si>
    <t>242</t>
  </si>
  <si>
    <t>HNF1A:NM_000545:exon7:c.1460G&gt;A:p.S487N,HNF1A:NM_001306179:exon7:c.1460G&gt;A:p.S487N</t>
  </si>
  <si>
    <t>rs2464196</t>
  </si>
  <si>
    <t>ID=COSM4984989;OCCURRENCE=1(large_intestine),16(liver),11(soft_tissue),1(thymus)</t>
  </si>
  <si>
    <t>9:HNF1A:S487N(9)</t>
  </si>
  <si>
    <t>CLINSIG=Benign;CLNDN=Maturity_onset_diabetes_mellitus_in_young|not_specified;CLNREVSTAT=criteria_provided,_multiple_submitters,_no_conflicts;CLNDISDB=Human_Phenotype_Ontology:HP:0004904,MedGen:C0342276,OMIM:606391,Orphanet:ORPHA552,SNOMED_CT:28453007|MedGen:CN169374;CLNALLELEID=134676</t>
  </si>
  <si>
    <t>50905074</t>
  </si>
  <si>
    <t>233</t>
  </si>
  <si>
    <t>POLD1:NM_001308632:exon3:c.356G&gt;A:p.R119H,POLD1:NM_001256849:exon4:c.356G&gt;A:p.R119H,POLD1:NM_002691:exon4:c.356G&gt;A:p.R119H</t>
  </si>
  <si>
    <t>rs1726801</t>
  </si>
  <si>
    <t>ID=COSM3757064,COSM3757065;OCCURRENCE=1(haematopoietic_and_lymphoid_tissue),3(large_intestine),3(lung),1(thyroid)</t>
  </si>
  <si>
    <t>1:POLD1:R119H(1)</t>
  </si>
  <si>
    <t>CLINSIG=Benign;CLNDN=Hereditary_cancer-predisposing_syndrome|not_specified|not_provided;CLNREVSTAT=criteria_provided,_multiple_submitters,_no_conflicts;CLNDISDB=MedGen:C0027672,SNOMED_CT:699346009|MedGen:CN169374|MedGen:CN517202;CLNALLELEID=377922</t>
  </si>
  <si>
    <t>129147079</t>
  </si>
  <si>
    <t>210</t>
  </si>
  <si>
    <t>BCORL1:NM_001184772:exon3:c.331T&gt;C:p.F111L,BCORL1:NM_021946:exon3:c.331T&gt;C:p.F111L</t>
  </si>
  <si>
    <t>rs4830173</t>
  </si>
  <si>
    <t>ID=COSM4591818,COSM4591817;OCCURRENCE=97(haematopoietic_and_lymphoid_tissue),23(upper_aerodigestive_tract)</t>
  </si>
  <si>
    <t>14:BCORL1:F111L(14)</t>
  </si>
  <si>
    <t>45854919</t>
  </si>
  <si>
    <t>209</t>
  </si>
  <si>
    <t>ERCC2:NM_000400:exon23:c.2251A&gt;C:p.K751Q</t>
  </si>
  <si>
    <t>rs13181</t>
  </si>
  <si>
    <t>ID=COSM4132125;OCCURRENCE=45(haematopoietic_and_lymphoid_tissue),1(skin),14(soft_tissue),1(thyroid)</t>
  </si>
  <si>
    <t>12:ERCC2:K751Q(12)</t>
  </si>
  <si>
    <t>CLINSIG=Benign;CLNDN=Osteosarcoma|Non-small_cell_lung_cancer|Xeroderma_pigmentosum|not_specified;CLNREVSTAT=criteria_provided,_multiple_submitters,_no_conflicts;CLNDISDB=Human_Phenotype_Ontology:HP:0002669,MeSH:D012516,MedGen:C0029463,OMIM:259500,Orphanet:ORPHA668,SNOMED_CT:21708004|Human_Phenotype_Ontology:HP:0030358,MeSH:D002289,MedGen:C0007131,SNOMED_CT:254637007|MedGen:C0043346,Orphanet:ORPHA910,SNOMED_CT:44600005|MedGen:CN169374;CLNALLELEID=137844</t>
  </si>
  <si>
    <t>79950724</t>
  </si>
  <si>
    <t>GCCGCAGCGC</t>
  </si>
  <si>
    <t>194</t>
  </si>
  <si>
    <t>nonframeshift insertion</t>
  </si>
  <si>
    <t>MSH3:NM_002439:exon1:c.178_179insCCGCAGCGC:p.A60delinsAAAP</t>
  </si>
  <si>
    <t>rs758718643</t>
  </si>
  <si>
    <t>ID=COSM5061231,COSM5061232;OCCURRENCE=1(adrenal_gland),1(ovary),1(stomach),1(thyroid),4(upper_aerodigestive_tract)</t>
  </si>
  <si>
    <t>CLINSIG=Benign;CLNDN=Endometrial_carcinoma;CLNREVSTAT=no_assertion_criteria_provided;CLNDISDB=Human_Phenotype_Ontology:HP:0012114,MedGen:C0476089,OMIM:608089,SNOMED_CT:254878006;CLNALLELEID=508809</t>
  </si>
  <si>
    <t>110407273</t>
  </si>
  <si>
    <t>CT</t>
  </si>
  <si>
    <t>188</t>
  </si>
  <si>
    <t>dist=116</t>
  </si>
  <si>
    <t>rs368718795</t>
  </si>
  <si>
    <t>ID=COSN28947671,COSN27531215,COSN27382008,COSN27594805,COSN28850388,COSN23042980;OCCURRENCE=4(biliary_tract),1(haematopoietic_and_lymphoid_tissue),1(large_intestine)</t>
  </si>
  <si>
    <t>chr10</t>
  </si>
  <si>
    <t>75000739</t>
  </si>
  <si>
    <t>166</t>
  </si>
  <si>
    <t>FAM149B1:NM_173348:exon14:c.1711G&gt;A:p.G571R</t>
  </si>
  <si>
    <t>rs12573841</t>
  </si>
  <si>
    <t>ID=COSM3751962;OCCURRENCE=1(haematopoietic_and_lymphoid_tissue),1(large_intestine),2(lung),7(soft_tissue),5(upper_aerodigestive_tract)</t>
  </si>
  <si>
    <t>180046344</t>
  </si>
  <si>
    <t>165</t>
  </si>
  <si>
    <t>FLT4:NM_002020:exon19:c.2670C&gt;G:p.H890Q,FLT4:NM_182925:exon19:c.2670C&gt;G:p.H890Q</t>
  </si>
  <si>
    <t>rs448012</t>
  </si>
  <si>
    <t>ID=COSM449470,COSM1486680;OCCURRENCE=1(large_intestine),3(lung),1(thyroid),1(urinary_tract)</t>
  </si>
  <si>
    <t>14:FLT4:H890Q(14)</t>
  </si>
  <si>
    <t>CLINSIG=Benign;CLNDN=not_specified;CLNREVSTAT=criteria_provided,_multiple_submitters,_no_conflicts;CLNDISDB=MedGen:CN169374;CLNALLELEID=251898</t>
  </si>
  <si>
    <t>79950781</t>
  </si>
  <si>
    <t>162</t>
  </si>
  <si>
    <t>MSH3:NM_002439:exon1:c.235A&gt;G:p.I79V</t>
  </si>
  <si>
    <t>rs1650697</t>
  </si>
  <si>
    <t>ID=COSM4160035;OCCURRENCE=2(large_intestine),1(thyroid),18(upper_aerodigestive_tract)</t>
  </si>
  <si>
    <t>2:MSH3:I79V(2)</t>
  </si>
  <si>
    <t>CLINSIG=Benign;CLNDN=not_specified;CLNREVSTAT=criteria_provided,_single_submitter;CLNDISDB=MedGen:CN169374;CLNALLELEID=389696</t>
  </si>
  <si>
    <t>153629155</t>
  </si>
  <si>
    <t>150</t>
  </si>
  <si>
    <t>RPL10:NM_001256577:exon6:c.442A&gt;G:p.I148V,RPL10:NM_001256580:exon6:c.497A&gt;G:p.N166S,RPL10:NM_001303624:exon6:c.605A&gt;G:p.N202S,RPL10:NM_001303625:exon7:c.605A&gt;G:p.N202S,RPL10:NM_006013:exon7:c.605A&gt;G:p.N202S</t>
  </si>
  <si>
    <t>rs12012747</t>
  </si>
  <si>
    <t>ID=COSM4590446;OCCURRENCE=1(pancreas),19(upper_aerodigestive_tract)</t>
  </si>
  <si>
    <t>13:RPL10:N202S(13)</t>
  </si>
  <si>
    <t>CLINSIG=Benign;CLNDN=not_specified;CLNREVSTAT=criteria_provided,_single_submitter;CLNDISDB=MedGen:CN169374;CLNALLELEID=101226</t>
  </si>
  <si>
    <t>46279814</t>
  </si>
  <si>
    <t>TGCAGCAGCA</t>
  </si>
  <si>
    <t>146</t>
  </si>
  <si>
    <t>NCOA3:NM_001174087:exon20:c.3738_3746del:p.1246_1249del,NCOA3:NM_001174088:exon20:c.3714_3722del:p.1238_1241del,NCOA3:NM_006534:exon20:c.3729_3737del:p.1243_1246del,NCOA3:NM_181659:exon20:c.3741_3749del:p.1247_1250del</t>
  </si>
  <si>
    <t>rs751385560</t>
  </si>
  <si>
    <t>ID=COSM1483713;OCCURRENCE=1(breast),3(large_intestine),1(lung),1(skin),2(stomach),4(upper_aerodigestive_tract)</t>
  </si>
  <si>
    <t>87:NCOA3:Q1274_Q1276del(86),MUTATED(1)</t>
  </si>
  <si>
    <t>45867259</t>
  </si>
  <si>
    <t>124</t>
  </si>
  <si>
    <t>ERCC2:NM_001130867:exon9:c.862G&gt;A:p.D288N,ERCC2:NM_000400:exon10:c.934G&gt;A:p.D312N</t>
  </si>
  <si>
    <t>rs1799793</t>
  </si>
  <si>
    <t>ID=COSM3749518,COSM3749519;OCCURRENCE=44(haematopoietic_and_lymphoid_tissue),12(large_intestine),1(thyroid)</t>
  </si>
  <si>
    <t>26:ERCC2:D312N(26)</t>
  </si>
  <si>
    <t>CLINSIG=Benign;CLNDN=Xeroderma_pigmentosum|not_specified;CLNREVSTAT=criteria_provided,_multiple_submitters,_no_conflicts;CLNDISDB=MedGen:C0043346,Orphanet:ORPHA910,SNOMED_CT:44600005|MedGen:CN169374;CLNALLELEID=137856</t>
  </si>
  <si>
    <t>226259113</t>
  </si>
  <si>
    <t>121</t>
  </si>
  <si>
    <t>H3F3A:NM_002107:exon4:c.344C&gt;G:p.A115G</t>
  </si>
  <si>
    <t>rs749423281</t>
  </si>
  <si>
    <t>ID=COSM3930660;OCCURRENCE=1(stomach),5(upper_aerodigestive_tract),1(urinary_tract)</t>
  </si>
  <si>
    <t>15:H3F3A:A115G(15)</t>
  </si>
  <si>
    <t>21343965</t>
  </si>
  <si>
    <t>GGAGGAGGTGAGGGGCGTGGGGAGCCAGGGCGCAGGTA</t>
  </si>
  <si>
    <t>88</t>
  </si>
  <si>
    <t>LZTR1:NM_006767:exon7:c.646_651del:p.216_217del</t>
  </si>
  <si>
    <t>rs541944601</t>
  </si>
  <si>
    <t>ID=COSM4589981;OCCURRENCE=6(oesophagus),2(pancreas),1(thyroid),22(upper_aerodigestive_tract)</t>
  </si>
  <si>
    <t>25:LZTR1:X217_splice(25)</t>
  </si>
  <si>
    <t>CLINSIG=Benign/Likely_benign;CLNDN=not_specified;CLNREVSTAT=criteria_provided,_multiple_submitters,_no_conflicts;CLNDISDB=MedGen:CN169374;CLNALLELEID=215596</t>
  </si>
  <si>
    <t>190670539</t>
  </si>
  <si>
    <t>TA</t>
  </si>
  <si>
    <t>532</t>
  </si>
  <si>
    <t>frameshift deletion</t>
  </si>
  <si>
    <t>PMS1:NM_001321049:exon4:c.478delA:p.K160fs</t>
  </si>
  <si>
    <t>rs777195467</t>
  </si>
  <si>
    <t>ID=COSN27264530;OCCURRENCE=1(biliary_tract)</t>
  </si>
  <si>
    <t>54649670</t>
  </si>
  <si>
    <t>509</t>
  </si>
  <si>
    <t>CNOT3:NM_014516:exon9:c.729delT:p.P243fs</t>
  </si>
  <si>
    <t>ID=COSM1396208,COSM1396209;OCCURRENCE=3(NS),1(large_intestine),1(skin)</t>
  </si>
  <si>
    <t>5:CNOT3:S245Afs*90(5)</t>
  </si>
  <si>
    <t>192011485</t>
  </si>
  <si>
    <t>splicing</t>
  </si>
  <si>
    <t>330</t>
  </si>
  <si>
    <t>NM_003151:exon3:c.129-2-&gt;T;NM_001243835:exon3:c.129-2-&gt;T</t>
  </si>
  <si>
    <t>rs778032891</t>
  </si>
  <si>
    <t>ID=COSM4425759;OCCURRENCE=1(breast),1(large_intestine),1(oesophagus)</t>
  </si>
  <si>
    <t>123184969</t>
  </si>
  <si>
    <t>35</t>
  </si>
  <si>
    <t>NM_001042749:exon12:c.1018-2A&gt;T;NM_001282418:exon12:c.1018-2A&gt;T;NM_006603:exon11:c.1018-2A&gt;T;NM_001042750:exon12:c.1018-2A&gt;T;NM_001042751:exon12:c.1018-2A&gt;T</t>
  </si>
  <si>
    <t>ID=COSM6287847,COSM6287848;OCCURRENCE=1(liver)</t>
  </si>
  <si>
    <t>133540605</t>
  </si>
  <si>
    <t>788</t>
  </si>
  <si>
    <t>NCKAP5:NM_207363:exon14:c.3779C&gt;A:p.P1260Q</t>
  </si>
  <si>
    <t>rs13016342</t>
  </si>
  <si>
    <t>ID=COSM4001176;OCCURRENCE=2(haematopoietic_and_lymphoid_tissue),1(thyroid)</t>
  </si>
  <si>
    <t>67591104</t>
  </si>
  <si>
    <t>TTAA</t>
  </si>
  <si>
    <t>752</t>
  </si>
  <si>
    <t>PIK3R1:NM_001242466:exon6:c.609_611del:p.203_204del,PIK3R1:NM_181504:exon7:c.888_890del:p.296_297del,PIK3R1:NM_181524:exon7:c.798_800del:p.266_267del,PIK3R1:NM_181523:exon13:c.1698_1700del:p.566_567del</t>
  </si>
  <si>
    <t>ID=COSM5835073,COSM5835072,COSM5835074;OCCURRENCE=1(breast),1(central_nervous_system)</t>
  </si>
  <si>
    <t>3:PIK3R1:K567del(3)</t>
  </si>
  <si>
    <t>56177443</t>
  </si>
  <si>
    <t>747</t>
  </si>
  <si>
    <t>MAP3K1:NM_005921:exon14:c.2416G&gt;A:p.D806N</t>
  </si>
  <si>
    <t>rs702689</t>
  </si>
  <si>
    <t>ID=COSM4003564,COSM4003565;OCCURRENCE=3(haematopoietic_and_lymphoid_tissue)</t>
  </si>
  <si>
    <t>14:MAP3K1:D806N(14)</t>
  </si>
  <si>
    <t>CLINSIG=Benign;CLNDN=46,XY_sex_reversal,_type_6;CLNREVSTAT=criteria_provided,_single_submitter;CLNDISDB=MedGen:C3151064,OMIM:613762;CLNALLELEID=508804</t>
  </si>
  <si>
    <t>56177743</t>
  </si>
  <si>
    <t>739</t>
  </si>
  <si>
    <t>MAP3K1:NM_005921:exon14:c.2716G&gt;A:p.V906I</t>
  </si>
  <si>
    <t>rs832582</t>
  </si>
  <si>
    <t>ID=COSM4416190,COSM4416191;OCCURRENCE=1(breast),1(haematopoietic_and_lymphoid_tissue),1(large_intestine),2(lung)</t>
  </si>
  <si>
    <t>14:MAP3K1:V906I(14)</t>
  </si>
  <si>
    <t>CLINSIG=Benign;CLNDN=46,XY_sex_reversal,_type_6;CLNREVSTAT=criteria_provided,_single_submitter;CLNDISDB=MedGen:C3151064,OMIM:613762;CLNALLELEID=508805</t>
  </si>
  <si>
    <t>108970367</t>
  </si>
  <si>
    <t>RSPO2:NM_001282863:exon4:c.365T&gt;C:p.L122P,RSPO2:NM_001317942:exon4:c.356T&gt;C:p.L119P,RSPO2:NM_178565:exon5:c.557T&gt;C:p.L186P</t>
  </si>
  <si>
    <t>rs601558</t>
  </si>
  <si>
    <t>ID=COSM5904899;OCCURRENCE=1(large_intestine),1(skin)</t>
  </si>
  <si>
    <t>11:RSPO2:L186P(11)</t>
  </si>
  <si>
    <t>215645464</t>
  </si>
  <si>
    <t>719</t>
  </si>
  <si>
    <t>BARD1:NM_001282543:exon3:c.1077G&gt;C:p.R359S,BARD1:NM_000465:exon4:c.1134G&gt;C:p.R378S</t>
  </si>
  <si>
    <t>rs2229571</t>
  </si>
  <si>
    <t>ID=COSM3757931,COSM3757932;OCCURRENCE=2(haematopoietic_and_lymphoid_tissue),1(large_intestine),1(lung)</t>
  </si>
  <si>
    <t>11:BARD1:R378S(11)</t>
  </si>
  <si>
    <t>CLINSIG=Benign/Likely_benign;CLNDN=Neoplasm_of_the_breast|Hereditary_cancer-predisposing_syndrome|Familial_cancer_of_breast|not_specified;CLNREVSTAT=criteria_provided,_multiple_submitters,_no_conflicts;CLNDISDB=Human_Phenotype_Ontology:HP:0100013,MeSH:D001943,MedGen:C1458155,Orphanet:ORPHA180250,SNOMED_CT:126926005|MedGen:C0027672,SNOMED_CT:699346009|MedGen:C0346153,OMIM:114480,Orphanet:ORPHA227535,SNOMED_CT:254843006|MedGen:CN169374;CLNALLELEID=152483</t>
  </si>
  <si>
    <t>120475602</t>
  </si>
  <si>
    <t>716</t>
  </si>
  <si>
    <t>TLR4:NM_138557:exon2:c.596C&gt;T:p.T199I,TLR4:NM_138554:exon3:c.1196C&gt;T:p.T399I,TLR4:NM_003266:exon4:c.1076C&gt;T:p.T359I</t>
  </si>
  <si>
    <t>rs4986791</t>
  </si>
  <si>
    <t>ID=COSM4989617;OCCURRENCE=5(soft_tissue)</t>
  </si>
  <si>
    <t>2:TLR4:T399I(2)</t>
  </si>
  <si>
    <t>CLINSIG=Benign;CLNDN=TLR4_POLYMORPHISM|not_provided;CLNREVSTAT=no_assertion_criteria_provided;CLNDISDB=.|MedGen:CN517202;CLNALLELEID=21700</t>
  </si>
  <si>
    <t>133541454</t>
  </si>
  <si>
    <t>709</t>
  </si>
  <si>
    <t>NCKAP5:NM_207363:exon14:c.2930T&gt;C:p.I977T</t>
  </si>
  <si>
    <t>rs12691830</t>
  </si>
  <si>
    <t>ID=COSM1399445;OCCURRENCE=1(large_intestine),1(thyroid)</t>
  </si>
  <si>
    <t>3:NCKAP5:I977T(3)</t>
  </si>
  <si>
    <t>38955796</t>
  </si>
  <si>
    <t>706</t>
  </si>
  <si>
    <t>RICTOR:NM_001285439:exon26:c.2510C&gt;T:p.S837F,RICTOR:NM_001285440:exon26:c.1655C&gt;T:p.S552F,RICTOR:NM_152756:exon26:c.2510C&gt;T:p.S837F</t>
  </si>
  <si>
    <t>rs2043112</t>
  </si>
  <si>
    <t>ID=COSM4003526,COSM4003525;OCCURRENCE=2(haematopoietic_and_lymphoid_tissue)</t>
  </si>
  <si>
    <t>15:RICTOR:S837F(15)</t>
  </si>
  <si>
    <t>52193660</t>
  </si>
  <si>
    <t>697</t>
  </si>
  <si>
    <t>ZNF217:NM_006526:exon3:c.1643C&gt;T:p.T548I</t>
  </si>
  <si>
    <t>rs35720349</t>
  </si>
  <si>
    <t>ID=COSM5019745,COSM5019744;OCCURRENCE=2(soft_tissue)</t>
  </si>
  <si>
    <t>152652034</t>
  </si>
  <si>
    <t>692</t>
  </si>
  <si>
    <t>SYNE1:NM_033071:exon77:c.13573T&gt;A:p.S4525T,SYNE1:NM_182961:exon78:c.13786T&gt;A:p.S4596T</t>
  </si>
  <si>
    <t>rs6911096</t>
  </si>
  <si>
    <t>ID=COSM5010199,COSM5010200,COSM450728,COSM1487365,COSM450729;OCCURRENCE=1(large_intestine),1(urinary_tract)</t>
  </si>
  <si>
    <t>2:SYNE1:S4596T(2)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</si>
  <si>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135851</t>
  </si>
  <si>
    <t>112382313</t>
  </si>
  <si>
    <t>689</t>
  </si>
  <si>
    <t>WISP3:NM_198239:exon2:c.222G&gt;T:p.Q74H,WISP3:NM_003880:exon3:c.168G&gt;T:p.Q56H</t>
  </si>
  <si>
    <t>rs1230345</t>
  </si>
  <si>
    <t>ID=COSM5654082;OCCURRENCE=1(haematopoietic_and_lymphoid_tissue)</t>
  </si>
  <si>
    <t>1:CCN6:Q74H(1)</t>
  </si>
  <si>
    <t>CLINSIG=Benign;CLNDN=Progressive_pseudorheumatoid_dysplasia;CLNREVSTAT=criteria_provided,_single_submitter;CLNDISDB=MedGen:C0432215,OMIM:208230,Orphanet:ORPHA1159,SNOMED_CT:254065005;CLNALLELEID=301225</t>
  </si>
  <si>
    <t>427575</t>
  </si>
  <si>
    <t>664</t>
  </si>
  <si>
    <t>KDM5A:NM_001042603:exon19:c.2594T&gt;C:p.M865T</t>
  </si>
  <si>
    <t>rs11062385</t>
  </si>
  <si>
    <t>ID=COSM7132621,COSM7132620;OCCURRENCE=1(large_intestine),1(lung),1(urinary_tract)</t>
  </si>
  <si>
    <t>5:KDM5A:M865T(5)</t>
  </si>
  <si>
    <t>121208176</t>
  </si>
  <si>
    <t>658</t>
  </si>
  <si>
    <t>POLQ:NM_199420:exon16:c.3602A&gt;G:p.H1201R</t>
  </si>
  <si>
    <t>rs3218651</t>
  </si>
  <si>
    <t>ID=COSM7246894;OCCURRENCE=1(lung)</t>
  </si>
  <si>
    <t>187629538</t>
  </si>
  <si>
    <t>FAT1:NM_005245:exon2:c.1444G&gt;A:p.V482I</t>
  </si>
  <si>
    <t>rs3733413</t>
  </si>
  <si>
    <t>ID=COSM5425520,COSM5425519;OCCURRENCE=3(haematopoietic_and_lymphoid_tissue),1(lung),1(urinary_tract)</t>
  </si>
  <si>
    <t>12:FAT1:V482I(12)</t>
  </si>
  <si>
    <t>50432602</t>
  </si>
  <si>
    <t>DCC:NM_005215:exon3:c.601C&gt;G:p.R201G</t>
  </si>
  <si>
    <t>rs2229080</t>
  </si>
  <si>
    <t>ID=COSM5009502,COSM5009501;OCCURRENCE=1(haematopoietic_and_lymphoid_tissue),3(large_intestine),1(lung)</t>
  </si>
  <si>
    <t>80263217</t>
  </si>
  <si>
    <t>638</t>
  </si>
  <si>
    <t>BCL2A1:NM_001114735:exon1:c.245G&gt;A:p.G82D,BCL2A1:NM_004049:exon1:c.245G&gt;A:p.G82D</t>
  </si>
  <si>
    <t>rs3826007</t>
  </si>
  <si>
    <t>ID=COSM3999616,COSM3999615;OCCURRENCE=3(haematopoietic_and_lymphoid_tissue),1(lung),1(oesophagus)</t>
  </si>
  <si>
    <t>71029733</t>
  </si>
  <si>
    <t>628</t>
  </si>
  <si>
    <t>PTPRB:NM_001109754:exon2:c.169G&gt;A:p.D57N,PTPRB:NM_001330204:exon2:c.169G&gt;A:p.D57N</t>
  </si>
  <si>
    <t>rs2584021</t>
  </si>
  <si>
    <t>ID=COSM3753481;OCCURRENCE=1(large_intestine),1(lung)</t>
  </si>
  <si>
    <t>2:PTPRB:D57N(2)</t>
  </si>
  <si>
    <t>32929387</t>
  </si>
  <si>
    <t>626</t>
  </si>
  <si>
    <t>BRCA2:NM_000059:exon14:c.7397T&gt;C:p.V2466A</t>
  </si>
  <si>
    <t>rs169547</t>
  </si>
  <si>
    <t>ID=COSM7335572;OCCURRENCE=1(peritoneum)</t>
  </si>
  <si>
    <t>14:BRCA2:V2466A(14)</t>
  </si>
  <si>
    <t>CLINSIG=Benign;CLNDN=Ductal_breast_carcinoma|not_specified;CLNREVSTAT=criteria_provided,_multiple_submitters,_no_conflicts;CLNDISDB=MedGen:C1527349|MedGen:CN169374;CLNALLELEID=137477</t>
  </si>
  <si>
    <t>215632255</t>
  </si>
  <si>
    <t>615</t>
  </si>
  <si>
    <t>BARD1:NM_001282543:exon5:c.1462G&gt;A:p.V488M,BARD1:NM_000465:exon6:c.1519G&gt;A:p.V507M</t>
  </si>
  <si>
    <t>rs2070094</t>
  </si>
  <si>
    <t>ID=COSM3757929,COSM3757930;OCCURRENCE=2(haematopoietic_and_lymphoid_tissue),1(large_intestine),2(lung)</t>
  </si>
  <si>
    <t>8:BARD1:V507M(8)</t>
  </si>
  <si>
    <t>CLINSIG=Benign/Likely_benign;CLNDN=Neoplasm_of_the_breast|Hereditary_cancer-predisposing_syndrome|not_specified;CLNREVSTAT=criteria_provided,_multiple_submitters,_no_conflicts;CLNDISDB=Human_Phenotype_Ontology:HP:0100013,MeSH:D001943,MedGen:C1458155,Orphanet:ORPHA180250,SNOMED_CT:126926005|MedGen:C0027672,SNOMED_CT:699346009|MedGen:CN169374;CLNALLELEID=150471</t>
  </si>
  <si>
    <t>152647681</t>
  </si>
  <si>
    <t>SYNE1:NM_033071:exon78:c.14830T&gt;A:p.L4944M,SYNE1:NM_182961:exon79:c.15043T&gt;A:p.L5015M</t>
  </si>
  <si>
    <t>rs2306916</t>
  </si>
  <si>
    <t>ID=COSM5010194,COSM5010195,COSM5010198,COSM5010196,COSM5010197;OCCURRENCE=1(large_intestine)</t>
  </si>
  <si>
    <t>1:SYNE1:L5015M(1)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</si>
  <si>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135855</t>
  </si>
  <si>
    <t>9288522</t>
  </si>
  <si>
    <t>600</t>
  </si>
  <si>
    <t>PLCB4:NM_000933:exon1:c.61G&gt;A:p.A21T,PLCB4:NM_182797:exon2:c.61G&gt;A:p.A21T,PLCB4:NM_001172646:exon3:c.61G&gt;A:p.A21T</t>
  </si>
  <si>
    <t>rs6077510</t>
  </si>
  <si>
    <t>ID=COSM4419859;OCCURRENCE=1(breast),1(haematopoietic_and_lymphoid_tissue)</t>
  </si>
  <si>
    <t>3:PLCB4:A21T(3)</t>
  </si>
  <si>
    <t>CLINSIG=Benign;CLNDN=Auriculocondylar_syndrome;CLNREVSTAT=criteria_provided,_single_submitter;CLNDISDB=MedGen:CN160484,Orphanet:ORPHA137888;CLNALLELEID=350485</t>
  </si>
  <si>
    <t>98192164</t>
  </si>
  <si>
    <t>AAGG</t>
  </si>
  <si>
    <t>591</t>
  </si>
  <si>
    <t>CHD1:NM_001270:exon35:c.5050_5052del:p.1684_1684del</t>
  </si>
  <si>
    <t>rs138635992</t>
  </si>
  <si>
    <t>ID=COSM327350;OCCURRENCE=2(central_nervous_system),1(haematopoietic_and_lymphoid_tissue),1(pleura)</t>
  </si>
  <si>
    <t>2:CHD1:P1684del(2)</t>
  </si>
  <si>
    <t>133542585</t>
  </si>
  <si>
    <t>590</t>
  </si>
  <si>
    <t>NCKAP5:NM_207363:exon14:c.1799G&gt;C:p.S600T</t>
  </si>
  <si>
    <t>rs17325719</t>
  </si>
  <si>
    <t>ID=COSM4001177;OCCURRENCE=1(haematopoietic_and_lymphoid_tissue),1(oesophagus)</t>
  </si>
  <si>
    <t>89521664</t>
  </si>
  <si>
    <t>EPHA3:NM_005233:exon16:c.2741G&gt;A:p.R914H</t>
  </si>
  <si>
    <t>rs17801309</t>
  </si>
  <si>
    <t>ID=COSM3736325;OCCURRENCE=1(large_intestine),2(skin)</t>
  </si>
  <si>
    <t>4:EPHA3:R914H(4)</t>
  </si>
  <si>
    <t>40363054</t>
  </si>
  <si>
    <t>579</t>
  </si>
  <si>
    <t>MYCL:NM_001033081:exon2:c.1085C&gt;G:p.T362S,MYCL:NM_001033082:exon3:c.1175C&gt;G:p.T392S</t>
  </si>
  <si>
    <t>rs3134614</t>
  </si>
  <si>
    <t>ID=COSM3927628;OCCURRENCE=1(prostate)</t>
  </si>
  <si>
    <t>14:MYCL:T392S(14)</t>
  </si>
  <si>
    <t>114925369</t>
  </si>
  <si>
    <t>578</t>
  </si>
  <si>
    <t>TCF7L2:NM_001198530:exon11:c.1203C&gt;A:p.H401Q,TCF7L2:NM_001146286:exon12:c.1305C&gt;A:p.H435Q,TCF7L2:NM_001146283:exon13:c.1446C&gt;A:p.H482Q,TCF7L2:NM_001146284:exon13:c.1344C&gt;A:p.H448Q,TCF7L2:NM_001146285:exon13:c.1378C&gt;A:p.P460T,TCF7L2:NM_001198526:exon13:c.1378C&gt;A:p.P460T,TCF7L2:NM_001198529:exon13:c.1356C&gt;A:p.H452Q,TCF7L2:NM_001198531:exon13:c.1374C&gt;A:p.H458Q,TCF7L2:NM_001146274:exon14:c.1447C&gt;A:p.P483T,TCF7L2:NM_030756:exon14:c.1429C&gt;A:p.P477T</t>
  </si>
  <si>
    <t>rs77961654</t>
  </si>
  <si>
    <t>ID=COSM5021036,COSM5021038,COSM5021037,COSM6351284;OCCURRENCE=1(breast),1(haematopoietic_and_lymphoid_tissue),2(lung),1(soft_tissue)</t>
  </si>
  <si>
    <t>160505207</t>
  </si>
  <si>
    <t>570</t>
  </si>
  <si>
    <t>IGF2R:NM_000876:exon40:c.6059A&gt;G:p.N2020S</t>
  </si>
  <si>
    <t>rs1805075</t>
  </si>
  <si>
    <t>ID=COSM7235270;OCCURRENCE=2(lung)</t>
  </si>
  <si>
    <t>70983895</t>
  </si>
  <si>
    <t>567</t>
  </si>
  <si>
    <t>PTPRB:NM_001206972:exon6:c.1245T&gt;G:p.D415E,PTPRB:NM_002837:exon6:c.1245T&gt;G:p.D415E,PTPRB:NM_001109754:exon8:c.1899T&gt;G:p.D633E,PTPRB:NM_001330204:exon8:c.1899T&gt;G:p.D633E</t>
  </si>
  <si>
    <t>rs2165627</t>
  </si>
  <si>
    <t>ID=COSM7107823,COSM7107822,COSM7107821;OCCURRENCE=1(lung),1(urinary_tract)</t>
  </si>
  <si>
    <t>42032383</t>
  </si>
  <si>
    <t>558</t>
  </si>
  <si>
    <t>MGA:NM_001080541:exon14:c.4567C&gt;G:p.P1523A,MGA:NM_001164273:exon14:c.4567C&gt;G:p.P1523A</t>
  </si>
  <si>
    <t>rs17677991</t>
  </si>
  <si>
    <t>ID=COSM4419270;OCCURRENCE=1(haematopoietic_and_lymphoid_tissue),1(large_intestine),3(lung)</t>
  </si>
  <si>
    <t>89521693</t>
  </si>
  <si>
    <t>554</t>
  </si>
  <si>
    <t>EPHA3:NM_005233:exon16:c.2770T&gt;C:p.W924R</t>
  </si>
  <si>
    <t>rs35124509</t>
  </si>
  <si>
    <t>ID=COSM4002834;OCCURRENCE=2(haematopoietic_and_lymphoid_tissue),2(lung),1(skin)</t>
  </si>
  <si>
    <t>8:EPHA3:W924R(8)</t>
  </si>
  <si>
    <t>71002893</t>
  </si>
  <si>
    <t>550</t>
  </si>
  <si>
    <t>PTPRB:NM_001206971:exon2:c.281G&gt;A:p.R94K,PTPRB:NM_001206972:exon2:c.281G&gt;A:p.R94K,PTPRB:NM_002837:exon2:c.281G&gt;A:p.R94K,PTPRB:NM_001109754:exon4:c.935G&gt;A:p.R312K,PTPRB:NM_001330204:exon4:c.935G&gt;A:p.R312K</t>
  </si>
  <si>
    <t>rs2252784</t>
  </si>
  <si>
    <t>ID=COSM3753479,COSM3753480;OCCURRENCE=2(large_intestine),1(lung),1(pancreas),1(urinary_tract)</t>
  </si>
  <si>
    <t>2:PTPRB:R312K(1),R94K(1)</t>
  </si>
  <si>
    <t>56492800</t>
  </si>
  <si>
    <t>RNF43:NM_001305544:exon2:c.139A&gt;G:p.I47V,RNF43:NM_017763:exon2:c.139A&gt;G:p.I47V</t>
  </si>
  <si>
    <t>rs3744093</t>
  </si>
  <si>
    <t>ID=COSM5618411;OCCURRENCE=3(breast),1(large_intestine),1(lung)</t>
  </si>
  <si>
    <t>9:RNF43:I47V(9)</t>
  </si>
  <si>
    <t>CLINSIG=Benign;CLNDN=not_specified;CLNREVSTAT=criteria_provided,_single_submitter;CLNDISDB=MedGen:CN169374;CLNALLELEID=390363</t>
  </si>
  <si>
    <t>63554591</t>
  </si>
  <si>
    <t>541</t>
  </si>
  <si>
    <t>AXIN2:NM_004655:exon2:c.148C&gt;T:p.P50S</t>
  </si>
  <si>
    <t>rs2240308</t>
  </si>
  <si>
    <t>ID=COSM4000258;OCCURRENCE=1(haematopoietic_and_lymphoid_tissue),1(lung),1(pancreas)</t>
  </si>
  <si>
    <t>10:AXIN2:P50S(10)</t>
  </si>
  <si>
    <t>CLINSIG=Benign;CLNDN=Oligodontia-colorectal_cancer_syndrome|not_specified|not_provided;CLNREVSTAT=criteria_provided,_multiple_submitters,_no_conflicts;CLNDISDB=MedGen:C1837750,OMIM:608615,Orphanet:ORPHA300576|MedGen:CN169374|MedGen:CN517202;CLNALLELEID=256357</t>
  </si>
  <si>
    <t>92590448</t>
  </si>
  <si>
    <t>FAT3:NM_001008781:exon19:c.11434A&gt;G:p.S3812G</t>
  </si>
  <si>
    <t>rs4753069</t>
  </si>
  <si>
    <t>ID=COSM7253933,COSM7253934,COSM7253935;OCCURRENCE=1(kidney)</t>
  </si>
  <si>
    <t>17:FAT3:S3812G(17)</t>
  </si>
  <si>
    <t>41729740</t>
  </si>
  <si>
    <t>TTTC</t>
  </si>
  <si>
    <t>526</t>
  </si>
  <si>
    <t>INHBA:NM_002192:exon3:c.786_788del:p.262_263del</t>
  </si>
  <si>
    <t>rs775084418</t>
  </si>
  <si>
    <t>ID=COSM5019023;OCCURRENCE=3(NS),1(soft_tissue),1(upper_aerodigestive_tract)</t>
  </si>
  <si>
    <t>4:INHBA:K263del(4)</t>
  </si>
  <si>
    <t>157527492</t>
  </si>
  <si>
    <t>TGAC</t>
  </si>
  <si>
    <t>525</t>
  </si>
  <si>
    <t>ARID1B:NM_017519:exon19:c.5179_5181del:p.1727_1727del,ARID1B:NM_001346813:exon20:c.5338_5340del:p.1780_1780del,ARID1B:NM_020732:exon20:c.5218_5220del:p.1740_1740del</t>
  </si>
  <si>
    <t>rs113820273</t>
  </si>
  <si>
    <t>ID=COSM7335351;OCCURRENCE=1(haematopoietic_and_lymphoid_tissue)</t>
  </si>
  <si>
    <t>9:ARID1B:D1728del(9)</t>
  </si>
  <si>
    <t>141116447</t>
  </si>
  <si>
    <t>516</t>
  </si>
  <si>
    <t>LRP1B:NM_018557:exon73:c.11200C&gt;A:p.Q3734K</t>
  </si>
  <si>
    <t>rs35546150</t>
  </si>
  <si>
    <t>ID=COSM5019952;OCCURRENCE=1(bone),1(soft_tissue)</t>
  </si>
  <si>
    <t>78452823</t>
  </si>
  <si>
    <t>512</t>
  </si>
  <si>
    <t>NAV3:NM_001024383:exon12:c.2564G&gt;A:p.R855Q,NAV3:NM_014903:exon12:c.2564G&gt;A:p.R855Q</t>
  </si>
  <si>
    <t>rs374085687</t>
  </si>
  <si>
    <t>ID=COSM6722207,COSM6722208;OCCURRENCE=2(large_intestine)</t>
  </si>
  <si>
    <t>3:NAV3:R855Q(3)</t>
  </si>
  <si>
    <t>80263406</t>
  </si>
  <si>
    <t>499</t>
  </si>
  <si>
    <t>BCL2A1:NM_001114735:exon1:c.56G&gt;A:p.C19Y,BCL2A1:NM_004049:exon1:c.56G&gt;A:p.C19Y</t>
  </si>
  <si>
    <t>rs1138357</t>
  </si>
  <si>
    <t>ID=COSM3999619,COSM3999620;OCCURRENCE=2(haematopoietic_and_lymphoid_tissue)</t>
  </si>
  <si>
    <t>36211374</t>
  </si>
  <si>
    <t>CAAG</t>
  </si>
  <si>
    <t>KMT2B:NM_014727:exon3:c.1126_1128del:p.376_376del</t>
  </si>
  <si>
    <t>rs199534880</t>
  </si>
  <si>
    <t>ID=COSM5713336;OCCURRENCE=1(central_nervous_system)</t>
  </si>
  <si>
    <t>1:KMT2B:K376del(1)</t>
  </si>
  <si>
    <t>121151784</t>
  </si>
  <si>
    <t>491</t>
  </si>
  <si>
    <t>POLQ:NM_199420:exon29:c.7640C&gt;T:p.A2547V</t>
  </si>
  <si>
    <t>rs2306211</t>
  </si>
  <si>
    <t>ID=COSM4417136;OCCURRENCE=1(haematopoietic_and_lymphoid_tissue)</t>
  </si>
  <si>
    <t>121208833</t>
  </si>
  <si>
    <t>486</t>
  </si>
  <si>
    <t>POLQ:NM_199420:exon16:c.2945C&gt;G:p.T982R</t>
  </si>
  <si>
    <t>rs3218649</t>
  </si>
  <si>
    <t>ID=COSM3759646;OCCURRENCE=1(large_intestine)</t>
  </si>
  <si>
    <t>3:POLQ:T982R(3)</t>
  </si>
  <si>
    <t>152658141</t>
  </si>
  <si>
    <t>SYNE1:NM_033071:exon75:c.12150G&gt;T:p.K4050N,SYNE1:NM_182961:exon76:c.12363G&gt;T:p.K4121N</t>
  </si>
  <si>
    <t>rs28385621</t>
  </si>
  <si>
    <t>ID=COSM4596014,COSM4596015,COSM4596017,COSM4596013,COSM4596016;OCCURRENCE=5(upper_aerodigestive_tract)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</si>
  <si>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135847</t>
  </si>
  <si>
    <t>152658142</t>
  </si>
  <si>
    <t>483</t>
  </si>
  <si>
    <t>SYNE1:NM_033071:exon75:c.12149A&gt;G:p.K4050R,SYNE1:NM_182961:exon76:c.12362A&gt;G:p.K4121R</t>
  </si>
  <si>
    <t>rs9479297</t>
  </si>
  <si>
    <t>ID=COSM5010204,COSM5010201,COSM5010202,COSM5010205,COSM5010203;OCCURRENCE=1(large_intestine)</t>
  </si>
  <si>
    <t>1:SYNE1:K4121R(1)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</si>
  <si>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135846</t>
  </si>
  <si>
    <t>145522548</t>
  </si>
  <si>
    <t>PEX11B:NM_001184795:exon4:c.367C&gt;T:p.R123C,PEX11B:NM_003846:exon4:c.409C&gt;T:p.R137C</t>
  </si>
  <si>
    <t>rs782292493</t>
  </si>
  <si>
    <t>ID=COSM895183;OCCURRENCE=1(endometrium)</t>
  </si>
  <si>
    <t>30999280</t>
  </si>
  <si>
    <t>478</t>
  </si>
  <si>
    <t>WRN:NM_000553:exon26:c.3222G&gt;T:p.L1074F</t>
  </si>
  <si>
    <t>rs1801195</t>
  </si>
  <si>
    <t>ID=COSM3763319;OCCURRENCE=1(haematopoietic_and_lymphoid_tissue),2(large_intestine),1(pancreas)</t>
  </si>
  <si>
    <t>7:WRN:L1074F(7)</t>
  </si>
  <si>
    <t>CLINSIG=Benign;CLNDN=Werner_syndrome|not_specified;CLNREVSTAT=criteria_provided,_multiple_submitters,_no_conflicts;CLNDISDB=MedGen:C0043119,OMIM:277700,Orphanet:ORPHA902,SNOMED_CT:51626007|MedGen:CN169374;CLNALLELEID=136205</t>
  </si>
  <si>
    <t>131506283</t>
  </si>
  <si>
    <t>473</t>
  </si>
  <si>
    <t>MGMT:NM_002412:exon3:c.343C&gt;T:p.L115F</t>
  </si>
  <si>
    <t>rs12917</t>
  </si>
  <si>
    <t>ID=COSM3997842,COSM3997843;OCCURRENCE=1(haematopoietic_and_lymphoid_tissue),2(soft_tissue)</t>
  </si>
  <si>
    <t>1:MGMT:L115F(1)</t>
  </si>
  <si>
    <t>152772264</t>
  </si>
  <si>
    <t>471</t>
  </si>
  <si>
    <t>SYNE1:NM_033071:exon26:c.3125T&gt;C:p.V1042A,SYNE1:NM_182961:exon26:c.3104T&gt;C:p.V1035A</t>
  </si>
  <si>
    <t>rs214976</t>
  </si>
  <si>
    <t>ID=COSM5002072,COSM5002075,COSM5002071,COSM5002073,COSM5002074;OCCURRENCE=1(large_intestine),1(pancreas),1(urinary_tract)</t>
  </si>
  <si>
    <t>2:SYNE1:V1035A(2)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</si>
  <si>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135884</t>
  </si>
  <si>
    <t>60027907</t>
  </si>
  <si>
    <t>444</t>
  </si>
  <si>
    <t>CCDC175:NM_001164399:exon7:c.883G&gt;A:p.E295K</t>
  </si>
  <si>
    <t>rs112952088</t>
  </si>
  <si>
    <t>ID=COSM7302373,COSM7302372;OCCURRENCE=1(large_intestine)</t>
  </si>
  <si>
    <t>37884037</t>
  </si>
  <si>
    <t>440</t>
  </si>
  <si>
    <t>ERBB2:NM_004448:exon27:c.3508C&gt;G:p.P1170A,ERBB2:NM_001005862:exon30:c.3418C&gt;G:p.P1140A,ERBB2:NM_001289936:exon31:c.3463C&gt;G:p.P1155A</t>
  </si>
  <si>
    <t>rs1058808</t>
  </si>
  <si>
    <t>ID=COSM5436892,COSM5436893;OCCURRENCE=1(biliary_tract),1(large_intestine),2(oesophagus)</t>
  </si>
  <si>
    <t>12:ERBB2:P1170A(12)</t>
  </si>
  <si>
    <t>CLINSIG=not_provided;CLNDN=not_specified;CLNREVSTAT=no_assertion_provided;CLNDISDB=MedGen:CN169374;CLNALLELEID=137821</t>
  </si>
  <si>
    <t>160670282</t>
  </si>
  <si>
    <t>436</t>
  </si>
  <si>
    <t>SLC22A2:NM_003058:exon4:c.808T&gt;G:p.S270A</t>
  </si>
  <si>
    <t>rs316019</t>
  </si>
  <si>
    <t>ID=COSM6354143;OCCURRENCE=1(breast)</t>
  </si>
  <si>
    <t>81422178</t>
  </si>
  <si>
    <t>TSHR:NM_000369:exon1:c.154C&gt;A:p.P52T,TSHR:NM_001018036:exon1:c.154C&gt;A:p.P52T,TSHR:NM_001142626:exon1:c.154C&gt;A:p.P52T</t>
  </si>
  <si>
    <t>rs2234919</t>
  </si>
  <si>
    <t>ID=COSM5019402,COSM5019401;OCCURRENCE=1(breast),1(soft_tissue)</t>
  </si>
  <si>
    <t>5:TSHR:P52T(5)</t>
  </si>
  <si>
    <t>CLINSIG=Benign/Likely_benign;CLNDN=Congenital_hypothyroidism|not_specified;CLNREVSTAT=criteria_provided,_multiple_submitters,_no_conflicts;CLNDISDB=Human_Phenotype_Ontology:HP:0000851,MedGen:C0010308,Orphanet:ORPHA442,SNOMED_CT:190268003|MedGen:CN169374;CLNALLELEID=139131</t>
  </si>
  <si>
    <t>46505309</t>
  </si>
  <si>
    <t>downstream</t>
  </si>
  <si>
    <t>432</t>
  </si>
  <si>
    <t>dist=503</t>
  </si>
  <si>
    <t>rs1707321</t>
  </si>
  <si>
    <t>ID=COSN6457859;OCCURRENCE=1(liver)</t>
  </si>
  <si>
    <t>23777374</t>
  </si>
  <si>
    <t>422</t>
  </si>
  <si>
    <t>BCL2L2:NM_001199839:exon3:c.398A&gt;G:p.Q133R,BCL2L2-PABPN1:NM_001199864:exon3:c.398A&gt;G:p.Q133R,BCL2L2:NM_004050:exon3:c.398A&gt;G:p.Q133R</t>
  </si>
  <si>
    <t>rs910332</t>
  </si>
  <si>
    <t>ID=COSM4148013;OCCURRENCE=1(thyroid)</t>
  </si>
  <si>
    <t>17:BCL2L2:Q133R(17)</t>
  </si>
  <si>
    <t>57864433</t>
  </si>
  <si>
    <t>418</t>
  </si>
  <si>
    <t>GLI1:NM_001160045:exon10:c.1526G&gt;A:p.R509Q,GLI1:NM_001167609:exon11:c.1787G&gt;A:p.R596Q,GLI1:NM_005269:exon12:c.1910G&gt;A:p.R637Q</t>
  </si>
  <si>
    <t>rs538595523</t>
  </si>
  <si>
    <t>ID=COSM74757;OCCURRENCE=1(biliary_tract),1(endometrium),1(ovary)</t>
  </si>
  <si>
    <t>3:GLI1:R637Q(3)</t>
  </si>
  <si>
    <t>121518378</t>
  </si>
  <si>
    <t>414</t>
  </si>
  <si>
    <t>dist=20</t>
  </si>
  <si>
    <t>rs2303655</t>
  </si>
  <si>
    <t>ID=COSN28853786,COSN14792736;OCCURRENCE=1(large_intestine),1(liver)</t>
  </si>
  <si>
    <t>36222857</t>
  </si>
  <si>
    <t>KMT2B:NM_014727:exon27:c.5486C&gt;T:p.P1829L</t>
  </si>
  <si>
    <t>rs16970649</t>
  </si>
  <si>
    <t>ID=COSM4000670;OCCURRENCE=1(haematopoietic_and_lymphoid_tissue)</t>
  </si>
  <si>
    <t>2:KMT2B:P1829L(2)</t>
  </si>
  <si>
    <t>152489294</t>
  </si>
  <si>
    <t>SYNE1:NM_001347702:exon1:c.46A&gt;G:p.S16G</t>
  </si>
  <si>
    <t>rs998147</t>
  </si>
  <si>
    <t>ID=COSN15656248;OCCURRENCE=1(upper_aerodigestive_tract)</t>
  </si>
  <si>
    <t>81575005</t>
  </si>
  <si>
    <t>404</t>
  </si>
  <si>
    <t>TSHR:NM_001018036:exon9:c.742C&gt;A:p.R248S,TSHR:NM_001142626:exon9:c.805C&gt;A:p.R269S</t>
  </si>
  <si>
    <t>rs3783941</t>
  </si>
  <si>
    <t>ID=COSM7229011;OCCURRENCE=1(lung)</t>
  </si>
  <si>
    <t>CLINSIG=not_provided;CLNDN=not_specified;CLNREVSTAT=no_assertion_provided;CLNDISDB=MedGen:CN169374;CLNALLELEID=139142</t>
  </si>
  <si>
    <t>38061742</t>
  </si>
  <si>
    <t>384</t>
  </si>
  <si>
    <t>FOXA1:NM_004496:exon2:c.247G&gt;A:p.A83T</t>
  </si>
  <si>
    <t>rs7144658</t>
  </si>
  <si>
    <t>ID=COSM3753953;OCCURRENCE=1(large_intestine),1(liver)</t>
  </si>
  <si>
    <t>13:FOXA1:A83T(13)</t>
  </si>
  <si>
    <t>92573911</t>
  </si>
  <si>
    <t>370</t>
  </si>
  <si>
    <t>FAT3:NM_001008781:exon17:c.10552G&gt;T:p.V3518L</t>
  </si>
  <si>
    <t>rs10765565</t>
  </si>
  <si>
    <t>ID=COSM3752810,COSM3752812,COSM3752811;OCCURRENCE=1(large_intestine),1(lung),1(thyroid)</t>
  </si>
  <si>
    <t>121746956</t>
  </si>
  <si>
    <t>350</t>
  </si>
  <si>
    <t>GLI2:NM_005270:exon13:c.3466G&gt;T:p.A1156S</t>
  </si>
  <si>
    <t>rs3738880</t>
  </si>
  <si>
    <t>ID=COSM7216037;OCCURRENCE=1(haematopoietic_and_lymphoid_tissue)</t>
  </si>
  <si>
    <t>1:GLI2:A1156S(1)</t>
  </si>
  <si>
    <t>CLINSIG=Benign;CLNDN=Holoprosencephaly_sequence|not_specified;CLNREVSTAT=criteria_provided,_multiple_submitters,_no_conflicts;CLNDISDB=Gene:3244,Human_Phenotype_Ontology:HP:0001360,MedGen:C0079541,Orphanet:ORPHA2162,SNOMED_CT:30915001|MedGen:CN169374;CLNALLELEID=101170</t>
  </si>
  <si>
    <t>121416864</t>
  </si>
  <si>
    <t>HNF1A:NM_000545:exon1:c.293C&gt;T:p.A98V,HNF1A:NM_001306179:exon1:c.293C&gt;T:p.A98V</t>
  </si>
  <si>
    <t>rs1800574</t>
  </si>
  <si>
    <t>ID=COSM5020679;OCCURRENCE=2(soft_tissue)</t>
  </si>
  <si>
    <t>CLINSIG=Benign/Likely_benign;CLNDN=Maturity_onset_diabetes_mellitus_in_young|not_specified|Monogenic_diabetes;CLNREVSTAT=criteria_provided,_multiple_submitters,_no_conflicts;CLNDISDB=Human_Phenotype_Ontology:HP:0004904,MedGen:C0342276,OMIM:606391,Orphanet:ORPHA552,SNOMED_CT:28453007|MedGen:CN169374|MedGen:CN240909;CLNALLELEID=134679</t>
  </si>
  <si>
    <t>66416357</t>
  </si>
  <si>
    <t>ARSG:NM_001267727:exon12:c.1331C&gt;T:p.T444M,ARSG:NM_014960:exon12:c.1331C&gt;T:p.T444M</t>
  </si>
  <si>
    <t>rs62000424</t>
  </si>
  <si>
    <t>ID=COSM4415199;OCCURRENCE=2(haematopoietic_and_lymphoid_tissue)</t>
  </si>
  <si>
    <t>27308585</t>
  </si>
  <si>
    <t>348</t>
  </si>
  <si>
    <t>PTK2B:NM_173175:exon25:c.2387A&gt;C:p.K796T,PTK2B:NM_173176:exon26:c.2513A&gt;C:p.K838T,PTK2B:NM_004103:exon27:c.2513A&gt;C:p.K838T,PTK2B:NM_173174:exon31:c.2513A&gt;C:p.K838T</t>
  </si>
  <si>
    <t>rs751019</t>
  </si>
  <si>
    <t>ID=COSM7228424,COSM7228423,COSM7228425;OCCURRENCE=2(lung)</t>
  </si>
  <si>
    <t>121747406</t>
  </si>
  <si>
    <t>341</t>
  </si>
  <si>
    <t>GLI2:NM_005270:exon13:c.3916G&gt;A:p.D1306N</t>
  </si>
  <si>
    <t>rs12711538</t>
  </si>
  <si>
    <t>ID=COSM3757603;OCCURRENCE=2(large_intestine),1(lung),1(pancreas)</t>
  </si>
  <si>
    <t>2:GLI2:D1306N(2)</t>
  </si>
  <si>
    <t>CLINSIG=Benign;CLNDN=Holoprosencephaly_sequence|not_specified;CLNREVSTAT=criteria_provided,_multiple_submitters,_no_conflicts;CLNDISDB=Gene:3244,Human_Phenotype_Ontology:HP:0001360,MedGen:C0079541,Orphanet:ORPHA2162,SNOMED_CT:30915001|MedGen:CN169374;CLNALLELEID=101171</t>
  </si>
  <si>
    <t>72993831</t>
  </si>
  <si>
    <t>335</t>
  </si>
  <si>
    <t>ZFHX3:NM_006885:exon2:c.214T&gt;G:p.S72A</t>
  </si>
  <si>
    <t>rs7193297</t>
  </si>
  <si>
    <t>ID=COSM1563502;OCCURRENCE=1(large_intestine),1(lung),1(thyroid)</t>
  </si>
  <si>
    <t>9:ZFHX3:S72A(9)</t>
  </si>
  <si>
    <t>8108331</t>
  </si>
  <si>
    <t>AURKB:NM_001313955:exon7:c.389T&gt;C:p.M130T,AURKB:NM_001256834:exon8:c.770T&gt;C:p.M257T,AURKB:NM_001313952:exon8:c.773T&gt;C:p.M258T,AURKB:NM_001313953:exon8:c.797T&gt;C:p.M266T,AURKB:NM_001284526:exon9:c.896T&gt;C:p.M299T,AURKB:NM_001313950:exon9:c.893T&gt;C:p.M298T,AURKB:NM_001313951:exon9:c.770T&gt;C:p.M257T,AURKB:NM_001313954:exon9:c.437T&gt;C:p.M146T,AURKB:NM_004217:exon9:c.893T&gt;C:p.M298T</t>
  </si>
  <si>
    <t>rs1059476</t>
  </si>
  <si>
    <t>ID=COSM4130880,COSM4130881;OCCURRENCE=3(haematopoietic_and_lymphoid_tissue),2(thyroid)</t>
  </si>
  <si>
    <t>14:AURKB:M298T(14)</t>
  </si>
  <si>
    <t>6184092</t>
  </si>
  <si>
    <t>325</t>
  </si>
  <si>
    <t>CHD5:NM_015557:exon31:c.4615T&gt;C:p.S1539P</t>
  </si>
  <si>
    <t>rs2843493</t>
  </si>
  <si>
    <t>ID=COSM4144116,COSM4144117;OCCURRENCE=1(thyroid)</t>
  </si>
  <si>
    <t>1:CHD5:S1539P(1)</t>
  </si>
  <si>
    <t>36212143</t>
  </si>
  <si>
    <t>324</t>
  </si>
  <si>
    <t>KMT2B:NM_014727:exon3:c.1894T&gt;C:p.S632P</t>
  </si>
  <si>
    <t>rs749721720</t>
  </si>
  <si>
    <t>ID=COSM6408819,COSM6408820;OCCURRENCE=2(thyroid)</t>
  </si>
  <si>
    <t>TTGCTGCTGCTGC</t>
  </si>
  <si>
    <t>318</t>
  </si>
  <si>
    <t>MAML2:NM_032427:exon2:c.1809_1820del:p.603_607del</t>
  </si>
  <si>
    <t>rs751380626</t>
  </si>
  <si>
    <t>ID=COSM5970445;OCCURRENCE=1(upper_aerodigestive_tract)</t>
  </si>
  <si>
    <t>2:MAML2:Q618_Q621del(2)</t>
  </si>
  <si>
    <t>53670545</t>
  </si>
  <si>
    <t>301</t>
  </si>
  <si>
    <t>ESPL1:NM_012291:exon8:c.1842C&gt;A:p.S614R</t>
  </si>
  <si>
    <t>rs1318648</t>
  </si>
  <si>
    <t>ID=COSM4147242;OCCURRENCE=1(haematopoietic_and_lymphoid_tissue),1(thyroid)</t>
  </si>
  <si>
    <t>3:ESPL1:S614R(3)</t>
  </si>
  <si>
    <t>100645467</t>
  </si>
  <si>
    <t>292</t>
  </si>
  <si>
    <t>BTK:NM_001287344:exon1:c.71A&gt;G:p.E24G</t>
  </si>
  <si>
    <t>rs5951308</t>
  </si>
  <si>
    <t>ID=COSN28681243,COSN28816891,COSN19695355,COSN28801614;OCCURRENCE=1(large_intestine),3(lung)</t>
  </si>
  <si>
    <t>CLINSIG=Benign;CLNDN=not_specified;CLNREVSTAT=criteria_provided,_single_submitter;CLNDISDB=MedGen:CN169374;CLNALLELEID=390503</t>
  </si>
  <si>
    <t>15299048</t>
  </si>
  <si>
    <t>286</t>
  </si>
  <si>
    <t>NOTCH3:NM_000435:exon9:c.1490C&gt;T:p.S497L</t>
  </si>
  <si>
    <t>rs114207045</t>
  </si>
  <si>
    <t>ID=COSM3937908,COSM259063;OCCURRENCE=1(large_intestine),1(lung),1(oesophagus)</t>
  </si>
  <si>
    <t>5:NOTCH3:S497L(5)</t>
  </si>
  <si>
    <t>CLINSIG=Benign/Likely_benign;CLNDN=Cerebral_autosomal_dominant_arteriopathy_with_subcortical_infarcts_and_leukoencephalopathy|not_specified;CLNREVSTAT=criteria_provided,_multiple_submitters,_no_conflicts;CLNDISDB=MedGen:C0751587,OMIM:125310,Orphanet:ORPHA136,SNOMED_CT:390936003|MedGen:CN169374;CLNALLELEID=256821</t>
  </si>
  <si>
    <t>2488153</t>
  </si>
  <si>
    <t>260</t>
  </si>
  <si>
    <t>TNFRSF14:NM_001297605:exon1:c.50A&gt;G:p.K17R,TNFRSF14:NM_003820:exon1:c.50A&gt;G:p.K17R</t>
  </si>
  <si>
    <t>rs4870</t>
  </si>
  <si>
    <t>ID=COSM4143682,COSM4999217;OCCURRENCE=2(lung),1(pancreas),1(thyroid)</t>
  </si>
  <si>
    <t>15:TNFRSF14:K17R(15)</t>
  </si>
  <si>
    <t>CLINSIG=not_provided;CLNDN=not_specified;CLNREVSTAT=no_assertion_provided;CLNDISDB=MedGen:CN169374;CLNALLELEID=139088</t>
  </si>
  <si>
    <t>49427265</t>
  </si>
  <si>
    <t>TTGC</t>
  </si>
  <si>
    <t>255</t>
  </si>
  <si>
    <t>KMT2D:NM_003482:exon39:c.11222_11223insGCA:p.Q3741delinsQQ</t>
  </si>
  <si>
    <t>rs398123707</t>
  </si>
  <si>
    <t>ID=COSM4385667,COSM4385668;OCCURRENCE=2(haematopoietic_and_lymphoid_tissue),3(large_intestine)</t>
  </si>
  <si>
    <t>CLINSIG=Benign;CLNDN=not_specified;CLNREVSTAT=no_assertion_criteria_provided;CLNDISDB=MedGen:CN169374;CLNALLELEID=100050</t>
  </si>
  <si>
    <t>15271771</t>
  </si>
  <si>
    <t>NOTCH3:NM_000435:exon33:c.6668C&gt;T:p.A2223V</t>
  </si>
  <si>
    <t>rs1044009</t>
  </si>
  <si>
    <t>ID=COSM3756390,COSM3756389;OCCURRENCE=3(large_intestine),1(thyroid)</t>
  </si>
  <si>
    <t>12:NOTCH3:A2223V(12)</t>
  </si>
  <si>
    <t>CLINSIG=Benign;CLNDN=Cerebral_autosomal_dominant_arteriopathy_with_subcortical_infarcts_and_leukoencephalopathy|not_specified;CLNREVSTAT=criteria_provided,_multiple_submitters,_no_conflicts;CLNDISDB=MedGen:C0751587,OMIM:125310,Orphanet:ORPHA136,SNOMED_CT:390936003|MedGen:CN169374;CLNALLELEID=256792</t>
  </si>
  <si>
    <t>35430686</t>
  </si>
  <si>
    <t>252</t>
  </si>
  <si>
    <t>FANCE:NM_021922:exon9:c.1504G&gt;A:p.A502T</t>
  </si>
  <si>
    <t>rs9462088</t>
  </si>
  <si>
    <t>ID=COSM4418881;OCCURRENCE=1(haematopoietic_and_lymphoid_tissue),1(soft_tissue)</t>
  </si>
  <si>
    <t>2:FANCE:A502T(2)</t>
  </si>
  <si>
    <t>CLINSIG=Benign;CLNDN=Fanconi_anemia|not_specified;CLNREVSTAT=criteria_provided,_multiple_submitters,_no_conflicts;CLNDISDB=MedGen:C0015625,Orphanet:ORPHA84,SNOMED_CT:30575002|MedGen:CN169374;CLNALLELEID=138084</t>
  </si>
  <si>
    <t>180030313</t>
  </si>
  <si>
    <t>250</t>
  </si>
  <si>
    <t>FLT4:NM_182925:exon30:c.3971G&gt;T:p.R1324L</t>
  </si>
  <si>
    <t>rs307821</t>
  </si>
  <si>
    <t>ID=COSM3761168;OCCURRENCE=1(breast),1(large_intestine),1(stomach)</t>
  </si>
  <si>
    <t>8:FLT4:R1324L(8)</t>
  </si>
  <si>
    <t>CLINSIG=Benign;CLNDN=not_specified;CLNREVSTAT=criteria_provided,_single_submitter;CLNDISDB=MedGen:CN169374;CLNALLELEID=251880</t>
  </si>
  <si>
    <t>180051003</t>
  </si>
  <si>
    <t>249</t>
  </si>
  <si>
    <t>FLT4:NM_002020:exon11:c.1480A&gt;G:p.T494A,FLT4:NM_182925:exon11:c.1480A&gt;G:p.T494A</t>
  </si>
  <si>
    <t>rs307826</t>
  </si>
  <si>
    <t>ID=COSM3761171,COSM3761172,COSM3761173;OCCURRENCE=1(breast),1(large_intestine),1(lung)</t>
  </si>
  <si>
    <t>10:FLT4:T494A(10)</t>
  </si>
  <si>
    <t>CLINSIG=Benign;CLNDN=not_specified;CLNREVSTAT=criteria_provided,_single_submitter;CLNDISDB=MedGen:CN169374;CLNALLELEID=251908</t>
  </si>
  <si>
    <t>69003744</t>
  </si>
  <si>
    <t>CCCA</t>
  </si>
  <si>
    <t>246</t>
  </si>
  <si>
    <t>dist=875</t>
  </si>
  <si>
    <t>rs72524425</t>
  </si>
  <si>
    <t>ID=COSN29472866;OCCURRENCE=1(haematopoietic_and_lymphoid_tissue)</t>
  </si>
  <si>
    <t>40886993</t>
  </si>
  <si>
    <t>HIPK4:NM_144685:exon3:c.905G&gt;A:p.R302Q</t>
  </si>
  <si>
    <t>rs11670988</t>
  </si>
  <si>
    <t>ID=COSM3766347;OCCURRENCE=1(liver),2(lung)</t>
  </si>
  <si>
    <t>46279836</t>
  </si>
  <si>
    <t>ACAG</t>
  </si>
  <si>
    <t>224</t>
  </si>
  <si>
    <t>NCOA3:NM_001174087:exon20:c.3760_3762del:p.1254_1254del,NCOA3:NM_001174088:exon20:c.3736_3738del:p.1246_1246del,NCOA3:NM_006534:exon20:c.3751_3753del:p.1251_1251del,NCOA3:NM_181659:exon20:c.3763_3765del:p.1255_1255del</t>
  </si>
  <si>
    <t>rs147879509</t>
  </si>
  <si>
    <t>ID=COSM128730;OCCURRENCE=1(liver),1(upper_aerodigestive_tract)</t>
  </si>
  <si>
    <t>17:NCOA3:Q1276del(17)</t>
  </si>
  <si>
    <t>121437382</t>
  </si>
  <si>
    <t>217</t>
  </si>
  <si>
    <t>HNF1A:NM_000545:exon9:c.1720A&gt;G:p.S574G,HNF1A:NM_001306179:exon9:c.1741A&gt;G:p.S581G</t>
  </si>
  <si>
    <t>rs1169305</t>
  </si>
  <si>
    <t>ID=COSM4445211;OCCURRENCE=1(large_intestine)</t>
  </si>
  <si>
    <t>13:HNF1A:S574G(13)</t>
  </si>
  <si>
    <t>CLINSIG=Benign;CLNDN=Maturity-onset_diabetes_of_the_young,_type_3|not_specified;CLNREVSTAT=criteria_provided,_single_submitter;CLNDISDB=MedGen:C1838100,OMIM:600496|MedGen:CN169374;CLNALLELEID=45471</t>
  </si>
  <si>
    <t>48265495</t>
  </si>
  <si>
    <t>187</t>
  </si>
  <si>
    <t>COL1A1:NM_000088:exon44:c.3223A&gt;G:p.T1075A</t>
  </si>
  <si>
    <t>rs1800215</t>
  </si>
  <si>
    <t>ID=COSM4130378;OCCURRENCE=1(thyroid)</t>
  </si>
  <si>
    <t>2:COL1A1:T1075A(2)</t>
  </si>
  <si>
    <t>CLINSIG=Benign;CLNDN=not_specified;CLNREVSTAT=criteria_provided,_single_submitter;CLNDISDB=MedGen:CN169374;CLNALLELEID=269599</t>
  </si>
  <si>
    <t>54201756</t>
  </si>
  <si>
    <t>186</t>
  </si>
  <si>
    <t>dist=31</t>
  </si>
  <si>
    <t>rs73057685</t>
  </si>
  <si>
    <t>ID=COSN28627182,COSN28736712;OCCURRENCE=2(lung)</t>
  </si>
  <si>
    <t>48398080</t>
  </si>
  <si>
    <t>180</t>
  </si>
  <si>
    <t>COL2A1:NM_001844:exon1:c.25A&gt;T:p.T9S,COL2A1:NM_033150:exon1:c.25A&gt;T:p.T9S</t>
  </si>
  <si>
    <t>rs3803183</t>
  </si>
  <si>
    <t>ID=COSM3753257,COSM3753256;OCCURRENCE=1(large_intestine),1(thyroid)</t>
  </si>
  <si>
    <t>1:COL2A1:T9S(1)</t>
  </si>
  <si>
    <t>CLINSIG=Benign/Likely_benign;CLNDN=Type_II_Collagenopathies|not_specified|Stickler_Syndrome,_Dominant;CLNREVSTAT=criteria_provided,_multiple_submitters,_no_conflicts;CLNDISDB=MedGen:CN043672|MedGen:CN169374|MedGen:CN239460;CLNALLELEID=99690</t>
  </si>
  <si>
    <t>36840623</t>
  </si>
  <si>
    <t>168</t>
  </si>
  <si>
    <t>PAX5:NM_001280550:exon7:c.791C&gt;T:p.T264I,PAX5:NM_001280549:exon8:c.878C&gt;T:p.T293I</t>
  </si>
  <si>
    <t>rs3780135</t>
  </si>
  <si>
    <t>ID=COSM4163845;OCCURRENCE=1(liver),1(thyroid)</t>
  </si>
  <si>
    <t>CLINSIG=not_provided;CLNDN=not_specified;CLNREVSTAT=no_assertion_provided;CLNDISDB=MedGen:CN169374;CLNALLELEID=138737</t>
  </si>
  <si>
    <t>215674224</t>
  </si>
  <si>
    <t>143</t>
  </si>
  <si>
    <t>BARD1:NM_000465:exon1:c.70C&gt;T:p.P24S,BARD1:NM_001282543:exon1:c.70C&gt;T:p.P24S,BARD1:NM_001282545:exon1:c.70C&gt;T:p.P24S,BARD1:NM_001282548:exon1:c.70C&gt;T:p.P24S,BARD1:NM_001282549:exon1:c.70C&gt;T:p.P24S</t>
  </si>
  <si>
    <t>rs1048108</t>
  </si>
  <si>
    <t>ID=COSM442275,COSM1482743;OCCURRENCE=1(large_intestine),3(lung),1(thyroid)</t>
  </si>
  <si>
    <t>13:BARD1:P24S(13)</t>
  </si>
  <si>
    <t>CLINSIG=Benign/Likely_benign;CLNDN=Neoplasm_of_the_breast|Hereditary_cancer-predisposing_syndrome|Familial_cancer_of_breast|not_specified;CLNREVSTAT=criteria_provided,_multiple_submitters,_no_conflicts;CLNDISDB=Human_Phenotype_Ontology:HP:0100013,MeSH:D001943,MedGen:C1458155,Orphanet:ORPHA180250,SNOMED_CT:126926005|MedGen:C0027672,SNOMED_CT:699346009|MedGen:C0346153,OMIM:114480,Orphanet:ORPHA227535,SNOMED_CT:254843006|MedGen:CN169374;CLNALLELEID=181856</t>
  </si>
  <si>
    <t>17280822</t>
  </si>
  <si>
    <t>136</t>
  </si>
  <si>
    <t>XKR3:NM_001318251:exon3:c.428C&gt;T:p.T143M,XKR3:NM_175878:exon3:c.428C&gt;T:p.T143M</t>
  </si>
  <si>
    <t>rs5748648</t>
  </si>
  <si>
    <t>ID=COSM7248816;OCCURRENCE=1(lung)</t>
  </si>
  <si>
    <t>46505147</t>
  </si>
  <si>
    <t>92</t>
  </si>
  <si>
    <t>dist=665</t>
  </si>
  <si>
    <t>rs1707322</t>
  </si>
  <si>
    <t>ID=COSN6457858;OCCURRENCE=1(liver)</t>
  </si>
  <si>
    <t>100514614</t>
  </si>
  <si>
    <t>ADAMTS17:NM_139057:exon22:c.3281A&gt;G:p.N1094S</t>
  </si>
  <si>
    <t>rs2573652</t>
  </si>
  <si>
    <t>ID=COSM1375652;OCCURRENCE=1(liver),1(thyroid)</t>
  </si>
  <si>
    <t>CLINSIG=Benign;CLNDN=Weill-Marchesani-like_syndrome;CLNREVSTAT=criteria_provided,_single_submitter;CLNDISDB=MedGen:C2750787,OMIM:613195,Orphanet:ORPHA363992;CLNALLELEID=341746</t>
  </si>
  <si>
    <t>66765158</t>
  </si>
  <si>
    <t>TGCA</t>
  </si>
  <si>
    <t>34</t>
  </si>
  <si>
    <t>AR:NM_000044:exon1:c.170_171insGCA:p.L57delinsLQ,AR:NM_001348061:exon1:c.170_171insGCA:p.L57delinsLQ,AR:NM_001348063:exon1:c.170_171insGCA:p.L57delinsLQ,AR:NM_001348064:exon1:c.170_171insGCA:p.L57delinsLQ</t>
  </si>
  <si>
    <t>rs3032358</t>
  </si>
  <si>
    <t>ID=COSM5831309;OCCURRENCE=1(breast),1(large_intestine),1(thyroid)</t>
  </si>
  <si>
    <t>CLINSIG=Benign/Likely_benign;CLNDN=Androgen_resistance_syndrome|Bulbo-spinal_atrophy_X-linked|not_specified;CLNREVSTAT=criteria_provided,_multiple_submitters,_no_conflicts;CLNDISDB=MedGen:C0039585,OMIM:300068,SNOMED_CT:12313004|MedGen:C1839259,OMIM:313200,Orphanet:ORPHA481|MedGen:CN169374;CLNALLELEID=430878</t>
  </si>
  <si>
    <t>TGCAGCA</t>
  </si>
  <si>
    <t>AR:NM_000044:exon1:c.170_171insGCAGCA:p.L57delinsLQQ,AR:NM_001348061:exon1:c.170_171insGCAGCA:p.L57delinsLQQ,AR:NM_001348063:exon1:c.170_171insGCAGCA:p.L57delinsLQQ,AR:NM_001348064:exon1:c.170_171insGCAGCA:p.L57delinsLQQ</t>
  </si>
  <si>
    <t>ID=COSM5826564;OCCURRENCE=2(large_intestine),1(upper_aerodigestive_tract)</t>
  </si>
  <si>
    <t>CLINSIG=Benign;CLNDN=Androgen_resistance_syndrome;CLNREVSTAT=criteria_provided,_single_submitter;CLNDISDB=MedGen:C0039585,OMIM:300068,SNOMED_CT:12313004;CLNALLELEID=274659</t>
  </si>
  <si>
    <t>18272190</t>
  </si>
  <si>
    <t>13</t>
  </si>
  <si>
    <t>PIK3R2:NM_005027:exon6:c.700A&gt;C:p.S234R</t>
  </si>
  <si>
    <t>rs2241088</t>
  </si>
  <si>
    <t>ID=COSM4131465;OCCURRENCE=1(thyroid)</t>
  </si>
  <si>
    <t>6:PIK3R2:S234R(6)</t>
  </si>
  <si>
    <t>CLINSIG=Benign;CLNDN=not_specified;CLNREVSTAT=criteria_provided,_single_submitter;CLNDISDB=MedGen:CN169374;CLNALLELEID=488503</t>
  </si>
  <si>
    <t>80678498</t>
  </si>
  <si>
    <t>TGTGGCAGCACCTTTTTTTTAAAATCCCGTATACCA</t>
  </si>
  <si>
    <t>GCACCTTTTTTTTAAAATCCCGTATACC</t>
  </si>
  <si>
    <t>577</t>
  </si>
  <si>
    <t>frameshift substitution</t>
  </si>
  <si>
    <t>HEY1:NM_001282851:exon1:c.-34_1GGTATACGGGATTTTAAAAAAAAGGTGC</t>
  </si>
  <si>
    <t>80678493</t>
  </si>
  <si>
    <t>AGGCATGT</t>
  </si>
  <si>
    <t>563</t>
  </si>
  <si>
    <t>HEY1:NM_001282851:wholegene</t>
  </si>
  <si>
    <t>rs142613628</t>
  </si>
  <si>
    <t>76939929</t>
  </si>
  <si>
    <t>CCT</t>
  </si>
  <si>
    <t>375</t>
  </si>
  <si>
    <t>frameshift insertion</t>
  </si>
  <si>
    <t>ATRX:NM_138270:exon8:c.704_705insAG:p.L235fs,ATRX:NM_000489:exon9:c.818_819insAG:p.L273fs</t>
  </si>
  <si>
    <t>36214632</t>
  </si>
  <si>
    <t>248</t>
  </si>
  <si>
    <t>NM_014727:exon8:c.3059-1-&gt;G</t>
  </si>
  <si>
    <t>rs11373774</t>
  </si>
  <si>
    <t>78435701</t>
  </si>
  <si>
    <t>156</t>
  </si>
  <si>
    <t>NM_003902:exon2:c.121-2-&gt;T;NM_001303433:exon2:c.121-2-&gt;T</t>
  </si>
  <si>
    <t>rs752631352</t>
  </si>
  <si>
    <t>46521503</t>
  </si>
  <si>
    <t>141</t>
  </si>
  <si>
    <t>NM_001278739:exon10:c.822+1G&gt;C;NM_001278738:exon11:c.1278+1G&gt;C;NM_016593:exon11:c.1338+1G&gt;C</t>
  </si>
  <si>
    <t>rs551269159</t>
  </si>
  <si>
    <t>141625834</t>
  </si>
  <si>
    <t>NM_018557:exon26:c.4170-2-&gt;T</t>
  </si>
  <si>
    <t>rs758437148</t>
  </si>
  <si>
    <t>1265304</t>
  </si>
  <si>
    <t>68</t>
  </si>
  <si>
    <t>NM_006761:exon3:c.265-2-&gt;T</t>
  </si>
  <si>
    <t>rs543499657</t>
  </si>
  <si>
    <t>37067101</t>
  </si>
  <si>
    <t>TTTTTTTTTTTTTTTTTTTTAATACAG</t>
  </si>
  <si>
    <t>ATTTTTTTTTTTTTTTTTTTAATACAA</t>
  </si>
  <si>
    <t>39</t>
  </si>
  <si>
    <t>123184967</t>
  </si>
  <si>
    <t>TTA</t>
  </si>
  <si>
    <t>NM_001042749:exon12:r.spl;NM_001282418:exon12:r.spl;NM_006603:exon11:r.spl;NM_001042750:exon12:r.spl;NM_001042751:exon12:r.spl</t>
  </si>
  <si>
    <t>75513883</t>
  </si>
  <si>
    <t>770</t>
  </si>
  <si>
    <t>MLH3:NM_001040108:exon2:c.2476A&gt;G:p.N826D,MLH3:NM_014381:exon2:c.2476A&gt;G:p.N826D</t>
  </si>
  <si>
    <t>rs175081</t>
  </si>
  <si>
    <t>1:MLH3:N826D(1)</t>
  </si>
  <si>
    <t>CLINSIG=Likely_benign;CLNDN=Lynch_syndrome|not_specified;CLNREVSTAT=criteria_provided,_multiple_submitters,_no_conflicts;CLNDISDB=MedGen:C1333990,Orphanet:ORPHA144,SNOMED_CT:315058005|MedGen:CN169374;CLNALLELEID=255065</t>
  </si>
  <si>
    <t>187629211</t>
  </si>
  <si>
    <t>695</t>
  </si>
  <si>
    <t>FAT1:NM_005245:exon2:c.1771G&gt;A:p.V591I</t>
  </si>
  <si>
    <t>rs572691033</t>
  </si>
  <si>
    <t>81610583</t>
  </si>
  <si>
    <t>TSHR:NM_000369:exon10:c.2181G&gt;C:p.E727D</t>
  </si>
  <si>
    <t>rs1991517</t>
  </si>
  <si>
    <t>14:TSHR:E727D(14)</t>
  </si>
  <si>
    <t>CLINSIG=Likely_benign;CLNDN=Congenital_hypothyroidism|Hyperthyroidism,_nonautoimmune|not_specified;CLNREVSTAT=criteria_provided,_multiple_submitters,_no_conflicts;CLNDISDB=Human_Phenotype_Ontology:HP:0000851,MedGen:C0010308,Orphanet:ORPHA442,SNOMED_CT:190268003|MedGen:C1836706,OMIM:609152,Orphanet:ORPHA424|MedGen:CN169374;CLNALLELEID=139139</t>
  </si>
  <si>
    <t>152671865</t>
  </si>
  <si>
    <t>670</t>
  </si>
  <si>
    <t>SYNE1:NM_033071:exon71:c.11576A&gt;C:p.K3859T,SYNE1:NM_182961:exon71:c.11621A&gt;C:p.K3874T</t>
  </si>
  <si>
    <t>rs13210127</t>
  </si>
  <si>
    <t>CLINSIG=Benign;CLNDN=Cerebellar_ataxia|Emery-Dreifuss_muscular_dystrophy|Spinocerebellar_ataxia,_autosomal_recessive_8|Emery-Dreifuss_muscular_dystrophy_4,_autosomal_dominant|not_specified;CLNREVSTAT=criteria_provided,_multiple_submitters,_no_conflicts;CLNDISDB=Human_Phenotype_Ontology:HP:0001251,MedGen:C0007758,SNOMED_CT:85102008|MedGen:C0410189,Orphanet:ORPHA261,SNOMED_CT:111508004|MedGen:C1853116,OMIM:610743,Orphanet:ORPHA88644|MedGen:C2751807,OMIM:612998|MedGen:CN169374;CLNALLELEID=135841</t>
  </si>
  <si>
    <t>92534442</t>
  </si>
  <si>
    <t>662</t>
  </si>
  <si>
    <t>FAT3:NM_001008781:exon9:c.8263A&gt;G:p.I2755V</t>
  </si>
  <si>
    <t>rs3847531</t>
  </si>
  <si>
    <t>1:FAT3:I2755V(1)</t>
  </si>
  <si>
    <t>1309168</t>
  </si>
  <si>
    <t>648</t>
  </si>
  <si>
    <t>dist=257</t>
  </si>
  <si>
    <t>rs61574973</t>
  </si>
  <si>
    <t>140995726</t>
  </si>
  <si>
    <t>645</t>
  </si>
  <si>
    <t>LRP1B:NM_018557:exon89:c.13555A&gt;G:p.T4519A</t>
  </si>
  <si>
    <t>rs569590413</t>
  </si>
  <si>
    <t>155880573</t>
  </si>
  <si>
    <t>RIT1:NM_001256821:exon2:c.31G&gt;C:p.E11Q</t>
  </si>
  <si>
    <t>rs493446</t>
  </si>
  <si>
    <t>CLINSIG=Benign;CLNDN=not_specified|not_provided;CLNREVSTAT=criteria_provided,_multiple_submitters,_no_conflicts;CLNDISDB=MedGen:CN169374|MedGen:CN517202;CLNALLELEID=228267</t>
  </si>
  <si>
    <t>34640218</t>
  </si>
  <si>
    <t>624</t>
  </si>
  <si>
    <t>NUTM1:NM_001284293:exon2:c.119C&gt;T:p.P40L,NUTM1:NM_001284292:exon3:c.149C&gt;T:p.P50L,NUTM1:NM_175741:exon3:c.65C&gt;T:p.P22L</t>
  </si>
  <si>
    <t>rs374230</t>
  </si>
  <si>
    <t>14:NUTM1:P22L(14)</t>
  </si>
  <si>
    <t>38527308</t>
  </si>
  <si>
    <t>622</t>
  </si>
  <si>
    <t>LIFR:NM_001127671:exon4:c.346C&gt;T:p.H116Y,LIFR:NM_002310:exon4:c.346C&gt;T:p.H116Y</t>
  </si>
  <si>
    <t>rs3729734</t>
  </si>
  <si>
    <t>CLINSIG=Likely_benign;CLNDN=Stuve-Wiedemann_syndrome;CLNREVSTAT=criteria_provided,_single_submitter;CLNDISDB=MedGen:C0796176,OMIM:601559,Orphanet:ORPHA3206;CLNALLELEID=304337</t>
  </si>
  <si>
    <t>CA</t>
  </si>
  <si>
    <t>TG</t>
  </si>
  <si>
    <t>611</t>
  </si>
  <si>
    <t>nonframeshift substitution</t>
  </si>
  <si>
    <t>BARD1:NM_001282543:exon5:c.1461_1462CA,BARD1:NM_000465:exon6:c.1518_1519CA</t>
  </si>
  <si>
    <t>rs386654966</t>
  </si>
  <si>
    <t>CLINSIG=Benign/Likely_benign;CLNDN=Hereditary_cancer-predisposing_syndrome|Familial_cancer_of_breast;CLNREVSTAT=criteria_provided,_multiple_submitters,_no_conflicts;CLNDISDB=MedGen:C0027672,SNOMED_CT:699346009|MedGen:C0346153,OMIM:114480,Orphanet:ORPHA227535,SNOMED_CT:254843006;CLNALLELEID=212134</t>
  </si>
  <si>
    <t>15942752</t>
  </si>
  <si>
    <t>606</t>
  </si>
  <si>
    <t>NCOR1:NM_001190440:exon43:c.6641A&gt;C:p.H2214P,NCOR1:NM_006311:exon44:c.6950A&gt;C:p.H2317P</t>
  </si>
  <si>
    <t>rs574221900</t>
  </si>
  <si>
    <t>92531356</t>
  </si>
  <si>
    <t>FAT3:NM_001008781:exon9:c.5177A&gt;G:p.Q1726R</t>
  </si>
  <si>
    <t>rs7949157</t>
  </si>
  <si>
    <t>1:FAT3:Q1726R(1)</t>
  </si>
  <si>
    <t>121207637</t>
  </si>
  <si>
    <t>POLQ:NM_199420:exon16:c.4141C&gt;A:p.P1381T</t>
  </si>
  <si>
    <t>rs3218642</t>
  </si>
  <si>
    <t>78225374</t>
  </si>
  <si>
    <t>NAV3:NM_001024383:exon1:c.133A&gt;G:p.T45A,NAV3:NM_014903:exon1:c.133A&gt;G:p.T45A</t>
  </si>
  <si>
    <t>rs10735309</t>
  </si>
  <si>
    <t>16:NAV3:T45A(16)</t>
  </si>
  <si>
    <t>210001048</t>
  </si>
  <si>
    <t>dist=264</t>
  </si>
  <si>
    <t>rs660975</t>
  </si>
  <si>
    <t>1317820</t>
  </si>
  <si>
    <t>dist=39</t>
  </si>
  <si>
    <t>rs3816659</t>
  </si>
  <si>
    <t>29416572</t>
  </si>
  <si>
    <t>582</t>
  </si>
  <si>
    <t>ALK:NM_004304:exon29:c.4381A&gt;G:p.I1461V</t>
  </si>
  <si>
    <t>rs1670283</t>
  </si>
  <si>
    <t>15:ALK:I1461V(15)</t>
  </si>
  <si>
    <t>CLINSIG=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137211</t>
  </si>
  <si>
    <t>23635370</t>
  </si>
  <si>
    <t>PALB2:NM_024675:exon8:c.2794G&gt;A:p.V932M</t>
  </si>
  <si>
    <t>rs45624036</t>
  </si>
  <si>
    <t>CLINSIG=Benign/Likely_benign;CLNDN=Hereditary_cancer-predisposing_syndrome|Familial_cancer_of_breast|Pancreatic_cancer_3|not_specified|not_provided;CLNREVSTAT=criteria_provided,_multiple_submitters,_no_conflicts;CLNDISDB=MedGen:C0027672,SNOMED_CT:699346009|MedGen:C0346153,OMIM:114480,Orphanet:ORPHA227535,SNOMED_CT:254843006|MedGen:C3150547,OMIM:613348|MedGen:CN169374|MedGen:CN517202;CLNALLELEID=132192</t>
  </si>
  <si>
    <t>152540278</t>
  </si>
  <si>
    <t>SYNE1:NM_033071:exon119:c.21691T&gt;G:p.F7231V,SYNE1:NM_182961:exon120:c.21904T&gt;G:p.F7302V</t>
  </si>
  <si>
    <t>rs2147377</t>
  </si>
  <si>
    <t>CLINSIG=Benign/Likely_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135865</t>
  </si>
  <si>
    <t>121263720</t>
  </si>
  <si>
    <t>POLQ:NM_199420:exon2:c.197G&gt;T:p.R66I</t>
  </si>
  <si>
    <t>rs702017</t>
  </si>
  <si>
    <t>1:POLQ:R66I(1)</t>
  </si>
  <si>
    <t>49867224</t>
  </si>
  <si>
    <t>574</t>
  </si>
  <si>
    <t>DCC:NM_005215:exon1:c.67T&gt;C:p.F23L</t>
  </si>
  <si>
    <t>rs9951523</t>
  </si>
  <si>
    <t>1:DCC:F23L(1)</t>
  </si>
  <si>
    <t>121154974</t>
  </si>
  <si>
    <t>562</t>
  </si>
  <si>
    <t>POLQ:NM_199420:exon28:c.7538A&gt;G:p.Q2513R</t>
  </si>
  <si>
    <t>rs1381057</t>
  </si>
  <si>
    <t>3:POLQ:Q2513R(3)</t>
  </si>
  <si>
    <t>77761919</t>
  </si>
  <si>
    <t>553</t>
  </si>
  <si>
    <t>ZFHX4:NM_024721:exon8:c.3817C&gt;T:p.P1273S</t>
  </si>
  <si>
    <t>rs61729527</t>
  </si>
  <si>
    <t>42041723</t>
  </si>
  <si>
    <t>MGA:NM_001080541:exon16:c.5291A&gt;G:p.Q1764R,MGA:NM_001164273:exon17:c.5918A&gt;G:p.Q1973R</t>
  </si>
  <si>
    <t>rs61757234</t>
  </si>
  <si>
    <t>1:MGA:Q1973R(1)</t>
  </si>
  <si>
    <t>53662624</t>
  </si>
  <si>
    <t>540</t>
  </si>
  <si>
    <t>ESPL1:NM_012291:exon2:c.74C&gt;A:p.A25D</t>
  </si>
  <si>
    <t>rs6580942</t>
  </si>
  <si>
    <t>1:ESPL1:A25D(1)</t>
  </si>
  <si>
    <t>5557672</t>
  </si>
  <si>
    <t>539</t>
  </si>
  <si>
    <t>PDCD1LG2:NM_025239:exon5:c.686T&gt;C:p.F229S</t>
  </si>
  <si>
    <t>rs7854303</t>
  </si>
  <si>
    <t>1:PDCD1LG2:F229S(1)</t>
  </si>
  <si>
    <t>CTCG</t>
  </si>
  <si>
    <t>TTCA</t>
  </si>
  <si>
    <t>538</t>
  </si>
  <si>
    <t>NCOR1:NM_001190438:exon2:c.241_244TGAA,NCOR1:NM_001190440:exon4:c.568_571TGAA,NCOR1:NM_006311:exon5:c.568_571TGAA</t>
  </si>
  <si>
    <t>38556885</t>
  </si>
  <si>
    <t>535</t>
  </si>
  <si>
    <t>TOP2A:NM_001067:exon22:c.2695A&gt;G:p.I899V</t>
  </si>
  <si>
    <t>rs542323139</t>
  </si>
  <si>
    <t>89744773</t>
  </si>
  <si>
    <t>DUSP6:NM_001946:exon2:c.430T&gt;G:p.S144A</t>
  </si>
  <si>
    <t>rs770087</t>
  </si>
  <si>
    <t>99382096</t>
  </si>
  <si>
    <t>507</t>
  </si>
  <si>
    <t>dist=285</t>
  </si>
  <si>
    <t>rs2740574</t>
  </si>
  <si>
    <t>CLINSIG=drug_response;CLNDN=CYP3A4_PROMOTER_POLYMORPHISM|Cyp3a4-v|tacrolimus_response_-_Dosage;CLNREVSTAT=reviewed_by_expert_panel;CLNDISDB=.|.|MedGen:CN236545;CLNALLELEID=31955</t>
  </si>
  <si>
    <t>142004851</t>
  </si>
  <si>
    <t>506</t>
  </si>
  <si>
    <t>LRP1B:NM_018557:exon5:c.536G&gt;A:p.S179N</t>
  </si>
  <si>
    <t>rs531937590</t>
  </si>
  <si>
    <t>71016340</t>
  </si>
  <si>
    <t>496</t>
  </si>
  <si>
    <t>PTPRB:NM_001109754:exon3:c.538G&gt;A:p.G180S,PTPRB:NM_001330204:exon3:c.538G&gt;A:p.G180S</t>
  </si>
  <si>
    <t>rs7298147</t>
  </si>
  <si>
    <t>1317102</t>
  </si>
  <si>
    <t>493</t>
  </si>
  <si>
    <t>dist=757</t>
  </si>
  <si>
    <t>rs6554759</t>
  </si>
  <si>
    <t>41991315</t>
  </si>
  <si>
    <t>MGA:NM_001080541:exon5:c.2146A&gt;T:p.T716S,MGA:NM_001164273:exon5:c.2146A&gt;T:p.T716S</t>
  </si>
  <si>
    <t>rs2178004</t>
  </si>
  <si>
    <t>1:MGA:T716S(1)</t>
  </si>
  <si>
    <t>34648647</t>
  </si>
  <si>
    <t>488</t>
  </si>
  <si>
    <t>NUTM1:NM_001284293:exon7:c.2408T&gt;A:p.V803E,NUTM1:NM_001284292:exon8:c.2438T&gt;A:p.V813E,NUTM1:NM_175741:exon8:c.2354T&gt;A:p.V785E</t>
  </si>
  <si>
    <t>rs17236868</t>
  </si>
  <si>
    <t>1:NUTM1:V785E(1)</t>
  </si>
  <si>
    <t>AC</t>
  </si>
  <si>
    <t>SYNE1:NM_033071:exon75:c.12149_12150GT,SYNE1:NM_182961:exon76:c.12362_12363GT</t>
  </si>
  <si>
    <t>rs386707192</t>
  </si>
  <si>
    <t>CLINSIG=Conflicting_interpretations_of_pathogenicity;CLNDN=Cardiomyopathy|Spinocerebellar_ataxia,_autosomal_recessive_8|Emery-Dreifuss_muscular_dystrophy_4,_autosomal_dominant;CLNREVSTAT=criteria_provided,_conflicting_interpretations;CLNDISDB=Human_Phenotype_Ontology:HP:0001638,MedGen:C0878544,Orphanet:ORPHA167848,SNOMED_CT:85898001|MedGen:C1853116,OMIM:610743,Orphanet:ORPHA88644|MedGen:C2751807,OMIM:612998;CLNALLELEID=214106</t>
  </si>
  <si>
    <t>53686703</t>
  </si>
  <si>
    <t>481</t>
  </si>
  <si>
    <t>ESPL1:NM_012291:exon30:c.6110G&gt;A:p.R2037H</t>
  </si>
  <si>
    <t>rs1056685</t>
  </si>
  <si>
    <t>1:ESPL1:R2037H(1)</t>
  </si>
  <si>
    <t>160494409</t>
  </si>
  <si>
    <t>IGF2R:NM_000876:exon34:c.4855A&gt;G:p.R1619G</t>
  </si>
  <si>
    <t>rs629849</t>
  </si>
  <si>
    <t>14:IGF2R:R1619G(14)</t>
  </si>
  <si>
    <t>166826808</t>
  </si>
  <si>
    <t>475</t>
  </si>
  <si>
    <t>TADA1:NM_053053:exon8:c.1004G&gt;A:p.C335Y</t>
  </si>
  <si>
    <t>rs565819477</t>
  </si>
  <si>
    <t>68993013</t>
  </si>
  <si>
    <t>AT</t>
  </si>
  <si>
    <t>GC</t>
  </si>
  <si>
    <t>PREX2:NM_024870:exon17:c.1818_1819GC,PREX2:NM_025170:exon17:c.1818_1819GC</t>
  </si>
  <si>
    <t>rs368406603</t>
  </si>
  <si>
    <t>187519206</t>
  </si>
  <si>
    <t>462</t>
  </si>
  <si>
    <t>FAT1:NM_005245:exon23:c.12177G&gt;C:p.K4059N</t>
  </si>
  <si>
    <t>rs1280097</t>
  </si>
  <si>
    <t>14:FAT1:K4059N(14)</t>
  </si>
  <si>
    <t>23885498</t>
  </si>
  <si>
    <t>461</t>
  </si>
  <si>
    <t>ID3:NM_002167:exon2:c.313A&gt;G:p.T105A</t>
  </si>
  <si>
    <t>rs11574</t>
  </si>
  <si>
    <t>12:ID3:T105A(12)</t>
  </si>
  <si>
    <t>43638636</t>
  </si>
  <si>
    <t>460</t>
  </si>
  <si>
    <t>RSPH9:NM_152732:exon5:c.781G&gt;A:p.V261I,RSPH9:NM_001193341:exon6:c.833G&gt;A:p.R278H</t>
  </si>
  <si>
    <t>rs16896629</t>
  </si>
  <si>
    <t>CLINSIG=Benign/Likely_benign;CLNDN=Ciliary_dyskinesia|not_specified;CLNREVSTAT=criteria_provided,_multiple_submitters,_no_conflicts;CLNDISDB=Human_Phenotype_Ontology:HP:0012265,MedGen:C0008780,Orphanet:ORPHA244|MedGen:CN169374;CLNALLELEID=174517</t>
  </si>
  <si>
    <t>176517797</t>
  </si>
  <si>
    <t>457</t>
  </si>
  <si>
    <t>FGFR4:NM_022963:exon3:c.407C&gt;T:p.P136L,FGFR4:NM_001291980:exon4:c.407C&gt;T:p.P136L,FGFR4:NM_002011:exon4:c.407C&gt;T:p.P136L,FGFR4:NM_213647:exon4:c.407C&gt;T:p.P136L</t>
  </si>
  <si>
    <t>rs376618</t>
  </si>
  <si>
    <t>13:FGFR4:P136L(13)</t>
  </si>
  <si>
    <t>29695817</t>
  </si>
  <si>
    <t>GTGGAGGACC</t>
  </si>
  <si>
    <t>456</t>
  </si>
  <si>
    <t>EWSR1:NM_001163286:exon15:c.1740_1748del:p.580_583del,EWSR1:NM_001163285:exon16:c.1905_1913del:p.635_638del,EWSR1:NM_005243:exon16:c.1908_1916del:p.636_639del,EWSR1:NM_013986:exon17:c.1923_1931del:p.641_644del</t>
  </si>
  <si>
    <t>117710573</t>
  </si>
  <si>
    <t>ROS1:NM_002944:exon12:c.1699C&gt;G:p.L567V</t>
  </si>
  <si>
    <t>rs372925583</t>
  </si>
  <si>
    <t>1:ROS1:L567V(1)</t>
  </si>
  <si>
    <t>137743508</t>
  </si>
  <si>
    <t>446</t>
  </si>
  <si>
    <t>CLDN18:NM_001002026:exon3:c.445A&gt;T:p.M149L,CLDN18:NM_016369:exon3:c.445A&gt;T:p.M149L</t>
  </si>
  <si>
    <t>rs17204075</t>
  </si>
  <si>
    <t>2:CLDN18:M149L(2)</t>
  </si>
  <si>
    <t>TGTGC</t>
  </si>
  <si>
    <t>CGTGA</t>
  </si>
  <si>
    <t>MYH9:NM_002473:exon34:c.4872_4876TCACG</t>
  </si>
  <si>
    <t>210001125</t>
  </si>
  <si>
    <t>430</t>
  </si>
  <si>
    <t>dist=186</t>
  </si>
  <si>
    <t>rs3215480</t>
  </si>
  <si>
    <t>89866043</t>
  </si>
  <si>
    <t>424</t>
  </si>
  <si>
    <t>FANCA:NM_000135:exon9:c.796A&gt;G:p.T266A,FANCA:NM_001018112:exon9:c.796A&gt;G:p.T266A,FANCA:NM_001286167:exon9:c.796A&gt;G:p.T266A</t>
  </si>
  <si>
    <t>rs7190823</t>
  </si>
  <si>
    <t>10:FANCA:T266A(10)</t>
  </si>
  <si>
    <t>CLINSIG=Benign;CLNDN=Fanconi_anemia|not_specified;CLNREVSTAT=criteria_provided,_multiple_submitters,_no_conflicts;CLNDISDB=MedGen:C0015625,Orphanet:ORPHA84,SNOMED_CT:30575002|MedGen:CN169374;CLNALLELEID=138033</t>
  </si>
  <si>
    <t>18273047</t>
  </si>
  <si>
    <t>PIK3R2:NM_005027:exon8:c.937T&gt;C:p.S313P</t>
  </si>
  <si>
    <t>rs1011320</t>
  </si>
  <si>
    <t>14:PIK3R2:S313P(14)</t>
  </si>
  <si>
    <t>64783081</t>
  </si>
  <si>
    <t>PRKCA:NM_002737:exon15:c.1702G&gt;A:p.V568I</t>
  </si>
  <si>
    <t>rs6504459</t>
  </si>
  <si>
    <t>1:PRKCA:V568I(1)</t>
  </si>
  <si>
    <t>48801107</t>
  </si>
  <si>
    <t>111034818</t>
  </si>
  <si>
    <t>382</t>
  </si>
  <si>
    <t>dist=927</t>
  </si>
  <si>
    <t>rs6537663</t>
  </si>
  <si>
    <t>53681883</t>
  </si>
  <si>
    <t>371</t>
  </si>
  <si>
    <t>ESPL1:NM_012291:exon19:c.4304A&gt;T:p.K1435M</t>
  </si>
  <si>
    <t>rs1110719</t>
  </si>
  <si>
    <t>2:ESPL1:K1435M(2)</t>
  </si>
  <si>
    <t>145508636</t>
  </si>
  <si>
    <t>CC</t>
  </si>
  <si>
    <t>LARS:NM_001317964:exon25:c.2535_2536GG,LARS:NM_001317965:exon25:c.2511_2512GG,LARS:NM_016460:exon25:c.2592_2593GG,LARS:NM_020117:exon26:c.2673_2674GG</t>
  </si>
  <si>
    <t>160509938</t>
  </si>
  <si>
    <t>367</t>
  </si>
  <si>
    <t>dist=946</t>
  </si>
  <si>
    <t>rs12144628</t>
  </si>
  <si>
    <t>234590974</t>
  </si>
  <si>
    <t>CG</t>
  </si>
  <si>
    <t>AA</t>
  </si>
  <si>
    <t>354</t>
  </si>
  <si>
    <t>UGT1A7:NM_019077:exon1:c.391_392AA</t>
  </si>
  <si>
    <t>rs386656364</t>
  </si>
  <si>
    <t>42111321</t>
  </si>
  <si>
    <t>dist=606</t>
  </si>
  <si>
    <t>rs11755165</t>
  </si>
  <si>
    <t>TGACCG</t>
  </si>
  <si>
    <t>GGACAA</t>
  </si>
  <si>
    <t>337</t>
  </si>
  <si>
    <t>UGT1A7:NM_019077:exon1:c.387_392GGACAA</t>
  </si>
  <si>
    <t>rs71405712</t>
  </si>
  <si>
    <t>1296072</t>
  </si>
  <si>
    <t>332</t>
  </si>
  <si>
    <t>dist=910</t>
  </si>
  <si>
    <t>rs7712562</t>
  </si>
  <si>
    <t>34502467</t>
  </si>
  <si>
    <t>dist=170</t>
  </si>
  <si>
    <t>rs6495622</t>
  </si>
  <si>
    <t>125525195</t>
  </si>
  <si>
    <t>310</t>
  </si>
  <si>
    <t>CHEK1:NM_001244846:exon12:c.1309A&gt;G:p.I437V,CHEK1:NM_001330427:exon12:c.1459A&gt;G:p.I487V,CHEK1:NM_001330428:exon12:c.1129A&gt;G:p.I377V,CHEK1:NM_001114121:exon13:c.1411A&gt;G:p.I471V,CHEK1:NM_001114122:exon13:c.1411A&gt;G:p.I471V,CHEK1:NM_001274:exon13:c.1411A&gt;G:p.I471V</t>
  </si>
  <si>
    <t>rs506504</t>
  </si>
  <si>
    <t>30:CHEK1:I471V(30)</t>
  </si>
  <si>
    <t>CLINSIG=Benign;CLNDN=not_provided;CLNREVSTAT=criteria_provided,_single_submitter;CLNDISDB=MedGen:CN517202;CLNALLELEID=487497</t>
  </si>
  <si>
    <t>2137891</t>
  </si>
  <si>
    <t>274</t>
  </si>
  <si>
    <t>TSC2:NM_001318831:exon35:c.4285G&gt;C:p.V1429L,TSC2:NM_001318827:exon36:c.4708G&gt;C:p.V1570L,TSC2:NM_001318829:exon36:c.4672G&gt;C:p.V1558L,TSC2:NM_001077183:exon37:c.4816G&gt;C:p.V1606L,TSC2:NM_001318832:exon37:c.4849G&gt;C:p.V1617L,TSC2:NM_001114382:exon38:c.4948G&gt;C:p.V1650L,TSC2:NM_000548:exon39:c.5017G&gt;C:p.V1673L</t>
  </si>
  <si>
    <t>rs45490993</t>
  </si>
  <si>
    <t>CLINSIG=Benign/Likely_benign;CLNDN=Hereditary_cancer-predisposing_syndrome|Tuberous_sclerosis_syndrome|Tuberous_sclerosis_2|not_specified;CLNREVSTAT=criteria_provided,_multiple_submitters,_no_conflicts;CLNDISDB=MedGen:C0027672,SNOMED_CT:699346009|MedGen:C0041341,Orphanet:ORPHA805,SNOMED_CT:7199000|MedGen:C1860707,OMIM:613254|MedGen:CN169374;CLNALLELEID=58657</t>
  </si>
  <si>
    <t>39325172</t>
  </si>
  <si>
    <t>GCCTGCC</t>
  </si>
  <si>
    <t>258</t>
  </si>
  <si>
    <t>RRAGC:NM_001271851:exon1:c.146_147insGGCAGG:p.G49delinsGAG,RRAGC:NM_022157:exon1:c.146_147insGGCAGG:p.G49delinsGAG</t>
  </si>
  <si>
    <t>rs772893914</t>
  </si>
  <si>
    <t>52506048</t>
  </si>
  <si>
    <t>256</t>
  </si>
  <si>
    <t>dist=758</t>
  </si>
  <si>
    <t>rs2031993</t>
  </si>
  <si>
    <t>133225637</t>
  </si>
  <si>
    <t>POLE:NM_006231:exon32:c.4027G&gt;A:p.G1343S</t>
  </si>
  <si>
    <t>rs556821288</t>
  </si>
  <si>
    <t>CLINSIG=Uncertain_significance;CLNDN=Colorectal_cancer,_susceptibility_to,_12;CLNREVSTAT=criteria_provided,_single_submitter;CLNDISDB=MedGen:C3554460,OMIM:615083;CLNALLELEID=462560</t>
  </si>
  <si>
    <t>1310152</t>
  </si>
  <si>
    <t>239</t>
  </si>
  <si>
    <t>dist=660</t>
  </si>
  <si>
    <t>rs6554758</t>
  </si>
  <si>
    <t>158619728</t>
  </si>
  <si>
    <t>229</t>
  </si>
  <si>
    <t>SPTA1:NM_003126:exon25:c.3487T&gt;G:p.S1163A</t>
  </si>
  <si>
    <t>rs2482965</t>
  </si>
  <si>
    <t>1:SPTA1:S1163A(1)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</si>
  <si>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SNOMED_CT:9434008|MedGen:CN169374|MedGen:CN239472;CLNALLELEID=249451</t>
  </si>
  <si>
    <t>45308561</t>
  </si>
  <si>
    <t>216</t>
  </si>
  <si>
    <t>PTCH2:NM_001166292:exon1:c.44C&gt;T:p.T15I,PTCH2:NM_003738:exon1:c.44C&gt;T:p.T15I</t>
  </si>
  <si>
    <t>rs561781541</t>
  </si>
  <si>
    <t>CLINSIG=Benign;CLNDN=Gorlin_syndrome;CLNREVSTAT=criteria_provided,_single_submitter;CLNDISDB=MedGen:C0004779,OMIM:109400,Orphanet:ORPHA377,SNOMED_CT:69408002;CLNALLELEID=238309</t>
  </si>
  <si>
    <t>43509348</t>
  </si>
  <si>
    <t>201</t>
  </si>
  <si>
    <t>C5orf34:NM_198566:exon2:c.94A&gt;T:p.T32S</t>
  </si>
  <si>
    <t>rs6872851</t>
  </si>
  <si>
    <t>20343768</t>
  </si>
  <si>
    <t>190</t>
  </si>
  <si>
    <t>dist=659</t>
  </si>
  <si>
    <t>rs937025</t>
  </si>
  <si>
    <t>54201875</t>
  </si>
  <si>
    <t>dist=150</t>
  </si>
  <si>
    <t>rs73057688</t>
  </si>
  <si>
    <t>dist=117</t>
  </si>
  <si>
    <t>rs370540031</t>
  </si>
  <si>
    <t>117001824</t>
  </si>
  <si>
    <t>170</t>
  </si>
  <si>
    <t>dist=543</t>
  </si>
  <si>
    <t>rs11335437</t>
  </si>
  <si>
    <t>9005381</t>
  </si>
  <si>
    <t>155</t>
  </si>
  <si>
    <t>dist=222</t>
  </si>
  <si>
    <t>rs604092</t>
  </si>
  <si>
    <t>117001818</t>
  </si>
  <si>
    <t>ACC</t>
  </si>
  <si>
    <t>152</t>
  </si>
  <si>
    <t>dist=547</t>
  </si>
  <si>
    <t>rs771868965</t>
  </si>
  <si>
    <t>34502311</t>
  </si>
  <si>
    <t>dist=14</t>
  </si>
  <si>
    <t>rs6495621</t>
  </si>
  <si>
    <t>46279827</t>
  </si>
  <si>
    <t>GCAGCAGCAA</t>
  </si>
  <si>
    <t>ACAGCAGCAG</t>
  </si>
  <si>
    <t>NCOA3:NM_001174087:exon20:c.3750_3759ACAGCAGCAG,NCOA3:NM_001174088:exon20:c.3726_3735ACAGCAGCAG,NCOA3:NM_006534:exon20:c.3741_3750ACAGCAGCAG,NCOA3:NM_181659:exon20:c.3753_3762ACAGCAGCAG</t>
  </si>
  <si>
    <t>117001819</t>
  </si>
  <si>
    <t>CCCCCC</t>
  </si>
  <si>
    <t>ACCCCA</t>
  </si>
  <si>
    <t>142</t>
  </si>
  <si>
    <t>117001823</t>
  </si>
  <si>
    <t>rs386705083</t>
  </si>
  <si>
    <t>54201810</t>
  </si>
  <si>
    <t>GT</t>
  </si>
  <si>
    <t>103</t>
  </si>
  <si>
    <t>dist=86</t>
  </si>
  <si>
    <t>rs879188576</t>
  </si>
  <si>
    <t>148520184</t>
  </si>
  <si>
    <t>102</t>
  </si>
  <si>
    <t>dist=826</t>
  </si>
  <si>
    <t>rs11739374</t>
  </si>
  <si>
    <t>112641854</t>
  </si>
  <si>
    <t>99</t>
  </si>
  <si>
    <t>dist=113</t>
  </si>
  <si>
    <t>rs3814027</t>
  </si>
  <si>
    <t>dist=85</t>
  </si>
  <si>
    <t>rs566728707</t>
  </si>
  <si>
    <t>56111576</t>
  </si>
  <si>
    <t>72</t>
  </si>
  <si>
    <t>MAP3K1:NM_005921:exon1:c.176G&gt;A:p.R59Q</t>
  </si>
  <si>
    <t>rs577708359</t>
  </si>
  <si>
    <t>148520213</t>
  </si>
  <si>
    <t>dist=797</t>
  </si>
  <si>
    <t>rs4579247</t>
  </si>
  <si>
    <t>110436296</t>
  </si>
  <si>
    <t>ACGGCGGCGGCGG</t>
  </si>
  <si>
    <t>66</t>
  </si>
  <si>
    <t>IRS2:NM_003749:exon1:c.2104_2105insCCGCCGCCGCCG:p.V702delinsAAAAV</t>
  </si>
  <si>
    <t>96810804</t>
  </si>
  <si>
    <t>64</t>
  </si>
  <si>
    <t>DUSP2:NM_004418:exon1:c.290C&gt;T:p.S97L</t>
  </si>
  <si>
    <t>rs528627160</t>
  </si>
  <si>
    <t>1309904</t>
  </si>
  <si>
    <t>61</t>
  </si>
  <si>
    <t>dist=412</t>
  </si>
  <si>
    <t>rs60622800</t>
  </si>
  <si>
    <t>66766356</t>
  </si>
  <si>
    <t>TGGC</t>
  </si>
  <si>
    <t>59</t>
  </si>
  <si>
    <t>AR:NM_000044:exon1:c.1368_1369insGGC:p.G456delinsGG,AR:NM_001348061:exon1:c.1368_1369insGGC:p.G456delinsGG,AR:NM_001348063:exon1:c.1368_1369insGGC:p.G456delinsGG,AR:NM_001348064:exon1:c.1368_1369insGGC:p.G456delinsGG</t>
  </si>
  <si>
    <t>rs760580125</t>
  </si>
  <si>
    <t>CLINSIG=Benign;CLNDN=Androgen_resistance_syndrome|Bulbo-spinal_atrophy_X-linked;CLNREVSTAT=criteria_provided,_single_submitter;CLNDISDB=MedGen:C0039585,OMIM:300068,SNOMED_CT:12313004|MedGen:C1839259,OMIM:313200,Orphanet:ORPHA481;CLNALLELEID=471937</t>
  </si>
  <si>
    <t>10614345</t>
  </si>
  <si>
    <t>55</t>
  </si>
  <si>
    <t>dist=292</t>
  </si>
  <si>
    <t>rs894655236</t>
  </si>
  <si>
    <t>41372116</t>
  </si>
  <si>
    <t>42</t>
  </si>
  <si>
    <t>dist=59</t>
  </si>
  <si>
    <t>rs367776390</t>
  </si>
  <si>
    <t>TT</t>
  </si>
  <si>
    <t>37</t>
  </si>
  <si>
    <t>CTT</t>
  </si>
  <si>
    <t>dist=60</t>
  </si>
  <si>
    <t>47205502</t>
  </si>
  <si>
    <t>CGCGGCGGCG</t>
  </si>
  <si>
    <t>dist=349</t>
  </si>
  <si>
    <t>rs545985439</t>
  </si>
  <si>
    <t>41818289</t>
  </si>
  <si>
    <t>8</t>
  </si>
  <si>
    <t>PTPRT:NM_007050:exon1:c.85G&gt;C:p.A29P,PTPRT:NM_133170:exon1:c.85G&gt;C:p.A29P</t>
  </si>
  <si>
    <t>rs2867655</t>
  </si>
  <si>
    <t>5:PTPRT:A29P(5)</t>
  </si>
  <si>
    <t>89883148</t>
  </si>
  <si>
    <t>AGGCCTTGCGTCGT</t>
  </si>
  <si>
    <t>7</t>
  </si>
  <si>
    <t>dist=83</t>
  </si>
  <si>
    <t>rs11275235</t>
  </si>
  <si>
    <t>CLINSIG=Uncertain_significance;CLNDN=not_specified;CLNREVSTAT=criteria_provided,_single_submitter;CLNDISDB=MedGen:CN169374;CLNALLELEID=208324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</si>
</sst>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1"/>
  <sheetViews>
    <sheetView tabSelected="1"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tr">
        <f>"010"</f>
        <v>010</v>
      </c>
      <c r="G2" t="str">
        <f>"NCOR1 p.R190*"</f>
        <v>NCOR1 p.R190*</v>
      </c>
      <c r="H2" t="str">
        <f>"NM_006311"</f>
        <v>NM_006311</v>
      </c>
      <c r="J2" t="s">
        <v>31</v>
      </c>
      <c r="K2" t="str">
        <f>"48%"</f>
        <v>48%</v>
      </c>
      <c r="L2" t="str">
        <f>"-0.07"</f>
        <v>-0.07</v>
      </c>
      <c r="N2" t="s">
        <v>32</v>
      </c>
      <c r="O2" t="s">
        <v>33</v>
      </c>
      <c r="P2" t="str">
        <f>"42.8500%"</f>
        <v>42.8500%</v>
      </c>
      <c r="Q2" t="str">
        <f>"26.4900%"</f>
        <v>26.4900%</v>
      </c>
      <c r="R2" t="str">
        <f>""</f>
        <v/>
      </c>
      <c r="S2" t="str">
        <f>""</f>
        <v/>
      </c>
      <c r="T2" t="s">
        <v>34</v>
      </c>
      <c r="U2" t="str">
        <f>"49.9180%"</f>
        <v>49.9180%</v>
      </c>
      <c r="V2" t="str">
        <f>"49.8630%"</f>
        <v>49.8630%</v>
      </c>
      <c r="W2" t="s">
        <v>35</v>
      </c>
      <c r="X2" t="s">
        <v>36</v>
      </c>
      <c r="Z2" t="str">
        <f>"29.9"</f>
        <v>29.9</v>
      </c>
    </row>
    <row r="3" spans="1:26" x14ac:dyDescent="0.3">
      <c r="A3" t="s">
        <v>26</v>
      </c>
      <c r="B3" t="s">
        <v>37</v>
      </c>
      <c r="C3" t="s">
        <v>38</v>
      </c>
      <c r="D3" t="s">
        <v>39</v>
      </c>
      <c r="E3" t="s">
        <v>30</v>
      </c>
      <c r="F3" t="str">
        <f t="shared" ref="F3:F28" si="0">"110"</f>
        <v>110</v>
      </c>
      <c r="G3" t="str">
        <f>"NCOR1 p.G150R"</f>
        <v>NCOR1 p.G150R</v>
      </c>
      <c r="H3" t="str">
        <f>"NM_006311"</f>
        <v>NM_006311</v>
      </c>
      <c r="J3" t="s">
        <v>40</v>
      </c>
      <c r="K3" t="str">
        <f>"28%"</f>
        <v>28%</v>
      </c>
      <c r="L3" t="str">
        <f>"-0.07"</f>
        <v>-0.07</v>
      </c>
      <c r="N3" t="s">
        <v>41</v>
      </c>
      <c r="O3" t="s">
        <v>42</v>
      </c>
      <c r="P3" t="str">
        <f>"31.9700%"</f>
        <v>31.9700%</v>
      </c>
      <c r="Q3" t="str">
        <f>"16.8400%"</f>
        <v>16.8400%</v>
      </c>
      <c r="R3" t="str">
        <f>""</f>
        <v/>
      </c>
      <c r="S3" t="str">
        <f>""</f>
        <v/>
      </c>
      <c r="T3" t="s">
        <v>43</v>
      </c>
      <c r="U3" t="str">
        <f>"38.1490%"</f>
        <v>38.1490%</v>
      </c>
      <c r="V3" t="str">
        <f>"37.8210%"</f>
        <v>37.8210%</v>
      </c>
      <c r="W3" t="s">
        <v>44</v>
      </c>
      <c r="X3" t="s">
        <v>45</v>
      </c>
      <c r="Z3" t="str">
        <f>"11.09"</f>
        <v>11.09</v>
      </c>
    </row>
    <row r="4" spans="1:26" x14ac:dyDescent="0.3">
      <c r="A4" t="s">
        <v>26</v>
      </c>
      <c r="B4" t="s">
        <v>46</v>
      </c>
      <c r="C4" t="s">
        <v>28</v>
      </c>
      <c r="D4" t="s">
        <v>29</v>
      </c>
      <c r="E4" t="s">
        <v>30</v>
      </c>
      <c r="F4" t="str">
        <f t="shared" si="0"/>
        <v>110</v>
      </c>
      <c r="G4" t="str">
        <f>"NCOR1 p.S172L"</f>
        <v>NCOR1 p.S172L</v>
      </c>
      <c r="H4" t="str">
        <f>"NM_006311"</f>
        <v>NM_006311</v>
      </c>
      <c r="J4" t="s">
        <v>47</v>
      </c>
      <c r="K4" t="str">
        <f>"61%"</f>
        <v>61%</v>
      </c>
      <c r="L4" t="str">
        <f>"-0.07"</f>
        <v>-0.07</v>
      </c>
      <c r="N4" t="s">
        <v>41</v>
      </c>
      <c r="O4" t="s">
        <v>48</v>
      </c>
      <c r="P4" t="str">
        <f>"47.3100%"</f>
        <v>47.3100%</v>
      </c>
      <c r="Q4" t="str">
        <f>"36.8800%"</f>
        <v>36.8800%</v>
      </c>
      <c r="R4" t="str">
        <f>""</f>
        <v/>
      </c>
      <c r="S4" t="str">
        <f>""</f>
        <v/>
      </c>
      <c r="T4" t="s">
        <v>49</v>
      </c>
      <c r="U4" t="str">
        <f>"49.9450%"</f>
        <v>49.9450%</v>
      </c>
      <c r="V4" t="str">
        <f>"49.9450%"</f>
        <v>49.9450%</v>
      </c>
      <c r="W4" t="s">
        <v>50</v>
      </c>
      <c r="X4" t="s">
        <v>51</v>
      </c>
      <c r="Z4" t="str">
        <f>"17.12"</f>
        <v>17.12</v>
      </c>
    </row>
    <row r="5" spans="1:26" x14ac:dyDescent="0.3">
      <c r="A5" t="s">
        <v>52</v>
      </c>
      <c r="B5" t="s">
        <v>53</v>
      </c>
      <c r="C5" t="s">
        <v>38</v>
      </c>
      <c r="D5" t="s">
        <v>28</v>
      </c>
      <c r="E5" t="s">
        <v>30</v>
      </c>
      <c r="F5" t="str">
        <f t="shared" si="0"/>
        <v>110</v>
      </c>
      <c r="G5" t="str">
        <f>"PALB2 p.E672Q"</f>
        <v>PALB2 p.E672Q</v>
      </c>
      <c r="H5" t="str">
        <f>"NM_024675"</f>
        <v>NM_024675</v>
      </c>
      <c r="J5" t="s">
        <v>54</v>
      </c>
      <c r="K5" t="str">
        <f>"50%"</f>
        <v>50%</v>
      </c>
      <c r="L5" t="str">
        <f>"0.11"</f>
        <v>0.11</v>
      </c>
      <c r="N5" t="s">
        <v>41</v>
      </c>
      <c r="O5" t="s">
        <v>55</v>
      </c>
      <c r="P5" t="str">
        <f>"2.2400%"</f>
        <v>2.2400%</v>
      </c>
      <c r="Q5" t="str">
        <f>"2.2700%"</f>
        <v>2.2700%</v>
      </c>
      <c r="R5" t="str">
        <f>"2.3200%"</f>
        <v>2.3200%</v>
      </c>
      <c r="S5" t="str">
        <f>"1.4377%"</f>
        <v>1.4377%</v>
      </c>
      <c r="T5" t="s">
        <v>56</v>
      </c>
      <c r="U5" t="str">
        <f>"2.0480%"</f>
        <v>2.0480%</v>
      </c>
      <c r="V5" t="str">
        <f>"2.0210%"</f>
        <v>2.0210%</v>
      </c>
      <c r="W5" t="s">
        <v>57</v>
      </c>
      <c r="X5" t="s">
        <v>58</v>
      </c>
      <c r="Y5" t="s">
        <v>59</v>
      </c>
      <c r="Z5" t="str">
        <f>"11.43"</f>
        <v>11.43</v>
      </c>
    </row>
    <row r="6" spans="1:26" x14ac:dyDescent="0.3">
      <c r="A6" t="s">
        <v>60</v>
      </c>
      <c r="B6" t="s">
        <v>61</v>
      </c>
      <c r="C6" t="s">
        <v>38</v>
      </c>
      <c r="D6" t="s">
        <v>28</v>
      </c>
      <c r="E6" t="s">
        <v>30</v>
      </c>
      <c r="F6" t="str">
        <f t="shared" si="0"/>
        <v>110</v>
      </c>
      <c r="G6" t="str">
        <f>"PRDM1"</f>
        <v>PRDM1</v>
      </c>
      <c r="H6" t="str">
        <f>""</f>
        <v/>
      </c>
      <c r="J6" t="s">
        <v>62</v>
      </c>
      <c r="K6" t="str">
        <f>"50%"</f>
        <v>50%</v>
      </c>
      <c r="L6" t="str">
        <f>"0.04"</f>
        <v>0.04</v>
      </c>
      <c r="N6" t="s">
        <v>41</v>
      </c>
      <c r="O6" t="s">
        <v>63</v>
      </c>
      <c r="P6" t="str">
        <f>"16.5100%"</f>
        <v>16.5100%</v>
      </c>
      <c r="Q6" t="str">
        <f>"16.3200%"</f>
        <v>16.3200%</v>
      </c>
      <c r="R6" t="str">
        <f>"16.7200%"</f>
        <v>16.7200%</v>
      </c>
      <c r="S6" t="str">
        <f>"15.0160%"</f>
        <v>15.0160%</v>
      </c>
      <c r="T6" t="s">
        <v>64</v>
      </c>
      <c r="U6" t="str">
        <f>"15.0190%"</f>
        <v>15.0190%</v>
      </c>
      <c r="V6" t="str">
        <f>"14.9650%"</f>
        <v>14.9650%</v>
      </c>
      <c r="W6" t="s">
        <v>65</v>
      </c>
      <c r="X6" t="s">
        <v>66</v>
      </c>
      <c r="Y6" t="s">
        <v>67</v>
      </c>
      <c r="Z6" t="str">
        <f>"5.903"</f>
        <v>5.903</v>
      </c>
    </row>
    <row r="7" spans="1:26" x14ac:dyDescent="0.3">
      <c r="A7" t="s">
        <v>68</v>
      </c>
      <c r="B7" t="s">
        <v>69</v>
      </c>
      <c r="C7" t="s">
        <v>28</v>
      </c>
      <c r="D7" t="s">
        <v>29</v>
      </c>
      <c r="E7" t="s">
        <v>30</v>
      </c>
      <c r="F7" t="str">
        <f t="shared" si="0"/>
        <v>110</v>
      </c>
      <c r="G7" t="str">
        <f>"FAT1 p.A131V"</f>
        <v>FAT1 p.A131V</v>
      </c>
      <c r="H7" t="str">
        <f>"NM_005245"</f>
        <v>NM_005245</v>
      </c>
      <c r="J7" t="s">
        <v>70</v>
      </c>
      <c r="K7" t="str">
        <f>"47%"</f>
        <v>47%</v>
      </c>
      <c r="L7" t="str">
        <f>"-0.04"</f>
        <v>-0.04</v>
      </c>
      <c r="N7" t="s">
        <v>41</v>
      </c>
      <c r="O7" t="s">
        <v>71</v>
      </c>
      <c r="P7" t="str">
        <f>"17.9800%"</f>
        <v>17.9800%</v>
      </c>
      <c r="Q7" t="str">
        <f>"17.5700%"</f>
        <v>17.5700%</v>
      </c>
      <c r="R7" t="str">
        <f>"20.4700%"</f>
        <v>20.4700%</v>
      </c>
      <c r="S7" t="str">
        <f>"26.1382%"</f>
        <v>26.1382%</v>
      </c>
      <c r="T7" t="s">
        <v>72</v>
      </c>
      <c r="U7" t="str">
        <f>"16.6300%"</f>
        <v>16.6300%</v>
      </c>
      <c r="V7" t="str">
        <f>"16.6300%"</f>
        <v>16.6300%</v>
      </c>
      <c r="W7" t="s">
        <v>73</v>
      </c>
      <c r="X7" t="s">
        <v>74</v>
      </c>
      <c r="Z7" t="str">
        <f>"14.53"</f>
        <v>14.53</v>
      </c>
    </row>
    <row r="8" spans="1:26" x14ac:dyDescent="0.3">
      <c r="A8" t="s">
        <v>75</v>
      </c>
      <c r="B8" t="s">
        <v>76</v>
      </c>
      <c r="C8" t="s">
        <v>28</v>
      </c>
      <c r="D8" t="s">
        <v>29</v>
      </c>
      <c r="E8" t="s">
        <v>30</v>
      </c>
      <c r="F8" t="str">
        <f t="shared" si="0"/>
        <v>110</v>
      </c>
      <c r="G8" t="str">
        <f>"SETD2"</f>
        <v>SETD2</v>
      </c>
      <c r="H8" t="str">
        <f>""</f>
        <v/>
      </c>
      <c r="J8" t="s">
        <v>77</v>
      </c>
      <c r="K8" t="str">
        <f>"50%"</f>
        <v>50%</v>
      </c>
      <c r="L8" t="str">
        <f>"0.03"</f>
        <v>0.03</v>
      </c>
      <c r="N8" t="s">
        <v>41</v>
      </c>
      <c r="O8" t="s">
        <v>78</v>
      </c>
      <c r="P8" t="str">
        <f>"53.4200%"</f>
        <v>53.4200%</v>
      </c>
      <c r="Q8" t="str">
        <f>"53.9000%"</f>
        <v>53.9000%</v>
      </c>
      <c r="R8" t="str">
        <f>"47.1300%"</f>
        <v>47.1300%</v>
      </c>
      <c r="S8" t="str">
        <f>"46.9848%"</f>
        <v>46.9848%</v>
      </c>
      <c r="T8" t="s">
        <v>79</v>
      </c>
      <c r="U8" t="str">
        <f>"56.0620%"</f>
        <v>56.0620%</v>
      </c>
      <c r="V8" t="str">
        <f>"56.0620%"</f>
        <v>56.0620%</v>
      </c>
      <c r="W8" t="s">
        <v>80</v>
      </c>
      <c r="X8" t="s">
        <v>81</v>
      </c>
      <c r="Y8" t="s">
        <v>82</v>
      </c>
      <c r="Z8" t="str">
        <f>"11.54"</f>
        <v>11.54</v>
      </c>
    </row>
    <row r="9" spans="1:26" x14ac:dyDescent="0.3">
      <c r="A9" t="s">
        <v>83</v>
      </c>
      <c r="B9" t="s">
        <v>84</v>
      </c>
      <c r="C9" t="s">
        <v>39</v>
      </c>
      <c r="D9" t="s">
        <v>29</v>
      </c>
      <c r="E9" t="s">
        <v>30</v>
      </c>
      <c r="F9" t="str">
        <f t="shared" si="0"/>
        <v>110</v>
      </c>
      <c r="G9" t="str">
        <f>"APC p.V1822D"</f>
        <v>APC p.V1822D</v>
      </c>
      <c r="H9" t="str">
        <f>"NM_001127510"</f>
        <v>NM_001127510</v>
      </c>
      <c r="J9" t="s">
        <v>85</v>
      </c>
      <c r="K9" t="str">
        <f>"100%"</f>
        <v>100%</v>
      </c>
      <c r="L9" t="str">
        <f>"-0.06"</f>
        <v>-0.06</v>
      </c>
      <c r="N9" t="s">
        <v>41</v>
      </c>
      <c r="O9" t="s">
        <v>86</v>
      </c>
      <c r="P9" t="str">
        <f>"79.8100%"</f>
        <v>79.8100%</v>
      </c>
      <c r="Q9" t="str">
        <f>"79.3800%"</f>
        <v>79.3800%</v>
      </c>
      <c r="R9" t="str">
        <f>"82.6300%"</f>
        <v>82.6300%</v>
      </c>
      <c r="S9" t="str">
        <f>"86.5415%"</f>
        <v>86.5415%</v>
      </c>
      <c r="T9" t="s">
        <v>87</v>
      </c>
      <c r="U9" t="str">
        <f>"80.5300%"</f>
        <v>80.5300%</v>
      </c>
      <c r="V9" t="str">
        <f>"80.4210%"</f>
        <v>80.4210%</v>
      </c>
      <c r="W9" t="s">
        <v>88</v>
      </c>
      <c r="X9" t="s">
        <v>89</v>
      </c>
      <c r="Y9" t="s">
        <v>90</v>
      </c>
      <c r="Z9" t="str">
        <f>"0.069"</f>
        <v>0.069</v>
      </c>
    </row>
    <row r="10" spans="1:26" x14ac:dyDescent="0.3">
      <c r="A10" t="s">
        <v>91</v>
      </c>
      <c r="B10" t="s">
        <v>92</v>
      </c>
      <c r="C10" t="s">
        <v>28</v>
      </c>
      <c r="D10" t="s">
        <v>29</v>
      </c>
      <c r="E10" t="s">
        <v>30</v>
      </c>
      <c r="F10" t="str">
        <f t="shared" si="0"/>
        <v>110</v>
      </c>
      <c r="G10" t="str">
        <f>"MLH3"</f>
        <v>MLH3</v>
      </c>
      <c r="H10" t="str">
        <f>""</f>
        <v/>
      </c>
      <c r="J10" t="s">
        <v>93</v>
      </c>
      <c r="K10" t="str">
        <f>"100%"</f>
        <v>100%</v>
      </c>
      <c r="L10" t="str">
        <f>"0.04"</f>
        <v>0.04</v>
      </c>
      <c r="N10" t="s">
        <v>41</v>
      </c>
      <c r="O10" t="s">
        <v>94</v>
      </c>
      <c r="P10" t="str">
        <f>"41.2600%"</f>
        <v>41.2600%</v>
      </c>
      <c r="Q10" t="str">
        <f>"40.4500%"</f>
        <v>40.4500%</v>
      </c>
      <c r="R10" t="str">
        <f>"44.2600%"</f>
        <v>44.2600%</v>
      </c>
      <c r="S10" t="str">
        <f>"36.3818%"</f>
        <v>36.3818%</v>
      </c>
      <c r="T10" t="s">
        <v>95</v>
      </c>
      <c r="U10" t="str">
        <f>"39.7320%"</f>
        <v>39.7320%</v>
      </c>
      <c r="V10" t="str">
        <f>"39.7600%"</f>
        <v>39.7600%</v>
      </c>
      <c r="W10" t="s">
        <v>96</v>
      </c>
      <c r="Y10" t="s">
        <v>97</v>
      </c>
      <c r="Z10" t="str">
        <f>"3.146"</f>
        <v>3.146</v>
      </c>
    </row>
    <row r="11" spans="1:26" x14ac:dyDescent="0.3">
      <c r="A11" t="s">
        <v>83</v>
      </c>
      <c r="B11" t="s">
        <v>98</v>
      </c>
      <c r="C11" t="s">
        <v>28</v>
      </c>
      <c r="D11" t="s">
        <v>29</v>
      </c>
      <c r="E11" t="s">
        <v>30</v>
      </c>
      <c r="F11" t="str">
        <f t="shared" si="0"/>
        <v>110</v>
      </c>
      <c r="G11" t="str">
        <f>"MSH3 p.A1045T"</f>
        <v>MSH3 p.A1045T</v>
      </c>
      <c r="H11" t="str">
        <f>"NM_002439"</f>
        <v>NM_002439</v>
      </c>
      <c r="J11" t="s">
        <v>99</v>
      </c>
      <c r="K11" t="str">
        <f>"47%"</f>
        <v>47%</v>
      </c>
      <c r="L11" t="str">
        <f>"-0.06"</f>
        <v>-0.06</v>
      </c>
      <c r="N11" t="s">
        <v>41</v>
      </c>
      <c r="O11" t="s">
        <v>100</v>
      </c>
      <c r="P11" t="str">
        <f>"73.0500%"</f>
        <v>73.0500%</v>
      </c>
      <c r="Q11" t="str">
        <f>"73.0000%"</f>
        <v>73.0000%</v>
      </c>
      <c r="R11" t="str">
        <f>"69.4700%"</f>
        <v>69.4700%</v>
      </c>
      <c r="S11" t="str">
        <f>"72.0248%"</f>
        <v>72.0248%</v>
      </c>
      <c r="T11" t="s">
        <v>101</v>
      </c>
      <c r="U11" t="str">
        <f>"72.7740%"</f>
        <v>72.7740%</v>
      </c>
      <c r="V11" t="str">
        <f>"72.7740%"</f>
        <v>72.7740%</v>
      </c>
      <c r="W11" t="s">
        <v>102</v>
      </c>
      <c r="X11" t="s">
        <v>103</v>
      </c>
      <c r="Z11" t="str">
        <f>"9.229"</f>
        <v>9.229</v>
      </c>
    </row>
    <row r="12" spans="1:26" x14ac:dyDescent="0.3">
      <c r="A12" t="s">
        <v>26</v>
      </c>
      <c r="B12" t="s">
        <v>104</v>
      </c>
      <c r="C12" t="s">
        <v>38</v>
      </c>
      <c r="D12" t="s">
        <v>28</v>
      </c>
      <c r="E12" t="s">
        <v>30</v>
      </c>
      <c r="F12" t="str">
        <f t="shared" si="0"/>
        <v>110</v>
      </c>
      <c r="G12" t="str">
        <f>"NCOR1 p.K178N"</f>
        <v>NCOR1 p.K178N</v>
      </c>
      <c r="H12" t="str">
        <f>"NM_006311"</f>
        <v>NM_006311</v>
      </c>
      <c r="J12" t="s">
        <v>105</v>
      </c>
      <c r="K12" t="str">
        <f>"56%"</f>
        <v>56%</v>
      </c>
      <c r="L12" t="str">
        <f>"-0.07"</f>
        <v>-0.07</v>
      </c>
      <c r="N12" t="s">
        <v>41</v>
      </c>
      <c r="O12" t="s">
        <v>106</v>
      </c>
      <c r="P12" t="str">
        <f>"42.7500%"</f>
        <v>42.7500%</v>
      </c>
      <c r="Q12" t="str">
        <f>"19.4100%"</f>
        <v>19.4100%</v>
      </c>
      <c r="R12" t="str">
        <f>""</f>
        <v/>
      </c>
      <c r="S12" t="str">
        <f>""</f>
        <v/>
      </c>
      <c r="T12" t="s">
        <v>107</v>
      </c>
      <c r="U12" t="str">
        <f>"49.9730%"</f>
        <v>49.9730%</v>
      </c>
      <c r="V12" t="str">
        <f>"49.9730%"</f>
        <v>49.9730%</v>
      </c>
      <c r="W12" t="s">
        <v>108</v>
      </c>
      <c r="X12" t="s">
        <v>109</v>
      </c>
      <c r="Z12" t="str">
        <f>"11.55"</f>
        <v>11.55</v>
      </c>
    </row>
    <row r="13" spans="1:26" x14ac:dyDescent="0.3">
      <c r="A13" t="s">
        <v>110</v>
      </c>
      <c r="B13" t="s">
        <v>111</v>
      </c>
      <c r="C13" t="s">
        <v>29</v>
      </c>
      <c r="D13" t="s">
        <v>28</v>
      </c>
      <c r="E13" t="s">
        <v>30</v>
      </c>
      <c r="F13" t="str">
        <f t="shared" si="0"/>
        <v>110</v>
      </c>
      <c r="G13" t="str">
        <f>"TLR4 p.D299G"</f>
        <v>TLR4 p.D299G</v>
      </c>
      <c r="H13" t="str">
        <f>"NM_138554"</f>
        <v>NM_138554</v>
      </c>
      <c r="J13" t="s">
        <v>112</v>
      </c>
      <c r="K13" t="str">
        <f>"56%"</f>
        <v>56%</v>
      </c>
      <c r="L13" t="str">
        <f>"-0.14"</f>
        <v>-0.14</v>
      </c>
      <c r="N13" t="s">
        <v>41</v>
      </c>
      <c r="O13" t="s">
        <v>113</v>
      </c>
      <c r="P13" t="str">
        <f>"5.9900%"</f>
        <v>5.9900%</v>
      </c>
      <c r="Q13" t="str">
        <f>"6.0900%"</f>
        <v>6.0900%</v>
      </c>
      <c r="R13" t="str">
        <f>"6.3900%"</f>
        <v>6.3900%</v>
      </c>
      <c r="S13" t="str">
        <f>"5.9904%"</f>
        <v>5.9904%</v>
      </c>
      <c r="T13" t="s">
        <v>114</v>
      </c>
      <c r="U13" t="str">
        <f>"4.7520%"</f>
        <v>4.7520%</v>
      </c>
      <c r="V13" t="str">
        <f>"4.7240%"</f>
        <v>4.7240%</v>
      </c>
      <c r="W13" t="s">
        <v>115</v>
      </c>
      <c r="X13" t="s">
        <v>116</v>
      </c>
      <c r="Y13" t="s">
        <v>117</v>
      </c>
      <c r="Z13" t="str">
        <f>"11.00"</f>
        <v>11.00</v>
      </c>
    </row>
    <row r="14" spans="1:26" x14ac:dyDescent="0.3">
      <c r="A14" t="s">
        <v>68</v>
      </c>
      <c r="B14" t="s">
        <v>118</v>
      </c>
      <c r="C14" t="s">
        <v>38</v>
      </c>
      <c r="D14" t="s">
        <v>28</v>
      </c>
      <c r="E14" t="s">
        <v>30</v>
      </c>
      <c r="F14" t="str">
        <f t="shared" si="0"/>
        <v>110</v>
      </c>
      <c r="G14" t="str">
        <f>"FAT1 p.V862L"</f>
        <v>FAT1 p.V862L</v>
      </c>
      <c r="H14" t="str">
        <f>"NM_005245"</f>
        <v>NM_005245</v>
      </c>
      <c r="J14" t="s">
        <v>119</v>
      </c>
      <c r="K14" t="str">
        <f>"100%"</f>
        <v>100%</v>
      </c>
      <c r="L14" t="str">
        <f>"-0.04"</f>
        <v>-0.04</v>
      </c>
      <c r="N14" t="s">
        <v>41</v>
      </c>
      <c r="O14" t="s">
        <v>120</v>
      </c>
      <c r="P14" t="str">
        <f>"74.6000%"</f>
        <v>74.6000%</v>
      </c>
      <c r="Q14" t="str">
        <f>"74.2600%"</f>
        <v>74.2600%</v>
      </c>
      <c r="R14" t="str">
        <f>"77.5500%"</f>
        <v>77.5500%</v>
      </c>
      <c r="S14" t="str">
        <f>"68.9097%"</f>
        <v>68.9097%</v>
      </c>
      <c r="T14" t="s">
        <v>121</v>
      </c>
      <c r="U14" t="str">
        <f>"74.0850%"</f>
        <v>74.0850%</v>
      </c>
      <c r="V14" t="str">
        <f>"74.1130%"</f>
        <v>74.1130%</v>
      </c>
      <c r="W14" t="s">
        <v>122</v>
      </c>
      <c r="X14" t="s">
        <v>123</v>
      </c>
      <c r="Z14" t="str">
        <f>"0.004"</f>
        <v>0.004</v>
      </c>
    </row>
    <row r="15" spans="1:26" x14ac:dyDescent="0.3">
      <c r="A15" t="s">
        <v>60</v>
      </c>
      <c r="B15" t="s">
        <v>124</v>
      </c>
      <c r="C15" t="s">
        <v>28</v>
      </c>
      <c r="D15" t="s">
        <v>29</v>
      </c>
      <c r="E15" t="s">
        <v>30</v>
      </c>
      <c r="F15" t="str">
        <f t="shared" si="0"/>
        <v>110</v>
      </c>
      <c r="G15" t="str">
        <f>"SYNE1"</f>
        <v>SYNE1</v>
      </c>
      <c r="H15" t="str">
        <f>""</f>
        <v/>
      </c>
      <c r="J15" t="s">
        <v>125</v>
      </c>
      <c r="K15" t="str">
        <f>"46%"</f>
        <v>46%</v>
      </c>
      <c r="L15" t="str">
        <f>"0.04"</f>
        <v>0.04</v>
      </c>
      <c r="N15" t="s">
        <v>41</v>
      </c>
      <c r="O15" t="s">
        <v>126</v>
      </c>
      <c r="P15" t="str">
        <f>"23.7300%"</f>
        <v>23.7300%</v>
      </c>
      <c r="Q15" t="str">
        <f>"23.5000%"</f>
        <v>23.5000%</v>
      </c>
      <c r="R15" t="str">
        <f>"19.8400%"</f>
        <v>19.8400%</v>
      </c>
      <c r="S15" t="str">
        <f>"24.9002%"</f>
        <v>24.9002%</v>
      </c>
      <c r="T15" t="s">
        <v>127</v>
      </c>
      <c r="U15" t="str">
        <f>"25.3690%"</f>
        <v>25.3690%</v>
      </c>
      <c r="V15" t="str">
        <f>"25.3410%"</f>
        <v>25.3410%</v>
      </c>
      <c r="W15" t="s">
        <v>128</v>
      </c>
      <c r="X15" t="s">
        <v>129</v>
      </c>
      <c r="Y15" t="s">
        <v>130</v>
      </c>
      <c r="Z15" t="str">
        <f>"4.484"</f>
        <v>4.484</v>
      </c>
    </row>
    <row r="16" spans="1:26" x14ac:dyDescent="0.3">
      <c r="A16" t="s">
        <v>131</v>
      </c>
      <c r="B16" t="s">
        <v>132</v>
      </c>
      <c r="C16" t="s">
        <v>39</v>
      </c>
      <c r="D16" t="s">
        <v>38</v>
      </c>
      <c r="E16" t="s">
        <v>30</v>
      </c>
      <c r="F16" t="str">
        <f t="shared" si="0"/>
        <v>110</v>
      </c>
      <c r="G16" t="str">
        <f>"ASXL1 p.L815P"</f>
        <v>ASXL1 p.L815P</v>
      </c>
      <c r="H16" t="str">
        <f>"NM_015338"</f>
        <v>NM_015338</v>
      </c>
      <c r="J16" t="s">
        <v>133</v>
      </c>
      <c r="K16" t="str">
        <f>"100%"</f>
        <v>100%</v>
      </c>
      <c r="L16" t="str">
        <f>"-0.00"</f>
        <v>-0.00</v>
      </c>
      <c r="N16" t="s">
        <v>41</v>
      </c>
      <c r="O16" t="s">
        <v>134</v>
      </c>
      <c r="P16" t="str">
        <f>"100.0000%"</f>
        <v>100.0000%</v>
      </c>
      <c r="Q16" t="str">
        <f>"100.0000%"</f>
        <v>100.0000%</v>
      </c>
      <c r="R16" t="str">
        <f>"99.9900%"</f>
        <v>99.9900%</v>
      </c>
      <c r="S16" t="str">
        <f>"100.0000%"</f>
        <v>100.0000%</v>
      </c>
      <c r="T16" t="s">
        <v>135</v>
      </c>
      <c r="U16" t="str">
        <f>"99.8910%"</f>
        <v>99.8910%</v>
      </c>
      <c r="V16" t="str">
        <f>"99.8360%"</f>
        <v>99.8360%</v>
      </c>
      <c r="W16" t="s">
        <v>136</v>
      </c>
      <c r="X16" t="s">
        <v>137</v>
      </c>
      <c r="Y16" t="s">
        <v>138</v>
      </c>
      <c r="Z16" t="str">
        <f>"7.496"</f>
        <v>7.496</v>
      </c>
    </row>
    <row r="17" spans="1:26" x14ac:dyDescent="0.3">
      <c r="A17" t="s">
        <v>139</v>
      </c>
      <c r="B17" t="s">
        <v>140</v>
      </c>
      <c r="C17" t="s">
        <v>39</v>
      </c>
      <c r="D17" t="s">
        <v>38</v>
      </c>
      <c r="E17" t="s">
        <v>30</v>
      </c>
      <c r="F17" t="str">
        <f t="shared" si="0"/>
        <v>110</v>
      </c>
      <c r="G17" t="str">
        <f>"SPEN p.L1091P"</f>
        <v>SPEN p.L1091P</v>
      </c>
      <c r="H17" t="str">
        <f>"NM_015001"</f>
        <v>NM_015001</v>
      </c>
      <c r="J17" t="s">
        <v>141</v>
      </c>
      <c r="K17" t="str">
        <f>"100%"</f>
        <v>100%</v>
      </c>
      <c r="L17" t="str">
        <f>"0.05"</f>
        <v>0.05</v>
      </c>
      <c r="N17" t="s">
        <v>41</v>
      </c>
      <c r="O17" t="s">
        <v>142</v>
      </c>
      <c r="P17" t="str">
        <f>"61.5400%"</f>
        <v>61.5400%</v>
      </c>
      <c r="Q17" t="str">
        <f>"61.5900%"</f>
        <v>61.5900%</v>
      </c>
      <c r="R17" t="str">
        <f>"68.7800%"</f>
        <v>68.7800%</v>
      </c>
      <c r="S17" t="str">
        <f>"64.8962%"</f>
        <v>64.8962%</v>
      </c>
      <c r="T17" t="s">
        <v>143</v>
      </c>
      <c r="U17" t="str">
        <f>"58.1650%"</f>
        <v>58.1650%</v>
      </c>
      <c r="V17" t="str">
        <f>"58.1380%"</f>
        <v>58.1380%</v>
      </c>
      <c r="W17" t="s">
        <v>144</v>
      </c>
      <c r="X17" t="s">
        <v>145</v>
      </c>
      <c r="Z17" t="str">
        <f>"0.188"</f>
        <v>0.188</v>
      </c>
    </row>
    <row r="18" spans="1:26" x14ac:dyDescent="0.3">
      <c r="A18" t="s">
        <v>146</v>
      </c>
      <c r="B18" t="s">
        <v>147</v>
      </c>
      <c r="C18" t="s">
        <v>38</v>
      </c>
      <c r="D18" t="s">
        <v>28</v>
      </c>
      <c r="E18" t="s">
        <v>30</v>
      </c>
      <c r="F18" t="str">
        <f t="shared" si="0"/>
        <v>110</v>
      </c>
      <c r="G18" t="str">
        <f>"EZH2 p.D185H"</f>
        <v>EZH2 p.D185H</v>
      </c>
      <c r="H18" t="str">
        <f>"NM_004456"</f>
        <v>NM_004456</v>
      </c>
      <c r="J18" t="s">
        <v>141</v>
      </c>
      <c r="K18" t="str">
        <f>"47%"</f>
        <v>47%</v>
      </c>
      <c r="L18" t="str">
        <f>"0.02"</f>
        <v>0.02</v>
      </c>
      <c r="N18" t="s">
        <v>41</v>
      </c>
      <c r="O18" t="s">
        <v>148</v>
      </c>
      <c r="P18" t="str">
        <f>"7.8600%"</f>
        <v>7.8600%</v>
      </c>
      <c r="Q18" t="str">
        <f>"7.8100%"</f>
        <v>7.8100%</v>
      </c>
      <c r="R18" t="str">
        <f>"6.0400%"</f>
        <v>6.0400%</v>
      </c>
      <c r="S18" t="str">
        <f>"7.9872%"</f>
        <v>7.9872%</v>
      </c>
      <c r="T18" t="s">
        <v>149</v>
      </c>
      <c r="U18" t="str">
        <f>"9.0660%"</f>
        <v>9.0660%</v>
      </c>
      <c r="V18" t="str">
        <f>"9.0660%"</f>
        <v>9.0660%</v>
      </c>
      <c r="W18" t="s">
        <v>150</v>
      </c>
      <c r="X18" t="s">
        <v>151</v>
      </c>
      <c r="Y18" t="s">
        <v>152</v>
      </c>
      <c r="Z18" t="str">
        <f>"19.43"</f>
        <v>19.43</v>
      </c>
    </row>
    <row r="19" spans="1:26" x14ac:dyDescent="0.3">
      <c r="A19" t="s">
        <v>68</v>
      </c>
      <c r="B19" t="s">
        <v>153</v>
      </c>
      <c r="C19" t="s">
        <v>29</v>
      </c>
      <c r="D19" t="s">
        <v>28</v>
      </c>
      <c r="E19" t="s">
        <v>30</v>
      </c>
      <c r="F19" t="str">
        <f t="shared" si="0"/>
        <v>110</v>
      </c>
      <c r="G19" t="str">
        <f>"TET2 p.I1762V"</f>
        <v>TET2 p.I1762V</v>
      </c>
      <c r="H19" t="str">
        <f>"NM_001127208"</f>
        <v>NM_001127208</v>
      </c>
      <c r="J19" t="s">
        <v>154</v>
      </c>
      <c r="K19" t="str">
        <f>"50%"</f>
        <v>50%</v>
      </c>
      <c r="L19" t="str">
        <f>"-0.04"</f>
        <v>-0.04</v>
      </c>
      <c r="N19" t="s">
        <v>41</v>
      </c>
      <c r="O19" t="s">
        <v>155</v>
      </c>
      <c r="P19" t="str">
        <f>"29.5100%"</f>
        <v>29.5100%</v>
      </c>
      <c r="Q19" t="str">
        <f>"30.0700%"</f>
        <v>30.0700%</v>
      </c>
      <c r="R19" t="str">
        <f>"28.7300%"</f>
        <v>28.7300%</v>
      </c>
      <c r="S19" t="str">
        <f>"23.0431%"</f>
        <v>23.0431%</v>
      </c>
      <c r="T19" t="s">
        <v>156</v>
      </c>
      <c r="U19" t="str">
        <f>"29.7650%"</f>
        <v>29.7650%</v>
      </c>
      <c r="V19" t="str">
        <f>"29.7920%"</f>
        <v>29.7920%</v>
      </c>
      <c r="W19" t="s">
        <v>157</v>
      </c>
      <c r="X19" t="s">
        <v>158</v>
      </c>
      <c r="Y19" t="s">
        <v>159</v>
      </c>
      <c r="Z19" t="str">
        <f>"8.920"</f>
        <v>8.920</v>
      </c>
    </row>
    <row r="20" spans="1:26" x14ac:dyDescent="0.3">
      <c r="A20" t="s">
        <v>75</v>
      </c>
      <c r="B20" t="s">
        <v>160</v>
      </c>
      <c r="C20" t="s">
        <v>29</v>
      </c>
      <c r="D20" t="s">
        <v>28</v>
      </c>
      <c r="E20" t="s">
        <v>30</v>
      </c>
      <c r="F20" t="str">
        <f t="shared" si="0"/>
        <v>110</v>
      </c>
      <c r="G20" t="str">
        <f>"ATR p.M211T"</f>
        <v>ATR p.M211T</v>
      </c>
      <c r="H20" t="str">
        <f>"NM_001184"</f>
        <v>NM_001184</v>
      </c>
      <c r="J20" t="s">
        <v>161</v>
      </c>
      <c r="K20" t="str">
        <f>"43%"</f>
        <v>43%</v>
      </c>
      <c r="L20" t="str">
        <f>"-0.17"</f>
        <v>-0.17</v>
      </c>
      <c r="N20" t="s">
        <v>41</v>
      </c>
      <c r="O20" t="s">
        <v>162</v>
      </c>
      <c r="P20" t="str">
        <f>"55.4000%"</f>
        <v>55.4000%</v>
      </c>
      <c r="Q20" t="str">
        <f>"54.7500%"</f>
        <v>54.7500%</v>
      </c>
      <c r="R20" t="str">
        <f>"66.2300%"</f>
        <v>66.2300%</v>
      </c>
      <c r="S20" t="str">
        <f>"59.7444%"</f>
        <v>59.7444%</v>
      </c>
      <c r="T20" t="s">
        <v>163</v>
      </c>
      <c r="U20" t="str">
        <f>"55.3520%"</f>
        <v>55.3520%</v>
      </c>
      <c r="V20" t="str">
        <f>"55.2980%"</f>
        <v>55.2980%</v>
      </c>
      <c r="W20" t="s">
        <v>164</v>
      </c>
      <c r="X20" t="s">
        <v>165</v>
      </c>
      <c r="Y20" t="s">
        <v>166</v>
      </c>
      <c r="Z20" t="str">
        <f>"0.013"</f>
        <v>0.013</v>
      </c>
    </row>
    <row r="21" spans="1:26" x14ac:dyDescent="0.3">
      <c r="A21" t="s">
        <v>68</v>
      </c>
      <c r="B21" t="s">
        <v>167</v>
      </c>
      <c r="C21" t="s">
        <v>29</v>
      </c>
      <c r="D21" t="s">
        <v>38</v>
      </c>
      <c r="E21" t="s">
        <v>30</v>
      </c>
      <c r="F21" t="str">
        <f t="shared" si="0"/>
        <v>110</v>
      </c>
      <c r="G21" t="str">
        <f>"FAT1 p.S404R"</f>
        <v>FAT1 p.S404R</v>
      </c>
      <c r="H21" t="str">
        <f>"NM_005245"</f>
        <v>NM_005245</v>
      </c>
      <c r="J21" t="s">
        <v>168</v>
      </c>
      <c r="K21" t="str">
        <f>"49%"</f>
        <v>49%</v>
      </c>
      <c r="L21" t="str">
        <f>"-0.04"</f>
        <v>-0.04</v>
      </c>
      <c r="N21" t="s">
        <v>41</v>
      </c>
      <c r="O21" t="s">
        <v>169</v>
      </c>
      <c r="P21" t="str">
        <f>"55.7600%"</f>
        <v>55.7600%</v>
      </c>
      <c r="Q21" t="str">
        <f>"56.0000%"</f>
        <v>56.0000%</v>
      </c>
      <c r="R21" t="str">
        <f>"54.3200%"</f>
        <v>54.3200%</v>
      </c>
      <c r="S21" t="str">
        <f>"39.8962%"</f>
        <v>39.8962%</v>
      </c>
      <c r="T21" t="s">
        <v>170</v>
      </c>
      <c r="U21" t="str">
        <f>"57.0180%"</f>
        <v>57.0180%</v>
      </c>
      <c r="V21" t="str">
        <f>"57.0730%"</f>
        <v>57.0730%</v>
      </c>
      <c r="W21" t="s">
        <v>171</v>
      </c>
      <c r="X21" t="s">
        <v>172</v>
      </c>
      <c r="Z21" t="str">
        <f>"6.886"</f>
        <v>6.886</v>
      </c>
    </row>
    <row r="22" spans="1:26" x14ac:dyDescent="0.3">
      <c r="A22" t="s">
        <v>173</v>
      </c>
      <c r="B22" t="s">
        <v>174</v>
      </c>
      <c r="C22" t="s">
        <v>29</v>
      </c>
      <c r="D22" t="s">
        <v>38</v>
      </c>
      <c r="E22" t="s">
        <v>30</v>
      </c>
      <c r="F22" t="str">
        <f t="shared" si="0"/>
        <v>110</v>
      </c>
      <c r="G22" t="str">
        <f>"BRCA2 p.N372H"</f>
        <v>BRCA2 p.N372H</v>
      </c>
      <c r="H22" t="str">
        <f>"NM_000059"</f>
        <v>NM_000059</v>
      </c>
      <c r="J22" t="s">
        <v>168</v>
      </c>
      <c r="K22" t="str">
        <f>"45%"</f>
        <v>45%</v>
      </c>
      <c r="L22" t="str">
        <f>"-0.07"</f>
        <v>-0.07</v>
      </c>
      <c r="N22" t="s">
        <v>41</v>
      </c>
      <c r="O22" t="s">
        <v>175</v>
      </c>
      <c r="P22" t="str">
        <f>"27.7900%"</f>
        <v>27.7900%</v>
      </c>
      <c r="Q22" t="str">
        <f>"27.9500%"</f>
        <v>27.9500%</v>
      </c>
      <c r="R22" t="str">
        <f>"23.3200%"</f>
        <v>23.3200%</v>
      </c>
      <c r="S22" t="str">
        <f>"24.9401%"</f>
        <v>24.9401%</v>
      </c>
      <c r="T22" t="s">
        <v>176</v>
      </c>
      <c r="U22" t="str">
        <f>"28.6730%"</f>
        <v>28.6730%</v>
      </c>
      <c r="V22" t="str">
        <f>"28.6460%"</f>
        <v>28.6460%</v>
      </c>
      <c r="W22" t="s">
        <v>177</v>
      </c>
      <c r="X22" t="s">
        <v>178</v>
      </c>
      <c r="Y22" t="s">
        <v>179</v>
      </c>
      <c r="Z22" t="str">
        <f>"6.228"</f>
        <v>6.228</v>
      </c>
    </row>
    <row r="23" spans="1:26" x14ac:dyDescent="0.3">
      <c r="A23" t="s">
        <v>26</v>
      </c>
      <c r="B23" t="s">
        <v>180</v>
      </c>
      <c r="C23" t="s">
        <v>39</v>
      </c>
      <c r="D23" t="s">
        <v>38</v>
      </c>
      <c r="E23" t="s">
        <v>30</v>
      </c>
      <c r="F23" t="str">
        <f t="shared" si="0"/>
        <v>110</v>
      </c>
      <c r="G23" t="str">
        <f>"BRCA1 p.E1038G"</f>
        <v>BRCA1 p.E1038G</v>
      </c>
      <c r="H23" t="str">
        <f>"NM_007294"</f>
        <v>NM_007294</v>
      </c>
      <c r="J23" t="s">
        <v>181</v>
      </c>
      <c r="K23" t="str">
        <f>"100%"</f>
        <v>100%</v>
      </c>
      <c r="L23" t="str">
        <f>"-0.06"</f>
        <v>-0.06</v>
      </c>
      <c r="N23" t="s">
        <v>41</v>
      </c>
      <c r="O23" t="s">
        <v>182</v>
      </c>
      <c r="P23" t="str">
        <f>"34.2900%"</f>
        <v>34.2900%</v>
      </c>
      <c r="Q23" t="str">
        <f>"34.9000%"</f>
        <v>34.9000%</v>
      </c>
      <c r="R23" t="str">
        <f>"27.9000%"</f>
        <v>27.9000%</v>
      </c>
      <c r="S23" t="str">
        <f>"33.5663%"</f>
        <v>33.5663%</v>
      </c>
      <c r="T23" t="s">
        <v>183</v>
      </c>
      <c r="U23" t="str">
        <f>"32.9060%"</f>
        <v>32.9060%</v>
      </c>
      <c r="V23" t="str">
        <f>"32.9060%"</f>
        <v>32.9060%</v>
      </c>
      <c r="W23" t="s">
        <v>184</v>
      </c>
      <c r="X23" t="s">
        <v>185</v>
      </c>
      <c r="Y23" t="s">
        <v>186</v>
      </c>
      <c r="Z23" t="str">
        <f>"11.99"</f>
        <v>11.99</v>
      </c>
    </row>
    <row r="24" spans="1:26" x14ac:dyDescent="0.3">
      <c r="A24" t="s">
        <v>187</v>
      </c>
      <c r="B24" t="s">
        <v>188</v>
      </c>
      <c r="C24" t="s">
        <v>28</v>
      </c>
      <c r="D24" t="s">
        <v>38</v>
      </c>
      <c r="E24" t="s">
        <v>30</v>
      </c>
      <c r="F24" t="str">
        <f t="shared" si="0"/>
        <v>110</v>
      </c>
      <c r="G24" t="str">
        <f>"SETBP1 p.V231L"</f>
        <v>SETBP1 p.V231L</v>
      </c>
      <c r="H24" t="str">
        <f>"NM_015559"</f>
        <v>NM_015559</v>
      </c>
      <c r="J24" t="s">
        <v>181</v>
      </c>
      <c r="K24" t="str">
        <f>"51%"</f>
        <v>51%</v>
      </c>
      <c r="L24" t="str">
        <f>"-0.00"</f>
        <v>-0.00</v>
      </c>
      <c r="N24" t="s">
        <v>41</v>
      </c>
      <c r="O24" t="s">
        <v>189</v>
      </c>
      <c r="P24" t="str">
        <f>"19.3400%"</f>
        <v>19.3400%</v>
      </c>
      <c r="Q24" t="str">
        <f>"19.2000%"</f>
        <v>19.2000%</v>
      </c>
      <c r="R24" t="str">
        <f>"18.5300%"</f>
        <v>18.5300%</v>
      </c>
      <c r="S24" t="str">
        <f>"15.6749%"</f>
        <v>15.6749%</v>
      </c>
      <c r="T24" t="s">
        <v>190</v>
      </c>
      <c r="U24" t="str">
        <f>"18.2410%"</f>
        <v>18.2410%</v>
      </c>
      <c r="V24" t="str">
        <f>"18.2690%"</f>
        <v>18.2690%</v>
      </c>
      <c r="W24" t="s">
        <v>191</v>
      </c>
      <c r="X24" t="s">
        <v>192</v>
      </c>
      <c r="Y24" t="s">
        <v>193</v>
      </c>
      <c r="Z24" t="str">
        <f>"6.120"</f>
        <v>6.120</v>
      </c>
    </row>
    <row r="25" spans="1:26" x14ac:dyDescent="0.3">
      <c r="A25" t="s">
        <v>83</v>
      </c>
      <c r="B25" t="s">
        <v>194</v>
      </c>
      <c r="C25" t="s">
        <v>39</v>
      </c>
      <c r="D25" t="s">
        <v>38</v>
      </c>
      <c r="E25" t="s">
        <v>30</v>
      </c>
      <c r="F25" t="str">
        <f t="shared" si="0"/>
        <v>110</v>
      </c>
      <c r="G25" t="str">
        <f>"NSD1 p.S726P"</f>
        <v>NSD1 p.S726P</v>
      </c>
      <c r="H25" t="str">
        <f>"NM_022455"</f>
        <v>NM_022455</v>
      </c>
      <c r="J25" t="s">
        <v>195</v>
      </c>
      <c r="K25" t="str">
        <f>"47%"</f>
        <v>47%</v>
      </c>
      <c r="L25" t="str">
        <f>"-0.06"</f>
        <v>-0.06</v>
      </c>
      <c r="N25" t="s">
        <v>41</v>
      </c>
      <c r="O25" t="s">
        <v>196</v>
      </c>
      <c r="P25" t="str">
        <f>"19.8700%"</f>
        <v>19.8700%</v>
      </c>
      <c r="Q25" t="str">
        <f>"20.1900%"</f>
        <v>20.1900%</v>
      </c>
      <c r="R25" t="str">
        <f>"12.6300%"</f>
        <v>12.6300%</v>
      </c>
      <c r="S25" t="str">
        <f>"24.9601%"</f>
        <v>24.9601%</v>
      </c>
      <c r="T25" t="s">
        <v>197</v>
      </c>
      <c r="U25" t="str">
        <f>"21.6000%"</f>
        <v>21.6000%</v>
      </c>
      <c r="V25" t="str">
        <f>"21.6000%"</f>
        <v>21.6000%</v>
      </c>
      <c r="W25" t="s">
        <v>198</v>
      </c>
      <c r="Y25" t="s">
        <v>199</v>
      </c>
      <c r="Z25" t="str">
        <f>"8.852"</f>
        <v>8.852</v>
      </c>
    </row>
    <row r="26" spans="1:26" x14ac:dyDescent="0.3">
      <c r="A26" t="s">
        <v>26</v>
      </c>
      <c r="B26" t="s">
        <v>200</v>
      </c>
      <c r="C26" t="s">
        <v>28</v>
      </c>
      <c r="D26" t="s">
        <v>29</v>
      </c>
      <c r="E26" t="s">
        <v>30</v>
      </c>
      <c r="F26" t="str">
        <f t="shared" si="0"/>
        <v>110</v>
      </c>
      <c r="G26" t="str">
        <f>"BRCA1 p.P871L"</f>
        <v>BRCA1 p.P871L</v>
      </c>
      <c r="H26" t="str">
        <f>"NM_007294"</f>
        <v>NM_007294</v>
      </c>
      <c r="J26" t="s">
        <v>201</v>
      </c>
      <c r="K26" t="str">
        <f>"100%"</f>
        <v>100%</v>
      </c>
      <c r="L26" t="str">
        <f>"-0.06"</f>
        <v>-0.06</v>
      </c>
      <c r="N26" t="s">
        <v>41</v>
      </c>
      <c r="O26" t="s">
        <v>202</v>
      </c>
      <c r="P26" t="str">
        <f>"41.0000%"</f>
        <v>41.0000%</v>
      </c>
      <c r="Q26" t="str">
        <f>"40.3200%"</f>
        <v>40.3200%</v>
      </c>
      <c r="R26" t="str">
        <f>"49.3200%"</f>
        <v>49.3200%</v>
      </c>
      <c r="S26" t="str">
        <f>"54.3930%"</f>
        <v>54.3930%</v>
      </c>
      <c r="T26" t="s">
        <v>203</v>
      </c>
      <c r="U26" t="str">
        <f>"38.0120%"</f>
        <v>38.0120%</v>
      </c>
      <c r="V26" t="str">
        <f>"37.9570%"</f>
        <v>37.9570%</v>
      </c>
      <c r="W26" t="s">
        <v>204</v>
      </c>
      <c r="X26" t="s">
        <v>205</v>
      </c>
      <c r="Y26" t="s">
        <v>206</v>
      </c>
      <c r="Z26" t="str">
        <f>"2.240"</f>
        <v>2.240</v>
      </c>
    </row>
    <row r="27" spans="1:26" x14ac:dyDescent="0.3">
      <c r="A27" t="s">
        <v>68</v>
      </c>
      <c r="B27" t="s">
        <v>207</v>
      </c>
      <c r="C27" t="s">
        <v>28</v>
      </c>
      <c r="D27" t="s">
        <v>38</v>
      </c>
      <c r="E27" t="s">
        <v>30</v>
      </c>
      <c r="F27" t="str">
        <f t="shared" si="0"/>
        <v>110</v>
      </c>
      <c r="G27" t="str">
        <f>"FAT1 p.F614L"</f>
        <v>FAT1 p.F614L</v>
      </c>
      <c r="H27" t="str">
        <f>"NM_005245"</f>
        <v>NM_005245</v>
      </c>
      <c r="J27" t="s">
        <v>208</v>
      </c>
      <c r="K27" t="str">
        <f>"100%"</f>
        <v>100%</v>
      </c>
      <c r="L27" t="str">
        <f>"-0.04"</f>
        <v>-0.04</v>
      </c>
      <c r="N27" t="s">
        <v>41</v>
      </c>
      <c r="O27" t="s">
        <v>209</v>
      </c>
      <c r="P27" t="str">
        <f>"74.7600%"</f>
        <v>74.7600%</v>
      </c>
      <c r="Q27" t="str">
        <f>"74.3800%"</f>
        <v>74.3800%</v>
      </c>
      <c r="R27" t="str">
        <f>"78.0100%"</f>
        <v>78.0100%</v>
      </c>
      <c r="S27" t="str">
        <f>"69.0495%"</f>
        <v>69.0495%</v>
      </c>
      <c r="T27" t="s">
        <v>210</v>
      </c>
      <c r="U27" t="str">
        <f>"74.3040%"</f>
        <v>74.3040%</v>
      </c>
      <c r="V27" t="str">
        <f>"74.3580%"</f>
        <v>74.3580%</v>
      </c>
      <c r="W27" t="s">
        <v>211</v>
      </c>
      <c r="X27" t="s">
        <v>212</v>
      </c>
      <c r="Z27" t="str">
        <f>"0.006"</f>
        <v>0.006</v>
      </c>
    </row>
    <row r="28" spans="1:26" x14ac:dyDescent="0.3">
      <c r="A28" t="s">
        <v>139</v>
      </c>
      <c r="B28" t="s">
        <v>213</v>
      </c>
      <c r="C28" t="s">
        <v>29</v>
      </c>
      <c r="D28" t="s">
        <v>28</v>
      </c>
      <c r="E28" t="s">
        <v>30</v>
      </c>
      <c r="F28" t="str">
        <f t="shared" si="0"/>
        <v>110</v>
      </c>
      <c r="G28" t="str">
        <f>"SPEN p.N2360D"</f>
        <v>SPEN p.N2360D</v>
      </c>
      <c r="H28" t="str">
        <f>"NM_015001"</f>
        <v>NM_015001</v>
      </c>
      <c r="J28" t="s">
        <v>214</v>
      </c>
      <c r="K28" t="str">
        <f>"100%"</f>
        <v>100%</v>
      </c>
      <c r="L28" t="str">
        <f>"0.05"</f>
        <v>0.05</v>
      </c>
      <c r="N28" t="s">
        <v>41</v>
      </c>
      <c r="O28" t="s">
        <v>215</v>
      </c>
      <c r="P28" t="str">
        <f>"61.4600%"</f>
        <v>61.4600%</v>
      </c>
      <c r="Q28" t="str">
        <f>"61.6000%"</f>
        <v>61.6000%</v>
      </c>
      <c r="R28" t="str">
        <f>"68.9600%"</f>
        <v>68.9600%</v>
      </c>
      <c r="S28" t="str">
        <f>"64.8962%"</f>
        <v>64.8962%</v>
      </c>
      <c r="T28" t="s">
        <v>216</v>
      </c>
      <c r="U28" t="str">
        <f>"58.6290%"</f>
        <v>58.6290%</v>
      </c>
      <c r="V28" t="str">
        <f>"58.5470%"</f>
        <v>58.5470%</v>
      </c>
      <c r="W28" t="s">
        <v>217</v>
      </c>
      <c r="X28" t="s">
        <v>218</v>
      </c>
      <c r="Z28" t="str">
        <f>"2.912"</f>
        <v>2.912</v>
      </c>
    </row>
    <row r="29" spans="1:26" x14ac:dyDescent="0.3">
      <c r="A29" t="s">
        <v>139</v>
      </c>
      <c r="B29" t="s">
        <v>219</v>
      </c>
      <c r="C29" t="s">
        <v>220</v>
      </c>
      <c r="D29" t="s">
        <v>28</v>
      </c>
      <c r="E29" t="s">
        <v>30</v>
      </c>
      <c r="F29" t="str">
        <f>"001"</f>
        <v>001</v>
      </c>
      <c r="G29" t="str">
        <f>"MCL1 p.171_172del"</f>
        <v>MCL1 p.171_172del</v>
      </c>
      <c r="H29" t="str">
        <f>"NM_021960"</f>
        <v>NM_021960</v>
      </c>
      <c r="J29" t="s">
        <v>221</v>
      </c>
      <c r="K29" t="str">
        <f>"5%"</f>
        <v>5%</v>
      </c>
      <c r="L29" t="str">
        <f>"0.06"</f>
        <v>0.06</v>
      </c>
      <c r="N29" t="s">
        <v>222</v>
      </c>
      <c r="O29" t="s">
        <v>223</v>
      </c>
      <c r="P29" t="str">
        <f>"0.0083%"</f>
        <v>0.0083%</v>
      </c>
      <c r="Q29" t="str">
        <f>"0.0094%"</f>
        <v>0.0094%</v>
      </c>
      <c r="R29" t="str">
        <f>"1.4300%"</f>
        <v>1.4300%</v>
      </c>
      <c r="S29" t="str">
        <f>""</f>
        <v/>
      </c>
      <c r="T29" t="s">
        <v>224</v>
      </c>
      <c r="U29" t="str">
        <f>"8.3010%"</f>
        <v>8.3010%</v>
      </c>
      <c r="V29" t="str">
        <f>"8.3010%"</f>
        <v>8.3010%</v>
      </c>
      <c r="W29" t="s">
        <v>225</v>
      </c>
      <c r="X29" t="s">
        <v>226</v>
      </c>
      <c r="Z29" t="str">
        <f>""</f>
        <v/>
      </c>
    </row>
    <row r="30" spans="1:26" x14ac:dyDescent="0.3">
      <c r="A30" t="s">
        <v>26</v>
      </c>
      <c r="B30" t="s">
        <v>227</v>
      </c>
      <c r="C30" t="s">
        <v>39</v>
      </c>
      <c r="D30" t="s">
        <v>38</v>
      </c>
      <c r="E30" t="s">
        <v>30</v>
      </c>
      <c r="F30" t="str">
        <f t="shared" ref="F30:F35" si="1">"110"</f>
        <v>110</v>
      </c>
      <c r="G30" t="str">
        <f>"BRCA1 p.K1183R"</f>
        <v>BRCA1 p.K1183R</v>
      </c>
      <c r="H30" t="str">
        <f>"NM_007294"</f>
        <v>NM_007294</v>
      </c>
      <c r="J30" t="s">
        <v>228</v>
      </c>
      <c r="K30" t="str">
        <f>"100%"</f>
        <v>100%</v>
      </c>
      <c r="L30" t="str">
        <f>"-0.06"</f>
        <v>-0.06</v>
      </c>
      <c r="N30" t="s">
        <v>41</v>
      </c>
      <c r="O30" t="s">
        <v>229</v>
      </c>
      <c r="P30" t="str">
        <f>"34.9000%"</f>
        <v>34.9000%</v>
      </c>
      <c r="Q30" t="str">
        <f>"35.3400%"</f>
        <v>35.3400%</v>
      </c>
      <c r="R30" t="str">
        <f>"29.5200%"</f>
        <v>29.5200%</v>
      </c>
      <c r="S30" t="str">
        <f>"35.2636%"</f>
        <v>35.2636%</v>
      </c>
      <c r="T30" t="s">
        <v>230</v>
      </c>
      <c r="U30" t="str">
        <f>"33.6160%"</f>
        <v>33.6160%</v>
      </c>
      <c r="V30" t="str">
        <f>"33.5610%"</f>
        <v>33.5610%</v>
      </c>
      <c r="W30" t="s">
        <v>231</v>
      </c>
      <c r="X30" t="s">
        <v>232</v>
      </c>
      <c r="Y30" t="s">
        <v>233</v>
      </c>
      <c r="Z30" t="str">
        <f>"0.004"</f>
        <v>0.004</v>
      </c>
    </row>
    <row r="31" spans="1:26" x14ac:dyDescent="0.3">
      <c r="A31" t="s">
        <v>68</v>
      </c>
      <c r="B31" t="s">
        <v>234</v>
      </c>
      <c r="C31" t="s">
        <v>38</v>
      </c>
      <c r="D31" t="s">
        <v>39</v>
      </c>
      <c r="E31" t="s">
        <v>30</v>
      </c>
      <c r="F31" t="str">
        <f t="shared" si="1"/>
        <v>110</v>
      </c>
      <c r="G31" t="str">
        <f>"KDR p.V297I"</f>
        <v>KDR p.V297I</v>
      </c>
      <c r="H31" t="str">
        <f>"NM_002253"</f>
        <v>NM_002253</v>
      </c>
      <c r="J31" t="s">
        <v>235</v>
      </c>
      <c r="K31" t="str">
        <f>"48%"</f>
        <v>48%</v>
      </c>
      <c r="L31" t="str">
        <f>"0.12"</f>
        <v>0.12</v>
      </c>
      <c r="N31" t="s">
        <v>41</v>
      </c>
      <c r="O31" t="s">
        <v>236</v>
      </c>
      <c r="P31" t="str">
        <f>"10.8900%"</f>
        <v>10.8900%</v>
      </c>
      <c r="Q31" t="str">
        <f>"10.4800%"</f>
        <v>10.4800%</v>
      </c>
      <c r="R31" t="str">
        <f>"14.2700%"</f>
        <v>14.2700%</v>
      </c>
      <c r="S31" t="str">
        <f>"15.2556%"</f>
        <v>15.2556%</v>
      </c>
      <c r="T31" t="s">
        <v>237</v>
      </c>
      <c r="U31" t="str">
        <f>"10.6770%"</f>
        <v>10.6770%</v>
      </c>
      <c r="V31" t="str">
        <f>"10.6770%"</f>
        <v>10.6770%</v>
      </c>
      <c r="W31" t="s">
        <v>238</v>
      </c>
      <c r="X31" t="s">
        <v>239</v>
      </c>
      <c r="Y31" t="s">
        <v>240</v>
      </c>
      <c r="Z31" t="str">
        <f>"16.90"</f>
        <v>16.90</v>
      </c>
    </row>
    <row r="32" spans="1:26" x14ac:dyDescent="0.3">
      <c r="A32" t="s">
        <v>241</v>
      </c>
      <c r="B32" t="s">
        <v>242</v>
      </c>
      <c r="C32" t="s">
        <v>38</v>
      </c>
      <c r="D32" t="s">
        <v>39</v>
      </c>
      <c r="E32" t="s">
        <v>30</v>
      </c>
      <c r="F32" t="str">
        <f t="shared" si="1"/>
        <v>110</v>
      </c>
      <c r="G32" t="str">
        <f>"IDH1 p.R132H"</f>
        <v>IDH1 p.R132H</v>
      </c>
      <c r="H32" t="str">
        <f>"NM_001282387"</f>
        <v>NM_001282387</v>
      </c>
      <c r="J32" t="s">
        <v>243</v>
      </c>
      <c r="K32" t="str">
        <f>"19%"</f>
        <v>19%</v>
      </c>
      <c r="L32" t="str">
        <f>"0.00"</f>
        <v>0.00</v>
      </c>
      <c r="N32" t="s">
        <v>41</v>
      </c>
      <c r="O32" t="s">
        <v>244</v>
      </c>
      <c r="P32" t="str">
        <f>"0.0016%"</f>
        <v>0.0016%</v>
      </c>
      <c r="Q32" t="str">
        <f>"0.0000%"</f>
        <v>0.0000%</v>
      </c>
      <c r="R32" t="str">
        <f>""</f>
        <v/>
      </c>
      <c r="S32" t="str">
        <f>""</f>
        <v/>
      </c>
      <c r="T32" t="s">
        <v>245</v>
      </c>
      <c r="U32" t="str">
        <f>""</f>
        <v/>
      </c>
      <c r="V32" t="str">
        <f>""</f>
        <v/>
      </c>
      <c r="W32" t="s">
        <v>246</v>
      </c>
      <c r="X32" t="s">
        <v>247</v>
      </c>
      <c r="Y32" t="s">
        <v>248</v>
      </c>
      <c r="Z32" t="str">
        <f>"25.6"</f>
        <v>25.6</v>
      </c>
    </row>
    <row r="33" spans="1:26" x14ac:dyDescent="0.3">
      <c r="A33" t="s">
        <v>60</v>
      </c>
      <c r="B33" t="s">
        <v>249</v>
      </c>
      <c r="C33" t="s">
        <v>38</v>
      </c>
      <c r="D33" t="s">
        <v>28</v>
      </c>
      <c r="E33" t="s">
        <v>30</v>
      </c>
      <c r="F33" t="str">
        <f t="shared" si="1"/>
        <v>110</v>
      </c>
      <c r="G33" t="str">
        <f>"PRKN"</f>
        <v>PRKN</v>
      </c>
      <c r="H33" t="str">
        <f>""</f>
        <v/>
      </c>
      <c r="J33" t="s">
        <v>243</v>
      </c>
      <c r="K33" t="str">
        <f>"50%"</f>
        <v>50%</v>
      </c>
      <c r="L33" t="str">
        <f>"-0.10"</f>
        <v>-0.10</v>
      </c>
      <c r="N33" t="s">
        <v>41</v>
      </c>
      <c r="O33" t="s">
        <v>250</v>
      </c>
      <c r="P33" t="str">
        <f>"16.4600%"</f>
        <v>16.4600%</v>
      </c>
      <c r="Q33" t="str">
        <f>"16.4700%"</f>
        <v>16.4700%</v>
      </c>
      <c r="R33" t="str">
        <f>"17.5800%"</f>
        <v>17.5800%</v>
      </c>
      <c r="S33" t="str">
        <f>"17.2125%"</f>
        <v>17.2125%</v>
      </c>
      <c r="T33" t="s">
        <v>251</v>
      </c>
      <c r="U33" t="str">
        <f>"15.6200%"</f>
        <v>15.6200%</v>
      </c>
      <c r="V33" t="str">
        <f>"15.6200%"</f>
        <v>15.6200%</v>
      </c>
      <c r="W33" t="s">
        <v>252</v>
      </c>
      <c r="X33" t="s">
        <v>253</v>
      </c>
      <c r="Y33" t="s">
        <v>254</v>
      </c>
      <c r="Z33" t="str">
        <f>"2.378"</f>
        <v>2.378</v>
      </c>
    </row>
    <row r="34" spans="1:26" x14ac:dyDescent="0.3">
      <c r="A34" t="s">
        <v>68</v>
      </c>
      <c r="B34" t="s">
        <v>255</v>
      </c>
      <c r="C34" t="s">
        <v>39</v>
      </c>
      <c r="D34" t="s">
        <v>38</v>
      </c>
      <c r="E34" t="s">
        <v>30</v>
      </c>
      <c r="F34" t="str">
        <f t="shared" si="1"/>
        <v>110</v>
      </c>
      <c r="G34" t="str">
        <f>"FAT1 p.R1064G"</f>
        <v>FAT1 p.R1064G</v>
      </c>
      <c r="H34" t="str">
        <f>"NM_005245"</f>
        <v>NM_005245</v>
      </c>
      <c r="J34" t="s">
        <v>256</v>
      </c>
      <c r="K34" t="str">
        <f>"100%"</f>
        <v>100%</v>
      </c>
      <c r="L34" t="str">
        <f>"-0.04"</f>
        <v>-0.04</v>
      </c>
      <c r="N34" t="s">
        <v>41</v>
      </c>
      <c r="O34" t="s">
        <v>257</v>
      </c>
      <c r="P34" t="str">
        <f>"76.0900%"</f>
        <v>76.0900%</v>
      </c>
      <c r="Q34" t="str">
        <f>"75.5100%"</f>
        <v>75.5100%</v>
      </c>
      <c r="R34" t="str">
        <f>"82.7200%"</f>
        <v>82.7200%</v>
      </c>
      <c r="S34" t="str">
        <f>"74.5807%"</f>
        <v>74.5807%</v>
      </c>
      <c r="T34" t="s">
        <v>258</v>
      </c>
      <c r="U34" t="str">
        <f>"75.4230%"</f>
        <v>75.4230%</v>
      </c>
      <c r="V34" t="str">
        <f>"75.4510%"</f>
        <v>75.4510%</v>
      </c>
      <c r="W34" t="s">
        <v>259</v>
      </c>
      <c r="X34" t="s">
        <v>260</v>
      </c>
      <c r="Z34" t="str">
        <f>"3.914"</f>
        <v>3.914</v>
      </c>
    </row>
    <row r="35" spans="1:26" x14ac:dyDescent="0.3">
      <c r="A35" t="s">
        <v>26</v>
      </c>
      <c r="B35" t="s">
        <v>261</v>
      </c>
      <c r="C35" t="s">
        <v>38</v>
      </c>
      <c r="D35" t="s">
        <v>29</v>
      </c>
      <c r="E35" t="s">
        <v>30</v>
      </c>
      <c r="F35" t="str">
        <f t="shared" si="1"/>
        <v>110</v>
      </c>
      <c r="G35" t="str">
        <f>"NCOR1 p.G5V"</f>
        <v>NCOR1 p.G5V</v>
      </c>
      <c r="H35" t="str">
        <f>"NM_006311"</f>
        <v>NM_006311</v>
      </c>
      <c r="J35" t="s">
        <v>262</v>
      </c>
      <c r="K35" t="str">
        <f>"32%"</f>
        <v>32%</v>
      </c>
      <c r="L35" t="str">
        <f>"-0.07"</f>
        <v>-0.07</v>
      </c>
      <c r="N35" t="s">
        <v>41</v>
      </c>
      <c r="O35" t="s">
        <v>263</v>
      </c>
      <c r="P35" t="str">
        <f>"38.4100%"</f>
        <v>38.4100%</v>
      </c>
      <c r="Q35" t="str">
        <f>"24.5700%"</f>
        <v>24.5700%</v>
      </c>
      <c r="R35" t="str">
        <f>""</f>
        <v/>
      </c>
      <c r="S35" t="str">
        <f>""</f>
        <v/>
      </c>
      <c r="T35" t="s">
        <v>264</v>
      </c>
      <c r="U35" t="str">
        <f>"49.8090%"</f>
        <v>49.8090%</v>
      </c>
      <c r="V35" t="str">
        <f>"48.8260%"</f>
        <v>48.8260%</v>
      </c>
      <c r="W35" t="s">
        <v>265</v>
      </c>
      <c r="X35" t="s">
        <v>266</v>
      </c>
      <c r="Z35" t="str">
        <f>"14.63"</f>
        <v>14.63</v>
      </c>
    </row>
    <row r="36" spans="1:26" x14ac:dyDescent="0.3">
      <c r="A36" t="s">
        <v>26</v>
      </c>
      <c r="B36" t="s">
        <v>267</v>
      </c>
      <c r="C36" t="s">
        <v>38</v>
      </c>
      <c r="D36" t="s">
        <v>39</v>
      </c>
      <c r="E36" t="s">
        <v>30</v>
      </c>
      <c r="F36" t="str">
        <f>"010"</f>
        <v>010</v>
      </c>
      <c r="G36" t="str">
        <f>"NCOR1 p.E191K"</f>
        <v>NCOR1 p.E191K</v>
      </c>
      <c r="H36" t="str">
        <f>"NM_006311"</f>
        <v>NM_006311</v>
      </c>
      <c r="J36" t="s">
        <v>268</v>
      </c>
      <c r="K36" t="str">
        <f>"48%"</f>
        <v>48%</v>
      </c>
      <c r="L36" t="str">
        <f>"-0.07"</f>
        <v>-0.07</v>
      </c>
      <c r="N36" t="s">
        <v>41</v>
      </c>
      <c r="O36" t="s">
        <v>269</v>
      </c>
      <c r="P36" t="str">
        <f>"42.7700%"</f>
        <v>42.7700%</v>
      </c>
      <c r="Q36" t="str">
        <f>"26.8900%"</f>
        <v>26.8900%</v>
      </c>
      <c r="R36" t="str">
        <f>""</f>
        <v/>
      </c>
      <c r="S36" t="str">
        <f>""</f>
        <v/>
      </c>
      <c r="T36" t="s">
        <v>270</v>
      </c>
      <c r="U36" t="str">
        <f>"49.9180%"</f>
        <v>49.9180%</v>
      </c>
      <c r="V36" t="str">
        <f>"49.8360%"</f>
        <v>49.8360%</v>
      </c>
      <c r="W36" t="s">
        <v>271</v>
      </c>
      <c r="X36" t="s">
        <v>272</v>
      </c>
      <c r="Z36" t="str">
        <f>"15.82"</f>
        <v>15.82</v>
      </c>
    </row>
    <row r="37" spans="1:26" x14ac:dyDescent="0.3">
      <c r="A37" t="s">
        <v>75</v>
      </c>
      <c r="B37" t="s">
        <v>273</v>
      </c>
      <c r="C37" t="s">
        <v>38</v>
      </c>
      <c r="D37" t="s">
        <v>39</v>
      </c>
      <c r="E37" t="s">
        <v>30</v>
      </c>
      <c r="F37" t="str">
        <f t="shared" ref="F37:F61" si="2">"110"</f>
        <v>110</v>
      </c>
      <c r="G37" t="str">
        <f>"ATR p.R2425Q"</f>
        <v>ATR p.R2425Q</v>
      </c>
      <c r="H37" t="str">
        <f>"NM_001184"</f>
        <v>NM_001184</v>
      </c>
      <c r="J37" t="s">
        <v>274</v>
      </c>
      <c r="K37" t="str">
        <f>"42%"</f>
        <v>42%</v>
      </c>
      <c r="L37" t="str">
        <f>"-0.17"</f>
        <v>-0.17</v>
      </c>
      <c r="N37" t="s">
        <v>41</v>
      </c>
      <c r="O37" t="s">
        <v>275</v>
      </c>
      <c r="P37" t="str">
        <f>"13.2800%"</f>
        <v>13.2800%</v>
      </c>
      <c r="Q37" t="str">
        <f>"13.1000%"</f>
        <v>13.1000%</v>
      </c>
      <c r="R37" t="str">
        <f>"13.4200%"</f>
        <v>13.4200%</v>
      </c>
      <c r="S37" t="str">
        <f>"10.2236%"</f>
        <v>10.2236%</v>
      </c>
      <c r="T37" t="s">
        <v>276</v>
      </c>
      <c r="U37" t="str">
        <f>"14.2000%"</f>
        <v>14.2000%</v>
      </c>
      <c r="V37" t="str">
        <f>"14.2000%"</f>
        <v>14.2000%</v>
      </c>
      <c r="W37" t="s">
        <v>277</v>
      </c>
      <c r="X37" t="s">
        <v>278</v>
      </c>
      <c r="Y37" t="s">
        <v>279</v>
      </c>
      <c r="Z37" t="str">
        <f>"11.32"</f>
        <v>11.32</v>
      </c>
    </row>
    <row r="38" spans="1:26" x14ac:dyDescent="0.3">
      <c r="A38" t="s">
        <v>280</v>
      </c>
      <c r="B38" t="s">
        <v>281</v>
      </c>
      <c r="C38" t="s">
        <v>29</v>
      </c>
      <c r="D38" t="s">
        <v>38</v>
      </c>
      <c r="E38" t="s">
        <v>30</v>
      </c>
      <c r="F38" t="str">
        <f t="shared" si="2"/>
        <v>110</v>
      </c>
      <c r="G38" t="str">
        <f>"BCL2A1 p.N39K"</f>
        <v>BCL2A1 p.N39K</v>
      </c>
      <c r="H38" t="str">
        <f>"NM_004049"</f>
        <v>NM_004049</v>
      </c>
      <c r="J38" t="s">
        <v>282</v>
      </c>
      <c r="K38" t="str">
        <f>"50%"</f>
        <v>50%</v>
      </c>
      <c r="L38" t="str">
        <f>"-0.08"</f>
        <v>-0.08</v>
      </c>
      <c r="N38" t="s">
        <v>41</v>
      </c>
      <c r="O38" t="s">
        <v>283</v>
      </c>
      <c r="P38" t="str">
        <f>"33.6600%"</f>
        <v>33.6600%</v>
      </c>
      <c r="Q38" t="str">
        <f>"33.0600%"</f>
        <v>33.0600%</v>
      </c>
      <c r="R38" t="str">
        <f>"36.2900%"</f>
        <v>36.2900%</v>
      </c>
      <c r="S38" t="str">
        <f>"45.8866%"</f>
        <v>45.8866%</v>
      </c>
      <c r="T38" t="s">
        <v>284</v>
      </c>
      <c r="U38" t="str">
        <f>"33.2880%"</f>
        <v>33.2880%</v>
      </c>
      <c r="V38" t="str">
        <f>"33.3150%"</f>
        <v>33.3150%</v>
      </c>
      <c r="W38" t="s">
        <v>285</v>
      </c>
      <c r="Z38" t="str">
        <f>"4.156"</f>
        <v>4.156</v>
      </c>
    </row>
    <row r="39" spans="1:26" x14ac:dyDescent="0.3">
      <c r="A39" t="s">
        <v>60</v>
      </c>
      <c r="B39" t="s">
        <v>286</v>
      </c>
      <c r="C39" t="s">
        <v>39</v>
      </c>
      <c r="D39" t="s">
        <v>28</v>
      </c>
      <c r="E39" t="s">
        <v>30</v>
      </c>
      <c r="F39" t="str">
        <f t="shared" si="2"/>
        <v>110</v>
      </c>
      <c r="G39" t="str">
        <f>"ROS1 p.T145P"</f>
        <v>ROS1 p.T145P</v>
      </c>
      <c r="H39" t="str">
        <f>"NM_002944"</f>
        <v>NM_002944</v>
      </c>
      <c r="J39" t="s">
        <v>287</v>
      </c>
      <c r="K39" t="str">
        <f>"48%"</f>
        <v>48%</v>
      </c>
      <c r="L39" t="str">
        <f>"0.04"</f>
        <v>0.04</v>
      </c>
      <c r="N39" t="s">
        <v>41</v>
      </c>
      <c r="O39" t="s">
        <v>288</v>
      </c>
      <c r="P39" t="str">
        <f>"16.1800%"</f>
        <v>16.1800%</v>
      </c>
      <c r="Q39" t="str">
        <f>"16.1500%"</f>
        <v>16.1500%</v>
      </c>
      <c r="R39" t="str">
        <f>"14.6900%"</f>
        <v>14.6900%</v>
      </c>
      <c r="S39" t="str">
        <f>"16.7732%"</f>
        <v>16.7732%</v>
      </c>
      <c r="T39" t="s">
        <v>289</v>
      </c>
      <c r="U39" t="str">
        <f>"16.3030%"</f>
        <v>16.3030%</v>
      </c>
      <c r="V39" t="str">
        <f>"16.2480%"</f>
        <v>16.2480%</v>
      </c>
      <c r="W39" t="s">
        <v>290</v>
      </c>
      <c r="X39" t="s">
        <v>291</v>
      </c>
      <c r="Z39" t="str">
        <f>"13.59"</f>
        <v>13.59</v>
      </c>
    </row>
    <row r="40" spans="1:26" x14ac:dyDescent="0.3">
      <c r="A40" t="s">
        <v>146</v>
      </c>
      <c r="B40" t="s">
        <v>292</v>
      </c>
      <c r="C40" t="s">
        <v>29</v>
      </c>
      <c r="D40" t="s">
        <v>28</v>
      </c>
      <c r="E40" t="s">
        <v>30</v>
      </c>
      <c r="F40" t="str">
        <f t="shared" si="2"/>
        <v>110</v>
      </c>
      <c r="G40" t="str">
        <f>"IKZF1 p.R164G"</f>
        <v>IKZF1 p.R164G</v>
      </c>
      <c r="H40" t="str">
        <f>"NM_001291845"</f>
        <v>NM_001291845</v>
      </c>
      <c r="J40" t="s">
        <v>293</v>
      </c>
      <c r="K40" t="str">
        <f>"100%"</f>
        <v>100%</v>
      </c>
      <c r="L40" t="str">
        <f>"-0.07"</f>
        <v>-0.07</v>
      </c>
      <c r="N40" t="s">
        <v>41</v>
      </c>
      <c r="O40" t="s">
        <v>294</v>
      </c>
      <c r="P40" t="str">
        <f>"68.6200%"</f>
        <v>68.6200%</v>
      </c>
      <c r="Q40" t="str">
        <f>"69.0100%"</f>
        <v>69.0100%</v>
      </c>
      <c r="R40" t="str">
        <f>""</f>
        <v/>
      </c>
      <c r="S40" t="str">
        <f>"71.7652%"</f>
        <v>71.7652%</v>
      </c>
      <c r="T40" t="s">
        <v>295</v>
      </c>
      <c r="U40" t="str">
        <f>"67.8040%"</f>
        <v>67.8040%</v>
      </c>
      <c r="V40" t="str">
        <f>"67.8040%"</f>
        <v>67.8040%</v>
      </c>
      <c r="W40" t="s">
        <v>296</v>
      </c>
      <c r="Z40" t="str">
        <f>"1.528"</f>
        <v>1.528</v>
      </c>
    </row>
    <row r="41" spans="1:26" x14ac:dyDescent="0.3">
      <c r="A41" t="s">
        <v>83</v>
      </c>
      <c r="B41" t="s">
        <v>297</v>
      </c>
      <c r="C41" t="s">
        <v>28</v>
      </c>
      <c r="D41" t="s">
        <v>39</v>
      </c>
      <c r="E41" t="s">
        <v>30</v>
      </c>
      <c r="F41" t="str">
        <f t="shared" si="2"/>
        <v>110</v>
      </c>
      <c r="G41" t="str">
        <f>"NSD1 p.V614L"</f>
        <v>NSD1 p.V614L</v>
      </c>
      <c r="H41" t="str">
        <f>"NM_022455"</f>
        <v>NM_022455</v>
      </c>
      <c r="J41" t="s">
        <v>298</v>
      </c>
      <c r="K41" t="str">
        <f>"46%"</f>
        <v>46%</v>
      </c>
      <c r="L41" t="str">
        <f>"-0.06"</f>
        <v>-0.06</v>
      </c>
      <c r="N41" t="s">
        <v>41</v>
      </c>
      <c r="O41" t="s">
        <v>299</v>
      </c>
      <c r="P41" t="str">
        <f>"17.6200%"</f>
        <v>17.6200%</v>
      </c>
      <c r="Q41" t="str">
        <f>"17.8000%"</f>
        <v>17.8000%</v>
      </c>
      <c r="R41" t="str">
        <f>"9.9300%"</f>
        <v>9.9300%</v>
      </c>
      <c r="S41" t="str">
        <f>"22.8634%"</f>
        <v>22.8634%</v>
      </c>
      <c r="T41" t="s">
        <v>300</v>
      </c>
      <c r="U41" t="str">
        <f>"19.1430%"</f>
        <v>19.1430%</v>
      </c>
      <c r="V41" t="str">
        <f>"19.1430%"</f>
        <v>19.1430%</v>
      </c>
      <c r="W41" t="s">
        <v>301</v>
      </c>
      <c r="X41" t="s">
        <v>302</v>
      </c>
      <c r="Y41" t="s">
        <v>303</v>
      </c>
      <c r="Z41" t="str">
        <f>"0.024"</f>
        <v>0.024</v>
      </c>
    </row>
    <row r="42" spans="1:26" x14ac:dyDescent="0.3">
      <c r="A42" t="s">
        <v>60</v>
      </c>
      <c r="B42" t="s">
        <v>304</v>
      </c>
      <c r="C42" t="s">
        <v>38</v>
      </c>
      <c r="D42" t="s">
        <v>29</v>
      </c>
      <c r="E42" t="s">
        <v>30</v>
      </c>
      <c r="F42" t="str">
        <f t="shared" si="2"/>
        <v>110</v>
      </c>
      <c r="G42" t="str">
        <f>"SYNE1"</f>
        <v>SYNE1</v>
      </c>
      <c r="H42" t="str">
        <f>""</f>
        <v/>
      </c>
      <c r="J42" t="s">
        <v>305</v>
      </c>
      <c r="K42" t="str">
        <f>"100%"</f>
        <v>100%</v>
      </c>
      <c r="L42" t="str">
        <f>"0.04"</f>
        <v>0.04</v>
      </c>
      <c r="N42" t="s">
        <v>41</v>
      </c>
      <c r="O42" t="s">
        <v>306</v>
      </c>
      <c r="P42" t="str">
        <f>"57.6100%"</f>
        <v>57.6100%</v>
      </c>
      <c r="Q42" t="str">
        <f>"58.2900%"</f>
        <v>58.2900%</v>
      </c>
      <c r="R42" t="str">
        <f>"56.7300%"</f>
        <v>56.7300%</v>
      </c>
      <c r="S42" t="str">
        <f>"54.5527%"</f>
        <v>54.5527%</v>
      </c>
      <c r="T42" t="s">
        <v>307</v>
      </c>
      <c r="U42" t="str">
        <f>"60.4590%"</f>
        <v>60.4590%</v>
      </c>
      <c r="V42" t="str">
        <f>"60.4590%"</f>
        <v>60.4590%</v>
      </c>
      <c r="W42" t="s">
        <v>308</v>
      </c>
      <c r="X42" t="s">
        <v>309</v>
      </c>
      <c r="Y42" t="s">
        <v>310</v>
      </c>
      <c r="Z42" t="str">
        <f>"6.405"</f>
        <v>6.405</v>
      </c>
    </row>
    <row r="43" spans="1:26" x14ac:dyDescent="0.3">
      <c r="A43" t="s">
        <v>26</v>
      </c>
      <c r="B43" t="s">
        <v>311</v>
      </c>
      <c r="C43" t="s">
        <v>39</v>
      </c>
      <c r="D43" t="s">
        <v>28</v>
      </c>
      <c r="E43" t="s">
        <v>30</v>
      </c>
      <c r="F43" t="str">
        <f t="shared" si="2"/>
        <v>110</v>
      </c>
      <c r="G43" t="str">
        <f>"NCOR1 p.Y20S"</f>
        <v>NCOR1 p.Y20S</v>
      </c>
      <c r="H43" t="str">
        <f>"NM_006311"</f>
        <v>NM_006311</v>
      </c>
      <c r="J43" t="s">
        <v>312</v>
      </c>
      <c r="K43" t="str">
        <f>"16%"</f>
        <v>16%</v>
      </c>
      <c r="L43" t="str">
        <f>"-0.07"</f>
        <v>-0.07</v>
      </c>
      <c r="N43" t="s">
        <v>41</v>
      </c>
      <c r="O43" t="s">
        <v>313</v>
      </c>
      <c r="P43" t="str">
        <f>"16.7100%"</f>
        <v>16.7100%</v>
      </c>
      <c r="Q43" t="str">
        <f>"2.5700%"</f>
        <v>2.5700%</v>
      </c>
      <c r="R43" t="str">
        <f>""</f>
        <v/>
      </c>
      <c r="S43" t="str">
        <f>""</f>
        <v/>
      </c>
      <c r="T43" t="s">
        <v>314</v>
      </c>
      <c r="U43" t="str">
        <f>"45.9040%"</f>
        <v>45.9040%</v>
      </c>
      <c r="V43" t="str">
        <f>"3.3860%"</f>
        <v>3.3860%</v>
      </c>
      <c r="W43" t="s">
        <v>315</v>
      </c>
      <c r="X43" t="s">
        <v>316</v>
      </c>
      <c r="Z43" t="str">
        <f>"12.33"</f>
        <v>12.33</v>
      </c>
    </row>
    <row r="44" spans="1:26" x14ac:dyDescent="0.3">
      <c r="A44" t="s">
        <v>110</v>
      </c>
      <c r="B44" t="s">
        <v>317</v>
      </c>
      <c r="C44" t="s">
        <v>38</v>
      </c>
      <c r="D44" t="s">
        <v>28</v>
      </c>
      <c r="E44" t="s">
        <v>30</v>
      </c>
      <c r="F44" t="str">
        <f t="shared" si="2"/>
        <v>110</v>
      </c>
      <c r="G44" t="str">
        <f>"SMARCA2 p.D1546E"</f>
        <v>SMARCA2 p.D1546E</v>
      </c>
      <c r="H44" t="str">
        <f>"NM_003070"</f>
        <v>NM_003070</v>
      </c>
      <c r="J44" t="s">
        <v>318</v>
      </c>
      <c r="K44" t="str">
        <f>"58%"</f>
        <v>58%</v>
      </c>
      <c r="L44" t="str">
        <f>"-0.24"</f>
        <v>-0.24</v>
      </c>
      <c r="N44" t="s">
        <v>41</v>
      </c>
      <c r="O44" t="s">
        <v>319</v>
      </c>
      <c r="P44" t="str">
        <f>"16.8400%"</f>
        <v>16.8400%</v>
      </c>
      <c r="Q44" t="str">
        <f>"16.8600%"</f>
        <v>16.8600%</v>
      </c>
      <c r="R44" t="str">
        <f>"16.5200%"</f>
        <v>16.5200%</v>
      </c>
      <c r="S44" t="str">
        <f>"22.3642%"</f>
        <v>22.3642%</v>
      </c>
      <c r="T44" t="s">
        <v>320</v>
      </c>
      <c r="U44" t="str">
        <f>"15.3740%"</f>
        <v>15.3740%</v>
      </c>
      <c r="V44" t="str">
        <f>"15.3740%"</f>
        <v>15.3740%</v>
      </c>
      <c r="W44" t="s">
        <v>321</v>
      </c>
      <c r="X44" t="s">
        <v>322</v>
      </c>
      <c r="Y44" t="s">
        <v>323</v>
      </c>
      <c r="Z44" t="str">
        <f>"5.237"</f>
        <v>5.237</v>
      </c>
    </row>
    <row r="45" spans="1:26" x14ac:dyDescent="0.3">
      <c r="A45" t="s">
        <v>241</v>
      </c>
      <c r="B45" t="s">
        <v>324</v>
      </c>
      <c r="C45" t="s">
        <v>38</v>
      </c>
      <c r="D45" t="s">
        <v>39</v>
      </c>
      <c r="E45" t="s">
        <v>30</v>
      </c>
      <c r="F45" t="str">
        <f t="shared" si="2"/>
        <v>110</v>
      </c>
      <c r="G45" t="str">
        <f>"CUL3 p.V567I"</f>
        <v>CUL3 p.V567I</v>
      </c>
      <c r="H45" t="str">
        <f>"NM_003590"</f>
        <v>NM_003590</v>
      </c>
      <c r="J45" t="s">
        <v>325</v>
      </c>
      <c r="K45" t="str">
        <f>"49%"</f>
        <v>49%</v>
      </c>
      <c r="L45" t="str">
        <f>"0.00"</f>
        <v>0.00</v>
      </c>
      <c r="N45" t="s">
        <v>41</v>
      </c>
      <c r="O45" t="s">
        <v>326</v>
      </c>
      <c r="P45" t="str">
        <f>"12.8000%"</f>
        <v>12.8000%</v>
      </c>
      <c r="Q45" t="str">
        <f>"13.1400%"</f>
        <v>13.1400%</v>
      </c>
      <c r="R45" t="str">
        <f>"7.1200%"</f>
        <v>7.1200%</v>
      </c>
      <c r="S45" t="str">
        <f>"13.9377%"</f>
        <v>13.9377%</v>
      </c>
      <c r="T45" t="s">
        <v>327</v>
      </c>
      <c r="U45" t="str">
        <f>"13.8180%"</f>
        <v>13.8180%</v>
      </c>
      <c r="V45" t="str">
        <f>"13.8180%"</f>
        <v>13.8180%</v>
      </c>
      <c r="W45" t="s">
        <v>328</v>
      </c>
      <c r="X45" t="s">
        <v>329</v>
      </c>
      <c r="Y45" t="s">
        <v>330</v>
      </c>
      <c r="Z45" t="str">
        <f>"16.06"</f>
        <v>16.06</v>
      </c>
    </row>
    <row r="46" spans="1:26" x14ac:dyDescent="0.3">
      <c r="A46" t="s">
        <v>83</v>
      </c>
      <c r="B46" t="s">
        <v>331</v>
      </c>
      <c r="C46" t="s">
        <v>38</v>
      </c>
      <c r="D46" t="s">
        <v>39</v>
      </c>
      <c r="E46" t="s">
        <v>30</v>
      </c>
      <c r="F46" t="str">
        <f t="shared" si="2"/>
        <v>110</v>
      </c>
      <c r="G46" t="str">
        <f>"IL7R p.T244I"</f>
        <v>IL7R p.T244I</v>
      </c>
      <c r="H46" t="str">
        <f>"NM_002185"</f>
        <v>NM_002185</v>
      </c>
      <c r="J46" t="s">
        <v>332</v>
      </c>
      <c r="K46" t="str">
        <f>"100%"</f>
        <v>100%</v>
      </c>
      <c r="L46" t="str">
        <f>"0.03"</f>
        <v>0.03</v>
      </c>
      <c r="N46" t="s">
        <v>41</v>
      </c>
      <c r="O46" t="s">
        <v>333</v>
      </c>
      <c r="P46" t="str">
        <f>"23.2700%"</f>
        <v>23.2700%</v>
      </c>
      <c r="Q46" t="str">
        <f>"23.2900%"</f>
        <v>23.2900%</v>
      </c>
      <c r="R46" t="str">
        <f>"21.4100%"</f>
        <v>21.4100%</v>
      </c>
      <c r="S46" t="str">
        <f>"17.2524%"</f>
        <v>17.2524%</v>
      </c>
      <c r="T46" t="s">
        <v>334</v>
      </c>
      <c r="U46" t="str">
        <f>"22.6380%"</f>
        <v>22.6380%</v>
      </c>
      <c r="V46" t="str">
        <f>"22.6380%"</f>
        <v>22.6380%</v>
      </c>
      <c r="W46" t="s">
        <v>335</v>
      </c>
      <c r="X46" t="s">
        <v>336</v>
      </c>
      <c r="Y46" t="s">
        <v>337</v>
      </c>
      <c r="Z46" t="str">
        <f>"7.247"</f>
        <v>7.247</v>
      </c>
    </row>
    <row r="47" spans="1:26" x14ac:dyDescent="0.3">
      <c r="A47" t="s">
        <v>338</v>
      </c>
      <c r="B47" t="s">
        <v>339</v>
      </c>
      <c r="C47" t="s">
        <v>29</v>
      </c>
      <c r="D47" t="s">
        <v>28</v>
      </c>
      <c r="E47" t="s">
        <v>30</v>
      </c>
      <c r="F47" t="str">
        <f t="shared" si="2"/>
        <v>110</v>
      </c>
      <c r="G47" t="str">
        <f>"KMT2B p.D2364G"</f>
        <v>KMT2B p.D2364G</v>
      </c>
      <c r="H47" t="str">
        <f>"NM_014727"</f>
        <v>NM_014727</v>
      </c>
      <c r="J47" t="s">
        <v>340</v>
      </c>
      <c r="K47" t="str">
        <f>"100%"</f>
        <v>100%</v>
      </c>
      <c r="L47" t="str">
        <f>"0.10"</f>
        <v>0.10</v>
      </c>
      <c r="N47" t="s">
        <v>41</v>
      </c>
      <c r="O47" t="s">
        <v>341</v>
      </c>
      <c r="P47" t="str">
        <f>"53.3100%"</f>
        <v>53.3100%</v>
      </c>
      <c r="Q47" t="str">
        <f>"52.2300%"</f>
        <v>52.2300%</v>
      </c>
      <c r="R47" t="str">
        <f>"57.9200%"</f>
        <v>57.9200%</v>
      </c>
      <c r="S47" t="str">
        <f>"62.0407%"</f>
        <v>62.0407%</v>
      </c>
      <c r="T47" t="s">
        <v>342</v>
      </c>
      <c r="U47" t="str">
        <f>"48.9620%"</f>
        <v>48.9620%</v>
      </c>
      <c r="V47" t="str">
        <f>"48.9620%"</f>
        <v>48.9620%</v>
      </c>
      <c r="W47" t="s">
        <v>343</v>
      </c>
      <c r="X47" t="s">
        <v>344</v>
      </c>
      <c r="Z47" t="str">
        <f>"0.154"</f>
        <v>0.154</v>
      </c>
    </row>
    <row r="48" spans="1:26" x14ac:dyDescent="0.3">
      <c r="A48" t="s">
        <v>173</v>
      </c>
      <c r="B48" t="s">
        <v>345</v>
      </c>
      <c r="C48" t="s">
        <v>28</v>
      </c>
      <c r="D48" t="s">
        <v>29</v>
      </c>
      <c r="E48" t="s">
        <v>30</v>
      </c>
      <c r="F48" t="str">
        <f t="shared" si="2"/>
        <v>110</v>
      </c>
      <c r="G48" t="str">
        <f>"FLT3 p.T227M"</f>
        <v>FLT3 p.T227M</v>
      </c>
      <c r="H48" t="str">
        <f>"NM_004119"</f>
        <v>NM_004119</v>
      </c>
      <c r="J48" t="s">
        <v>346</v>
      </c>
      <c r="K48" t="str">
        <f>"42%"</f>
        <v>42%</v>
      </c>
      <c r="L48" t="str">
        <f>"-0.07"</f>
        <v>-0.07</v>
      </c>
      <c r="N48" t="s">
        <v>41</v>
      </c>
      <c r="O48" t="s">
        <v>347</v>
      </c>
      <c r="P48" t="str">
        <f>"59.8800%"</f>
        <v>59.8800%</v>
      </c>
      <c r="Q48" t="str">
        <f>"60.5200%"</f>
        <v>60.5200%</v>
      </c>
      <c r="R48" t="str">
        <f>"52.2900%"</f>
        <v>52.2900%</v>
      </c>
      <c r="S48" t="str">
        <f>"55.8706%"</f>
        <v>55.8706%</v>
      </c>
      <c r="T48" t="s">
        <v>348</v>
      </c>
      <c r="U48" t="str">
        <f>"62.0430%"</f>
        <v>62.0430%</v>
      </c>
      <c r="V48" t="str">
        <f>"61.9060%"</f>
        <v>61.9060%</v>
      </c>
      <c r="W48" t="s">
        <v>349</v>
      </c>
      <c r="X48" t="s">
        <v>350</v>
      </c>
      <c r="Y48" t="s">
        <v>351</v>
      </c>
      <c r="Z48" t="str">
        <f>"12.45"</f>
        <v>12.45</v>
      </c>
    </row>
    <row r="49" spans="1:26" x14ac:dyDescent="0.3">
      <c r="A49" t="s">
        <v>241</v>
      </c>
      <c r="B49" t="s">
        <v>352</v>
      </c>
      <c r="C49" t="s">
        <v>38</v>
      </c>
      <c r="D49" t="s">
        <v>39</v>
      </c>
      <c r="E49" t="s">
        <v>30</v>
      </c>
      <c r="F49" t="str">
        <f t="shared" si="2"/>
        <v>110</v>
      </c>
      <c r="G49" t="str">
        <f>"NCKAP5 p.V937I"</f>
        <v>NCKAP5 p.V937I</v>
      </c>
      <c r="H49" t="str">
        <f>"NM_207363"</f>
        <v>NM_207363</v>
      </c>
      <c r="J49" t="s">
        <v>353</v>
      </c>
      <c r="K49" t="str">
        <f>"48%"</f>
        <v>48%</v>
      </c>
      <c r="L49" t="str">
        <f>"0.00"</f>
        <v>0.00</v>
      </c>
      <c r="N49" t="s">
        <v>41</v>
      </c>
      <c r="O49" t="s">
        <v>354</v>
      </c>
      <c r="P49" t="str">
        <f>"32.5600%"</f>
        <v>32.5600%</v>
      </c>
      <c r="Q49" t="str">
        <f>"31.0200%"</f>
        <v>31.0200%</v>
      </c>
      <c r="R49" t="str">
        <f>"33.6800%"</f>
        <v>33.6800%</v>
      </c>
      <c r="S49" t="str">
        <f>"37.2804%"</f>
        <v>37.2804%</v>
      </c>
      <c r="T49" t="s">
        <v>355</v>
      </c>
      <c r="U49" t="str">
        <f>"31.8950%"</f>
        <v>31.8950%</v>
      </c>
      <c r="V49" t="str">
        <f>"31.8410%"</f>
        <v>31.8410%</v>
      </c>
      <c r="W49" t="s">
        <v>356</v>
      </c>
      <c r="X49" t="s">
        <v>357</v>
      </c>
      <c r="Z49" t="str">
        <f>"3.753"</f>
        <v>3.753</v>
      </c>
    </row>
    <row r="50" spans="1:26" x14ac:dyDescent="0.3">
      <c r="A50" t="s">
        <v>173</v>
      </c>
      <c r="B50" t="s">
        <v>358</v>
      </c>
      <c r="C50" t="s">
        <v>28</v>
      </c>
      <c r="D50" t="s">
        <v>29</v>
      </c>
      <c r="E50" t="s">
        <v>30</v>
      </c>
      <c r="F50" t="str">
        <f t="shared" si="2"/>
        <v>110</v>
      </c>
      <c r="G50" t="str">
        <f>"SPRY2 p.P106S"</f>
        <v>SPRY2 p.P106S</v>
      </c>
      <c r="H50" t="str">
        <f>"NM_005842"</f>
        <v>NM_005842</v>
      </c>
      <c r="J50" t="s">
        <v>359</v>
      </c>
      <c r="K50" t="str">
        <f>"60%"</f>
        <v>60%</v>
      </c>
      <c r="L50" t="str">
        <f>"-0.09"</f>
        <v>-0.09</v>
      </c>
      <c r="N50" t="s">
        <v>41</v>
      </c>
      <c r="O50" t="s">
        <v>360</v>
      </c>
      <c r="P50" t="str">
        <f>"35.4000%"</f>
        <v>35.4000%</v>
      </c>
      <c r="Q50" t="str">
        <f>"36.7000%"</f>
        <v>36.7000%</v>
      </c>
      <c r="R50" t="str">
        <f>"26.4600%"</f>
        <v>26.4600%</v>
      </c>
      <c r="S50" t="str">
        <f>"28.6741%"</f>
        <v>28.6741%</v>
      </c>
      <c r="T50" t="s">
        <v>361</v>
      </c>
      <c r="U50" t="str">
        <f>"37.0560%"</f>
        <v>37.0560%</v>
      </c>
      <c r="V50" t="str">
        <f>"37.0840%"</f>
        <v>37.0840%</v>
      </c>
      <c r="W50" t="s">
        <v>362</v>
      </c>
      <c r="X50" t="s">
        <v>363</v>
      </c>
      <c r="Z50" t="str">
        <f>"9.125"</f>
        <v>9.125</v>
      </c>
    </row>
    <row r="51" spans="1:26" x14ac:dyDescent="0.3">
      <c r="A51" t="s">
        <v>83</v>
      </c>
      <c r="B51" t="s">
        <v>364</v>
      </c>
      <c r="C51" t="s">
        <v>365</v>
      </c>
      <c r="D51" t="s">
        <v>39</v>
      </c>
      <c r="E51" t="s">
        <v>30</v>
      </c>
      <c r="F51" t="str">
        <f t="shared" si="2"/>
        <v>110</v>
      </c>
      <c r="G51" t="str">
        <f>"MAP3K1 p.941_942del"</f>
        <v>MAP3K1 p.941_942del</v>
      </c>
      <c r="H51" t="str">
        <f>"NM_005921"</f>
        <v>NM_005921</v>
      </c>
      <c r="J51" t="s">
        <v>366</v>
      </c>
      <c r="K51" t="str">
        <f>"48%"</f>
        <v>48%</v>
      </c>
      <c r="L51" t="str">
        <f>"-0.06"</f>
        <v>-0.06</v>
      </c>
      <c r="N51" t="s">
        <v>222</v>
      </c>
      <c r="O51" t="s">
        <v>367</v>
      </c>
      <c r="P51" t="str">
        <f>"73.9300%"</f>
        <v>73.9300%</v>
      </c>
      <c r="Q51" t="str">
        <f>"74.1300%"</f>
        <v>74.1300%</v>
      </c>
      <c r="R51" t="str">
        <f>""</f>
        <v/>
      </c>
      <c r="S51" t="str">
        <f>""</f>
        <v/>
      </c>
      <c r="T51" t="s">
        <v>368</v>
      </c>
      <c r="U51" t="str">
        <f>"75.5600%"</f>
        <v>75.5600%</v>
      </c>
      <c r="V51" t="str">
        <f>"76.1060%"</f>
        <v>76.1060%</v>
      </c>
      <c r="W51" t="s">
        <v>369</v>
      </c>
      <c r="Y51" t="s">
        <v>370</v>
      </c>
      <c r="Z51" t="str">
        <f>""</f>
        <v/>
      </c>
    </row>
    <row r="52" spans="1:26" x14ac:dyDescent="0.3">
      <c r="A52" t="s">
        <v>26</v>
      </c>
      <c r="B52" t="s">
        <v>371</v>
      </c>
      <c r="C52" t="s">
        <v>39</v>
      </c>
      <c r="D52" t="s">
        <v>38</v>
      </c>
      <c r="E52" t="s">
        <v>30</v>
      </c>
      <c r="F52" t="str">
        <f t="shared" si="2"/>
        <v>110</v>
      </c>
      <c r="G52" t="str">
        <f>"BRCA1 p.S1613G"</f>
        <v>BRCA1 p.S1613G</v>
      </c>
      <c r="H52" t="str">
        <f>"NM_007294"</f>
        <v>NM_007294</v>
      </c>
      <c r="J52" t="s">
        <v>372</v>
      </c>
      <c r="K52" t="str">
        <f>"100%"</f>
        <v>100%</v>
      </c>
      <c r="L52" t="str">
        <f>"-0.06"</f>
        <v>-0.06</v>
      </c>
      <c r="N52" t="s">
        <v>41</v>
      </c>
      <c r="O52" t="s">
        <v>373</v>
      </c>
      <c r="P52" t="str">
        <f>"34.9600%"</f>
        <v>34.9600%</v>
      </c>
      <c r="Q52" t="str">
        <f>"35.4600%"</f>
        <v>35.4600%</v>
      </c>
      <c r="R52" t="str">
        <f>"29.8200%"</f>
        <v>29.8200%</v>
      </c>
      <c r="S52" t="str">
        <f>"35.5831%"</f>
        <v>35.5831%</v>
      </c>
      <c r="T52" t="s">
        <v>374</v>
      </c>
      <c r="U52" t="str">
        <f>"33.7250%"</f>
        <v>33.7250%</v>
      </c>
      <c r="V52" t="str">
        <f>"33.6430%"</f>
        <v>33.6430%</v>
      </c>
      <c r="W52" t="s">
        <v>375</v>
      </c>
      <c r="X52" t="s">
        <v>376</v>
      </c>
      <c r="Y52" t="s">
        <v>377</v>
      </c>
      <c r="Z52" t="str">
        <f>"11.48"</f>
        <v>11.48</v>
      </c>
    </row>
    <row r="53" spans="1:26" x14ac:dyDescent="0.3">
      <c r="A53" t="s">
        <v>52</v>
      </c>
      <c r="B53" t="s">
        <v>378</v>
      </c>
      <c r="C53" t="s">
        <v>39</v>
      </c>
      <c r="D53" t="s">
        <v>38</v>
      </c>
      <c r="E53" t="s">
        <v>30</v>
      </c>
      <c r="F53" t="str">
        <f t="shared" si="2"/>
        <v>110</v>
      </c>
      <c r="G53" t="str">
        <f>"PALB2 p.Q559R"</f>
        <v>PALB2 p.Q559R</v>
      </c>
      <c r="H53" t="str">
        <f>"NM_024675"</f>
        <v>NM_024675</v>
      </c>
      <c r="J53" t="s">
        <v>379</v>
      </c>
      <c r="K53" t="str">
        <f>"49%"</f>
        <v>49%</v>
      </c>
      <c r="L53" t="str">
        <f>"0.11"</f>
        <v>0.11</v>
      </c>
      <c r="N53" t="s">
        <v>41</v>
      </c>
      <c r="O53" t="s">
        <v>380</v>
      </c>
      <c r="P53" t="str">
        <f>"11.7600%"</f>
        <v>11.7600%</v>
      </c>
      <c r="Q53" t="str">
        <f>"10.4300%"</f>
        <v>10.4300%</v>
      </c>
      <c r="R53" t="str">
        <f>"13.4800%"</f>
        <v>13.4800%</v>
      </c>
      <c r="S53" t="str">
        <f>"15.0759%"</f>
        <v>15.0759%</v>
      </c>
      <c r="T53" t="s">
        <v>381</v>
      </c>
      <c r="U53" t="str">
        <f>"10.2400%"</f>
        <v>10.2400%</v>
      </c>
      <c r="V53" t="str">
        <f>"10.2400%"</f>
        <v>10.2400%</v>
      </c>
      <c r="W53" t="s">
        <v>382</v>
      </c>
      <c r="X53" t="s">
        <v>383</v>
      </c>
      <c r="Y53" t="s">
        <v>384</v>
      </c>
      <c r="Z53" t="str">
        <f>"0.029"</f>
        <v>0.029</v>
      </c>
    </row>
    <row r="54" spans="1:26" x14ac:dyDescent="0.3">
      <c r="A54" t="s">
        <v>110</v>
      </c>
      <c r="B54" t="s">
        <v>385</v>
      </c>
      <c r="C54" t="s">
        <v>39</v>
      </c>
      <c r="D54" t="s">
        <v>38</v>
      </c>
      <c r="E54" t="s">
        <v>30</v>
      </c>
      <c r="F54" t="str">
        <f t="shared" si="2"/>
        <v>110</v>
      </c>
      <c r="G54" t="str">
        <f>"PDCD1LG2 p.I241T"</f>
        <v>PDCD1LG2 p.I241T</v>
      </c>
      <c r="H54" t="str">
        <f>"NM_025239"</f>
        <v>NM_025239</v>
      </c>
      <c r="J54" t="s">
        <v>386</v>
      </c>
      <c r="K54" t="str">
        <f>"37%"</f>
        <v>37%</v>
      </c>
      <c r="L54" t="str">
        <f>"-0.24"</f>
        <v>-0.24</v>
      </c>
      <c r="N54" t="s">
        <v>41</v>
      </c>
      <c r="O54" t="s">
        <v>387</v>
      </c>
      <c r="P54" t="str">
        <f>"15.4900%"</f>
        <v>15.4900%</v>
      </c>
      <c r="Q54" t="str">
        <f>"14.3200%"</f>
        <v>14.3200%</v>
      </c>
      <c r="R54" t="str">
        <f>"24.9900%"</f>
        <v>24.9900%</v>
      </c>
      <c r="S54" t="str">
        <f>"27.9952%"</f>
        <v>27.9952%</v>
      </c>
      <c r="T54" t="s">
        <v>388</v>
      </c>
      <c r="U54" t="str">
        <f>"13.3530%"</f>
        <v>13.3530%</v>
      </c>
      <c r="V54" t="str">
        <f>"13.2990%"</f>
        <v>13.2990%</v>
      </c>
      <c r="W54" t="s">
        <v>389</v>
      </c>
      <c r="X54" t="s">
        <v>390</v>
      </c>
      <c r="Z54" t="str">
        <f>"9.427"</f>
        <v>9.427</v>
      </c>
    </row>
    <row r="55" spans="1:26" x14ac:dyDescent="0.3">
      <c r="A55" t="s">
        <v>60</v>
      </c>
      <c r="B55" t="s">
        <v>391</v>
      </c>
      <c r="C55" t="s">
        <v>38</v>
      </c>
      <c r="D55" t="s">
        <v>28</v>
      </c>
      <c r="E55" t="s">
        <v>30</v>
      </c>
      <c r="F55" t="str">
        <f t="shared" si="2"/>
        <v>110</v>
      </c>
      <c r="G55" t="str">
        <f>"SYNE1"</f>
        <v>SYNE1</v>
      </c>
      <c r="H55" t="str">
        <f>""</f>
        <v/>
      </c>
      <c r="J55" t="s">
        <v>392</v>
      </c>
      <c r="K55" t="str">
        <f>"50%"</f>
        <v>50%</v>
      </c>
      <c r="L55" t="str">
        <f>"0.04"</f>
        <v>0.04</v>
      </c>
      <c r="N55" t="s">
        <v>41</v>
      </c>
      <c r="O55" t="s">
        <v>393</v>
      </c>
      <c r="P55" t="str">
        <f>"35.9200%"</f>
        <v>35.9200%</v>
      </c>
      <c r="Q55" t="str">
        <f>"36.3500%"</f>
        <v>36.3500%</v>
      </c>
      <c r="R55" t="str">
        <f>"37.3600%"</f>
        <v>37.3600%</v>
      </c>
      <c r="S55" t="str">
        <f>"39.9361%"</f>
        <v>39.9361%</v>
      </c>
      <c r="T55" t="s">
        <v>394</v>
      </c>
      <c r="U55" t="str">
        <f>"36.6740%"</f>
        <v>36.6740%</v>
      </c>
      <c r="V55" t="str">
        <f>"36.6470%"</f>
        <v>36.6470%</v>
      </c>
      <c r="W55" t="s">
        <v>395</v>
      </c>
      <c r="Y55" t="s">
        <v>396</v>
      </c>
      <c r="Z55" t="str">
        <f>"0.218"</f>
        <v>0.218</v>
      </c>
    </row>
    <row r="56" spans="1:26" x14ac:dyDescent="0.3">
      <c r="A56" t="s">
        <v>397</v>
      </c>
      <c r="B56" t="s">
        <v>398</v>
      </c>
      <c r="C56" t="s">
        <v>29</v>
      </c>
      <c r="D56" t="s">
        <v>28</v>
      </c>
      <c r="E56" t="s">
        <v>30</v>
      </c>
      <c r="F56" t="str">
        <f t="shared" si="2"/>
        <v>110</v>
      </c>
      <c r="G56" t="str">
        <f>"ATM p.N1983S"</f>
        <v>ATM p.N1983S</v>
      </c>
      <c r="H56" t="str">
        <f>"NM_000051"</f>
        <v>NM_000051</v>
      </c>
      <c r="J56" t="s">
        <v>399</v>
      </c>
      <c r="K56" t="str">
        <f>"100%"</f>
        <v>100%</v>
      </c>
      <c r="L56" t="str">
        <f>"-0.10"</f>
        <v>-0.10</v>
      </c>
      <c r="N56" t="s">
        <v>41</v>
      </c>
      <c r="O56" t="s">
        <v>400</v>
      </c>
      <c r="P56" t="str">
        <f>"100.0000%"</f>
        <v>100.0000%</v>
      </c>
      <c r="Q56" t="str">
        <f>"100.0000%"</f>
        <v>100.0000%</v>
      </c>
      <c r="R56" t="str">
        <f>""</f>
        <v/>
      </c>
      <c r="S56" t="str">
        <f>"100.0000%"</f>
        <v>100.0000%</v>
      </c>
      <c r="T56" t="s">
        <v>401</v>
      </c>
      <c r="U56" t="str">
        <f>"99.8630%"</f>
        <v>99.8630%</v>
      </c>
      <c r="V56" t="str">
        <f>"99.8090%"</f>
        <v>99.8090%</v>
      </c>
      <c r="W56" t="s">
        <v>402</v>
      </c>
      <c r="X56" t="s">
        <v>403</v>
      </c>
      <c r="Y56" t="s">
        <v>404</v>
      </c>
      <c r="Z56" t="str">
        <f>"0.829"</f>
        <v>0.829</v>
      </c>
    </row>
    <row r="57" spans="1:26" x14ac:dyDescent="0.3">
      <c r="A57" t="s">
        <v>60</v>
      </c>
      <c r="B57" t="s">
        <v>405</v>
      </c>
      <c r="C57" t="s">
        <v>29</v>
      </c>
      <c r="D57" t="s">
        <v>28</v>
      </c>
      <c r="E57" t="s">
        <v>30</v>
      </c>
      <c r="F57" t="str">
        <f t="shared" si="2"/>
        <v>110</v>
      </c>
      <c r="G57" t="str">
        <f>"CDKN1A p.D28G"</f>
        <v>CDKN1A p.D28G</v>
      </c>
      <c r="H57" t="str">
        <f>"NM_001291549"</f>
        <v>NM_001291549</v>
      </c>
      <c r="J57" t="s">
        <v>406</v>
      </c>
      <c r="K57" t="str">
        <f>"46%"</f>
        <v>46%</v>
      </c>
      <c r="L57" t="str">
        <f>"-0.03"</f>
        <v>-0.03</v>
      </c>
      <c r="N57" t="s">
        <v>41</v>
      </c>
      <c r="O57" t="s">
        <v>407</v>
      </c>
      <c r="P57" t="str">
        <f>"46.4100%"</f>
        <v>46.4100%</v>
      </c>
      <c r="Q57" t="str">
        <f>"42.6400%"</f>
        <v>42.6400%</v>
      </c>
      <c r="R57" t="str">
        <f>""</f>
        <v/>
      </c>
      <c r="S57" t="str">
        <f>"52.7556%"</f>
        <v>52.7556%</v>
      </c>
      <c r="T57" t="s">
        <v>408</v>
      </c>
      <c r="U57" t="str">
        <f>"41.5890%"</f>
        <v>41.5890%</v>
      </c>
      <c r="V57" t="str">
        <f>"41.5890%"</f>
        <v>41.5890%</v>
      </c>
      <c r="W57" t="s">
        <v>409</v>
      </c>
      <c r="Z57" t="str">
        <f>"0.035"</f>
        <v>0.035</v>
      </c>
    </row>
    <row r="58" spans="1:26" x14ac:dyDescent="0.3">
      <c r="A58" t="s">
        <v>146</v>
      </c>
      <c r="B58" t="s">
        <v>410</v>
      </c>
      <c r="C58" t="s">
        <v>28</v>
      </c>
      <c r="D58" t="s">
        <v>29</v>
      </c>
      <c r="E58" t="s">
        <v>30</v>
      </c>
      <c r="F58" t="str">
        <f t="shared" si="2"/>
        <v>110</v>
      </c>
      <c r="G58" t="str">
        <f>"EGFR p.R521K"</f>
        <v>EGFR p.R521K</v>
      </c>
      <c r="H58" t="str">
        <f>"NM_005228"</f>
        <v>NM_005228</v>
      </c>
      <c r="J58" t="s">
        <v>411</v>
      </c>
      <c r="K58" t="str">
        <f>"51%"</f>
        <v>51%</v>
      </c>
      <c r="L58" t="str">
        <f>"-0.07"</f>
        <v>-0.07</v>
      </c>
      <c r="N58" t="s">
        <v>41</v>
      </c>
      <c r="O58" t="s">
        <v>412</v>
      </c>
      <c r="P58" t="str">
        <f>"28.7000%"</f>
        <v>28.7000%</v>
      </c>
      <c r="Q58" t="str">
        <f>"29.2200%"</f>
        <v>29.2200%</v>
      </c>
      <c r="R58" t="str">
        <f>"20.2700%"</f>
        <v>20.2700%</v>
      </c>
      <c r="S58" t="str">
        <f>"29.2133%"</f>
        <v>29.2133%</v>
      </c>
      <c r="T58" t="s">
        <v>413</v>
      </c>
      <c r="U58" t="str">
        <f>"30.1750%"</f>
        <v>30.1750%</v>
      </c>
      <c r="V58" t="str">
        <f>"30.2020%"</f>
        <v>30.2020%</v>
      </c>
      <c r="W58" t="s">
        <v>414</v>
      </c>
      <c r="X58" t="s">
        <v>415</v>
      </c>
      <c r="Y58" t="s">
        <v>416</v>
      </c>
      <c r="Z58" t="str">
        <f>"1.353"</f>
        <v>1.353</v>
      </c>
    </row>
    <row r="59" spans="1:26" x14ac:dyDescent="0.3">
      <c r="A59" t="s">
        <v>173</v>
      </c>
      <c r="B59" t="s">
        <v>417</v>
      </c>
      <c r="C59" t="s">
        <v>39</v>
      </c>
      <c r="D59" t="s">
        <v>38</v>
      </c>
      <c r="E59" t="s">
        <v>30</v>
      </c>
      <c r="F59" t="str">
        <f t="shared" si="2"/>
        <v>110</v>
      </c>
      <c r="G59" t="str">
        <f>"DIS3 p.N269S"</f>
        <v>DIS3 p.N269S</v>
      </c>
      <c r="H59" t="str">
        <f>"NM_014953"</f>
        <v>NM_014953</v>
      </c>
      <c r="J59" t="s">
        <v>418</v>
      </c>
      <c r="K59" t="str">
        <f>"49%"</f>
        <v>49%</v>
      </c>
      <c r="L59" t="str">
        <f>"-0.27"</f>
        <v>-0.27</v>
      </c>
      <c r="N59" t="s">
        <v>41</v>
      </c>
      <c r="O59" t="s">
        <v>419</v>
      </c>
      <c r="P59" t="str">
        <f>"33.6300%"</f>
        <v>33.6300%</v>
      </c>
      <c r="Q59" t="str">
        <f>"34.1900%"</f>
        <v>34.1900%</v>
      </c>
      <c r="R59" t="str">
        <f>"23.4600%"</f>
        <v>23.4600%</v>
      </c>
      <c r="S59" t="str">
        <f>"32.7077%"</f>
        <v>32.7077%</v>
      </c>
      <c r="T59" t="s">
        <v>420</v>
      </c>
      <c r="U59" t="str">
        <f>"35.4450%"</f>
        <v>35.4450%</v>
      </c>
      <c r="V59" t="str">
        <f>"35.4720%"</f>
        <v>35.4720%</v>
      </c>
      <c r="W59" t="s">
        <v>421</v>
      </c>
      <c r="X59" t="s">
        <v>422</v>
      </c>
      <c r="Z59" t="str">
        <f>"1.751"</f>
        <v>1.751</v>
      </c>
    </row>
    <row r="60" spans="1:26" x14ac:dyDescent="0.3">
      <c r="A60" t="s">
        <v>83</v>
      </c>
      <c r="B60" t="s">
        <v>423</v>
      </c>
      <c r="C60" t="s">
        <v>39</v>
      </c>
      <c r="D60" t="s">
        <v>38</v>
      </c>
      <c r="E60" t="s">
        <v>30</v>
      </c>
      <c r="F60" t="str">
        <f t="shared" si="2"/>
        <v>110</v>
      </c>
      <c r="G60" t="str">
        <f>"IL7R p.I66T"</f>
        <v>IL7R p.I66T</v>
      </c>
      <c r="H60" t="str">
        <f>"NM_002185"</f>
        <v>NM_002185</v>
      </c>
      <c r="J60" t="s">
        <v>424</v>
      </c>
      <c r="K60" t="str">
        <f>"100%"</f>
        <v>100%</v>
      </c>
      <c r="L60" t="str">
        <f>"0.03"</f>
        <v>0.03</v>
      </c>
      <c r="N60" t="s">
        <v>41</v>
      </c>
      <c r="O60" t="s">
        <v>425</v>
      </c>
      <c r="P60" t="str">
        <f>"62.7900%"</f>
        <v>62.7900%</v>
      </c>
      <c r="Q60" t="str">
        <f>"61.8900%"</f>
        <v>61.8900%</v>
      </c>
      <c r="R60" t="str">
        <f>"70.0900%"</f>
        <v>70.0900%</v>
      </c>
      <c r="S60" t="str">
        <f>"59.9840%"</f>
        <v>59.9840%</v>
      </c>
      <c r="T60" t="s">
        <v>426</v>
      </c>
      <c r="U60" t="str">
        <f>"60.5950%"</f>
        <v>60.5950%</v>
      </c>
      <c r="V60" t="str">
        <f>"60.5410%"</f>
        <v>60.5410%</v>
      </c>
      <c r="W60" t="s">
        <v>427</v>
      </c>
      <c r="X60" t="s">
        <v>428</v>
      </c>
      <c r="Y60" t="s">
        <v>429</v>
      </c>
      <c r="Z60" t="str">
        <f>"0.016"</f>
        <v>0.016</v>
      </c>
    </row>
    <row r="61" spans="1:26" x14ac:dyDescent="0.3">
      <c r="A61" t="s">
        <v>83</v>
      </c>
      <c r="B61" t="s">
        <v>430</v>
      </c>
      <c r="C61" t="s">
        <v>28</v>
      </c>
      <c r="D61" t="s">
        <v>29</v>
      </c>
      <c r="E61" t="s">
        <v>30</v>
      </c>
      <c r="F61" t="str">
        <f t="shared" si="2"/>
        <v>110</v>
      </c>
      <c r="G61" t="str">
        <f>"IL7R p.V138I"</f>
        <v>IL7R p.V138I</v>
      </c>
      <c r="H61" t="str">
        <f>"NM_002185"</f>
        <v>NM_002185</v>
      </c>
      <c r="J61" t="s">
        <v>431</v>
      </c>
      <c r="K61" t="str">
        <f>"99%"</f>
        <v>99%</v>
      </c>
      <c r="L61" t="str">
        <f>"0.03"</f>
        <v>0.03</v>
      </c>
      <c r="N61" t="s">
        <v>41</v>
      </c>
      <c r="O61" t="s">
        <v>432</v>
      </c>
      <c r="P61" t="str">
        <f>"65.1900%"</f>
        <v>65.1900%</v>
      </c>
      <c r="Q61" t="str">
        <f>"63.9800%"</f>
        <v>63.9800%</v>
      </c>
      <c r="R61" t="str">
        <f>"74.5800%"</f>
        <v>74.5800%</v>
      </c>
      <c r="S61" t="str">
        <f>"66.6933%"</f>
        <v>66.6933%</v>
      </c>
      <c r="T61" t="s">
        <v>433</v>
      </c>
      <c r="U61" t="str">
        <f>"62.6430%"</f>
        <v>62.6430%</v>
      </c>
      <c r="V61" t="str">
        <f>"62.6710%"</f>
        <v>62.6710%</v>
      </c>
      <c r="W61" t="s">
        <v>434</v>
      </c>
      <c r="X61" t="s">
        <v>435</v>
      </c>
      <c r="Y61" t="s">
        <v>436</v>
      </c>
      <c r="Z61" t="str">
        <f>"0.012"</f>
        <v>0.012</v>
      </c>
    </row>
    <row r="62" spans="1:26" x14ac:dyDescent="0.3">
      <c r="A62" t="s">
        <v>437</v>
      </c>
      <c r="B62" t="s">
        <v>438</v>
      </c>
      <c r="C62" t="s">
        <v>39</v>
      </c>
      <c r="D62" t="s">
        <v>38</v>
      </c>
      <c r="E62" t="s">
        <v>30</v>
      </c>
      <c r="F62" t="str">
        <f>"010"</f>
        <v>010</v>
      </c>
      <c r="G62" t="str">
        <f>"MYH9 p.I1626V"</f>
        <v>MYH9 p.I1626V</v>
      </c>
      <c r="H62" t="str">
        <f>"NM_002473"</f>
        <v>NM_002473</v>
      </c>
      <c r="J62" t="s">
        <v>439</v>
      </c>
      <c r="K62" t="str">
        <f>"100%"</f>
        <v>100%</v>
      </c>
      <c r="L62" t="str">
        <f>"0.07"</f>
        <v>0.07</v>
      </c>
      <c r="N62" t="s">
        <v>41</v>
      </c>
      <c r="O62" t="s">
        <v>440</v>
      </c>
      <c r="P62" t="str">
        <f>"25.8400%"</f>
        <v>25.8400%</v>
      </c>
      <c r="Q62" t="str">
        <f>"26.4300%"</f>
        <v>26.4300%</v>
      </c>
      <c r="R62" t="str">
        <f>"15.5500%"</f>
        <v>15.5500%</v>
      </c>
      <c r="S62" t="str">
        <f>"29.4129%"</f>
        <v>29.4129%</v>
      </c>
      <c r="T62" t="s">
        <v>441</v>
      </c>
      <c r="U62" t="str">
        <f>"27.7990%"</f>
        <v>27.7990%</v>
      </c>
      <c r="V62" t="str">
        <f>"27.7990%"</f>
        <v>27.7990%</v>
      </c>
      <c r="W62" t="s">
        <v>442</v>
      </c>
      <c r="Y62" t="s">
        <v>443</v>
      </c>
      <c r="Z62" t="str">
        <f>"5.367"</f>
        <v>5.367</v>
      </c>
    </row>
    <row r="63" spans="1:26" x14ac:dyDescent="0.3">
      <c r="A63" t="s">
        <v>110</v>
      </c>
      <c r="B63" t="s">
        <v>444</v>
      </c>
      <c r="C63" t="s">
        <v>28</v>
      </c>
      <c r="D63" t="s">
        <v>29</v>
      </c>
      <c r="E63" t="s">
        <v>30</v>
      </c>
      <c r="F63" t="str">
        <f>"110"</f>
        <v>110</v>
      </c>
      <c r="G63" t="str">
        <f>"PTCH1 p.P1315L"</f>
        <v>PTCH1 p.P1315L</v>
      </c>
      <c r="H63" t="str">
        <f>"NM_000264"</f>
        <v>NM_000264</v>
      </c>
      <c r="J63" t="s">
        <v>445</v>
      </c>
      <c r="K63" t="str">
        <f>"60%"</f>
        <v>60%</v>
      </c>
      <c r="L63" t="str">
        <f>"-0.14"</f>
        <v>-0.14</v>
      </c>
      <c r="N63" t="s">
        <v>41</v>
      </c>
      <c r="O63" t="s">
        <v>446</v>
      </c>
      <c r="P63" t="str">
        <f>"38.5500%"</f>
        <v>38.5500%</v>
      </c>
      <c r="Q63" t="str">
        <f>"38.8800%"</f>
        <v>38.8800%</v>
      </c>
      <c r="R63" t="str">
        <f>"29.9300%"</f>
        <v>29.9300%</v>
      </c>
      <c r="S63" t="str">
        <f>"39.6765%"</f>
        <v>39.6765%</v>
      </c>
      <c r="T63" t="s">
        <v>447</v>
      </c>
      <c r="U63" t="str">
        <f>"38.9130%"</f>
        <v>38.9130%</v>
      </c>
      <c r="V63" t="str">
        <f>"38.9400%"</f>
        <v>38.9400%</v>
      </c>
      <c r="W63" t="s">
        <v>448</v>
      </c>
      <c r="X63" t="s">
        <v>449</v>
      </c>
      <c r="Y63" t="s">
        <v>450</v>
      </c>
      <c r="Z63" t="str">
        <f>"26.2"</f>
        <v>26.2</v>
      </c>
    </row>
    <row r="64" spans="1:26" x14ac:dyDescent="0.3">
      <c r="A64" t="s">
        <v>451</v>
      </c>
      <c r="B64" t="s">
        <v>452</v>
      </c>
      <c r="C64" t="s">
        <v>29</v>
      </c>
      <c r="D64" t="s">
        <v>453</v>
      </c>
      <c r="E64" t="s">
        <v>30</v>
      </c>
      <c r="F64" t="str">
        <f>"111"</f>
        <v>111</v>
      </c>
      <c r="G64" t="str">
        <f>"PRKDC exonic UNKNOWN"</f>
        <v>PRKDC exonic UNKNOWN</v>
      </c>
      <c r="H64" t="str">
        <f>""</f>
        <v/>
      </c>
      <c r="J64" t="s">
        <v>454</v>
      </c>
      <c r="K64" t="str">
        <f>"100%"</f>
        <v>100%</v>
      </c>
      <c r="L64" t="str">
        <f>"0.04"</f>
        <v>0.04</v>
      </c>
      <c r="N64" t="s">
        <v>455</v>
      </c>
      <c r="O64" t="s">
        <v>456</v>
      </c>
      <c r="P64" t="str">
        <f>"100.0000%"</f>
        <v>100.0000%</v>
      </c>
      <c r="Q64" t="str">
        <f>"100.0000%"</f>
        <v>100.0000%</v>
      </c>
      <c r="R64" t="str">
        <f>"99.9200%"</f>
        <v>99.9200%</v>
      </c>
      <c r="S64" t="str">
        <f>"100.0000%"</f>
        <v>100.0000%</v>
      </c>
      <c r="T64" t="s">
        <v>457</v>
      </c>
      <c r="U64" t="str">
        <f>"99.8910%"</f>
        <v>99.8910%</v>
      </c>
      <c r="V64" t="str">
        <f>"99.8910%"</f>
        <v>99.8910%</v>
      </c>
      <c r="W64" t="s">
        <v>458</v>
      </c>
      <c r="Z64" t="str">
        <f>""</f>
        <v/>
      </c>
    </row>
    <row r="65" spans="1:26" x14ac:dyDescent="0.3">
      <c r="A65" t="s">
        <v>459</v>
      </c>
      <c r="B65" t="s">
        <v>460</v>
      </c>
      <c r="C65" t="s">
        <v>38</v>
      </c>
      <c r="D65" t="s">
        <v>29</v>
      </c>
      <c r="E65" t="s">
        <v>30</v>
      </c>
      <c r="F65" t="str">
        <f t="shared" ref="F65:F75" si="3">"110"</f>
        <v>110</v>
      </c>
      <c r="G65" t="str">
        <f>"CHD4 p.E139D"</f>
        <v>CHD4 p.E139D</v>
      </c>
      <c r="H65" t="str">
        <f>"NM_001273"</f>
        <v>NM_001273</v>
      </c>
      <c r="J65" t="s">
        <v>461</v>
      </c>
      <c r="K65" t="str">
        <f>"47%"</f>
        <v>47%</v>
      </c>
      <c r="L65" t="str">
        <f>"0.07"</f>
        <v>0.07</v>
      </c>
      <c r="N65" t="s">
        <v>41</v>
      </c>
      <c r="O65" t="s">
        <v>462</v>
      </c>
      <c r="P65" t="str">
        <f>"41.1800%"</f>
        <v>41.1800%</v>
      </c>
      <c r="Q65" t="str">
        <f>"39.9000%"</f>
        <v>39.9000%</v>
      </c>
      <c r="R65" t="str">
        <f>"54.8700%"</f>
        <v>54.8700%</v>
      </c>
      <c r="S65" t="str">
        <f>"55.3115%"</f>
        <v>55.3115%</v>
      </c>
      <c r="T65" t="s">
        <v>463</v>
      </c>
      <c r="U65" t="str">
        <f>"42.5720%"</f>
        <v>42.5720%</v>
      </c>
      <c r="V65" t="str">
        <f>"42.5450%"</f>
        <v>42.5450%</v>
      </c>
      <c r="W65" t="s">
        <v>464</v>
      </c>
      <c r="X65" t="s">
        <v>465</v>
      </c>
      <c r="Z65" t="str">
        <f>"0.018"</f>
        <v>0.018</v>
      </c>
    </row>
    <row r="66" spans="1:26" x14ac:dyDescent="0.3">
      <c r="A66" t="s">
        <v>241</v>
      </c>
      <c r="B66" t="s">
        <v>466</v>
      </c>
      <c r="C66" t="s">
        <v>39</v>
      </c>
      <c r="D66" t="s">
        <v>38</v>
      </c>
      <c r="E66" t="s">
        <v>30</v>
      </c>
      <c r="F66" t="str">
        <f t="shared" si="3"/>
        <v>110</v>
      </c>
      <c r="G66" t="str">
        <f>"LRP1B p.Q48R"</f>
        <v>LRP1B p.Q48R</v>
      </c>
      <c r="H66" t="str">
        <f>"NM_018557"</f>
        <v>NM_018557</v>
      </c>
      <c r="J66" t="s">
        <v>467</v>
      </c>
      <c r="K66" t="str">
        <f>"51%"</f>
        <v>51%</v>
      </c>
      <c r="L66" t="str">
        <f>"0.00"</f>
        <v>0.00</v>
      </c>
      <c r="N66" t="s">
        <v>41</v>
      </c>
      <c r="O66" t="s">
        <v>468</v>
      </c>
      <c r="P66" t="str">
        <f>"23.3800%"</f>
        <v>23.3800%</v>
      </c>
      <c r="Q66" t="str">
        <f>"23.6600%"</f>
        <v>23.6600%</v>
      </c>
      <c r="R66" t="str">
        <f>"17.5200%"</f>
        <v>17.5200%</v>
      </c>
      <c r="S66" t="str">
        <f>"21.7452%"</f>
        <v>21.7452%</v>
      </c>
      <c r="T66" t="s">
        <v>469</v>
      </c>
      <c r="U66" t="str">
        <f>"25.0140%"</f>
        <v>25.0140%</v>
      </c>
      <c r="V66" t="str">
        <f>"25.0410%"</f>
        <v>25.0410%</v>
      </c>
      <c r="W66" t="s">
        <v>470</v>
      </c>
      <c r="X66" t="s">
        <v>471</v>
      </c>
      <c r="Z66" t="str">
        <f>"13.77"</f>
        <v>13.77</v>
      </c>
    </row>
    <row r="67" spans="1:26" x14ac:dyDescent="0.3">
      <c r="A67" t="s">
        <v>60</v>
      </c>
      <c r="B67" t="s">
        <v>472</v>
      </c>
      <c r="C67" t="s">
        <v>29</v>
      </c>
      <c r="D67" t="s">
        <v>38</v>
      </c>
      <c r="E67" t="s">
        <v>30</v>
      </c>
      <c r="F67" t="str">
        <f t="shared" si="3"/>
        <v>110</v>
      </c>
      <c r="G67" t="str">
        <f>"CCND3 p.S259A"</f>
        <v>CCND3 p.S259A</v>
      </c>
      <c r="H67" t="str">
        <f>"NM_001760"</f>
        <v>NM_001760</v>
      </c>
      <c r="J67" t="s">
        <v>473</v>
      </c>
      <c r="K67" t="str">
        <f>"49%"</f>
        <v>49%</v>
      </c>
      <c r="L67" t="str">
        <f>"-0.03"</f>
        <v>-0.03</v>
      </c>
      <c r="N67" t="s">
        <v>41</v>
      </c>
      <c r="O67" t="s">
        <v>474</v>
      </c>
      <c r="P67" t="str">
        <f>"54.4300%"</f>
        <v>54.4300%</v>
      </c>
      <c r="Q67" t="str">
        <f>"53.7400%"</f>
        <v>53.7400%</v>
      </c>
      <c r="R67" t="str">
        <f>"62.4300%"</f>
        <v>62.4300%</v>
      </c>
      <c r="S67" t="str">
        <f>"59.2452%"</f>
        <v>59.2452%</v>
      </c>
      <c r="T67" t="s">
        <v>475</v>
      </c>
      <c r="U67" t="str">
        <f>"48.4430%"</f>
        <v>48.4430%</v>
      </c>
      <c r="V67" t="str">
        <f>"48.4980%"</f>
        <v>48.4980%</v>
      </c>
      <c r="W67" t="s">
        <v>476</v>
      </c>
      <c r="X67" t="s">
        <v>477</v>
      </c>
      <c r="Z67" t="str">
        <f>"0.008"</f>
        <v>0.008</v>
      </c>
    </row>
    <row r="68" spans="1:26" x14ac:dyDescent="0.3">
      <c r="A68" t="s">
        <v>83</v>
      </c>
      <c r="B68" t="s">
        <v>478</v>
      </c>
      <c r="C68" t="s">
        <v>29</v>
      </c>
      <c r="D68" t="s">
        <v>28</v>
      </c>
      <c r="E68" t="s">
        <v>30</v>
      </c>
      <c r="F68" t="str">
        <f t="shared" si="3"/>
        <v>110</v>
      </c>
      <c r="G68" t="str">
        <f>"MSH3 p.Q949R"</f>
        <v>MSH3 p.Q949R</v>
      </c>
      <c r="H68" t="str">
        <f>"NM_002439"</f>
        <v>NM_002439</v>
      </c>
      <c r="J68" t="s">
        <v>479</v>
      </c>
      <c r="K68" t="str">
        <f>"100%"</f>
        <v>100%</v>
      </c>
      <c r="L68" t="str">
        <f>"-0.06"</f>
        <v>-0.06</v>
      </c>
      <c r="N68" t="s">
        <v>41</v>
      </c>
      <c r="O68" t="s">
        <v>480</v>
      </c>
      <c r="P68" t="str">
        <f>"87.3100%"</f>
        <v>87.3100%</v>
      </c>
      <c r="Q68" t="str">
        <f>"87.3300%"</f>
        <v>87.3300%</v>
      </c>
      <c r="R68" t="str">
        <f>"85.5200%"</f>
        <v>85.5200%</v>
      </c>
      <c r="S68" t="str">
        <f>"90.2157%"</f>
        <v>90.2157%</v>
      </c>
      <c r="T68" t="s">
        <v>481</v>
      </c>
      <c r="U68" t="str">
        <f>"87.1380%"</f>
        <v>87.1380%</v>
      </c>
      <c r="V68" t="str">
        <f>"87.1380%"</f>
        <v>87.1380%</v>
      </c>
      <c r="W68" t="s">
        <v>482</v>
      </c>
      <c r="X68" t="s">
        <v>483</v>
      </c>
      <c r="Z68" t="str">
        <f>"6.591"</f>
        <v>6.591</v>
      </c>
    </row>
    <row r="69" spans="1:26" x14ac:dyDescent="0.3">
      <c r="A69" t="s">
        <v>484</v>
      </c>
      <c r="B69" t="s">
        <v>485</v>
      </c>
      <c r="C69" t="s">
        <v>28</v>
      </c>
      <c r="D69" t="s">
        <v>38</v>
      </c>
      <c r="E69" t="s">
        <v>30</v>
      </c>
      <c r="F69" t="str">
        <f t="shared" si="3"/>
        <v>110</v>
      </c>
      <c r="G69" t="str">
        <f>"ATRX p.Q929E"</f>
        <v>ATRX p.Q929E</v>
      </c>
      <c r="H69" t="str">
        <f>"NM_000489"</f>
        <v>NM_000489</v>
      </c>
      <c r="J69" t="s">
        <v>486</v>
      </c>
      <c r="K69" t="str">
        <f>"100%"</f>
        <v>100%</v>
      </c>
      <c r="L69" t="str">
        <f>"0.01"</f>
        <v>0.01</v>
      </c>
      <c r="N69" t="s">
        <v>41</v>
      </c>
      <c r="O69" t="s">
        <v>487</v>
      </c>
      <c r="P69" t="str">
        <f>"39.2400%"</f>
        <v>39.2400%</v>
      </c>
      <c r="Q69" t="str">
        <f>"37.3300%"</f>
        <v>37.3300%</v>
      </c>
      <c r="R69" t="str">
        <f>"50.8300%"</f>
        <v>50.8300%</v>
      </c>
      <c r="S69" t="str">
        <f>"55.2318%"</f>
        <v>55.2318%</v>
      </c>
      <c r="T69" t="s">
        <v>488</v>
      </c>
      <c r="U69" t="str">
        <f>"34.5560%"</f>
        <v>34.5560%</v>
      </c>
      <c r="V69" t="str">
        <f>"34.5560%"</f>
        <v>34.5560%</v>
      </c>
      <c r="W69" t="s">
        <v>489</v>
      </c>
      <c r="X69" t="s">
        <v>490</v>
      </c>
      <c r="Y69" t="s">
        <v>491</v>
      </c>
      <c r="Z69" t="str">
        <f>"0.391"</f>
        <v>0.391</v>
      </c>
    </row>
    <row r="70" spans="1:26" x14ac:dyDescent="0.3">
      <c r="A70" t="s">
        <v>26</v>
      </c>
      <c r="B70" t="s">
        <v>492</v>
      </c>
      <c r="C70" t="s">
        <v>38</v>
      </c>
      <c r="D70" t="s">
        <v>39</v>
      </c>
      <c r="E70" t="s">
        <v>30</v>
      </c>
      <c r="F70" t="str">
        <f t="shared" si="3"/>
        <v>110</v>
      </c>
      <c r="G70" t="str">
        <f>"FLCN p.G303R"</f>
        <v>FLCN p.G303R</v>
      </c>
      <c r="H70" t="str">
        <f>"NM_144606"</f>
        <v>NM_144606</v>
      </c>
      <c r="J70" t="s">
        <v>493</v>
      </c>
      <c r="K70" t="str">
        <f>"67%"</f>
        <v>67%</v>
      </c>
      <c r="L70" t="str">
        <f>"-0.07"</f>
        <v>-0.07</v>
      </c>
      <c r="N70" t="s">
        <v>41</v>
      </c>
      <c r="O70" t="s">
        <v>494</v>
      </c>
      <c r="P70" t="str">
        <f>"7.2500%"</f>
        <v>7.2500%</v>
      </c>
      <c r="Q70" t="str">
        <f>"6.8600%"</f>
        <v>6.8600%</v>
      </c>
      <c r="R70" t="str">
        <f>"7.7500%"</f>
        <v>7.7500%</v>
      </c>
      <c r="S70" t="str">
        <f>"9.9641%"</f>
        <v>9.9641%</v>
      </c>
      <c r="T70" t="s">
        <v>495</v>
      </c>
      <c r="U70" t="str">
        <f>"7.7830%"</f>
        <v>7.7830%</v>
      </c>
      <c r="V70" t="str">
        <f>"7.7830%"</f>
        <v>7.7830%</v>
      </c>
      <c r="W70" t="s">
        <v>496</v>
      </c>
      <c r="Y70" t="s">
        <v>497</v>
      </c>
      <c r="Z70" t="str">
        <f>"0.081"</f>
        <v>0.081</v>
      </c>
    </row>
    <row r="71" spans="1:26" x14ac:dyDescent="0.3">
      <c r="A71" t="s">
        <v>26</v>
      </c>
      <c r="B71" t="s">
        <v>498</v>
      </c>
      <c r="C71" t="s">
        <v>28</v>
      </c>
      <c r="D71" t="s">
        <v>38</v>
      </c>
      <c r="E71" t="s">
        <v>30</v>
      </c>
      <c r="F71" t="str">
        <f t="shared" si="3"/>
        <v>110</v>
      </c>
      <c r="G71" t="str">
        <f>"TP53 p.P72R"</f>
        <v>TP53 p.P72R</v>
      </c>
      <c r="H71" t="str">
        <f>"NM_000546"</f>
        <v>NM_000546</v>
      </c>
      <c r="J71" t="s">
        <v>499</v>
      </c>
      <c r="K71" t="str">
        <f>"32%"</f>
        <v>32%</v>
      </c>
      <c r="L71" t="str">
        <f>"-0.07"</f>
        <v>-0.07</v>
      </c>
      <c r="N71" t="s">
        <v>41</v>
      </c>
      <c r="O71" t="s">
        <v>500</v>
      </c>
      <c r="P71" t="str">
        <f>"66.0000%"</f>
        <v>66.0000%</v>
      </c>
      <c r="Q71" t="str">
        <f>"66.8600%"</f>
        <v>66.8600%</v>
      </c>
      <c r="R71" t="str">
        <f>"63.0000%"</f>
        <v>63.0000%</v>
      </c>
      <c r="S71" t="str">
        <f>"54.2931%"</f>
        <v>54.2931%</v>
      </c>
      <c r="T71" t="s">
        <v>501</v>
      </c>
      <c r="U71" t="str">
        <f>"69.3880%"</f>
        <v>69.3880%</v>
      </c>
      <c r="V71" t="str">
        <f>"69.3610%"</f>
        <v>69.3610%</v>
      </c>
      <c r="W71" t="s">
        <v>502</v>
      </c>
      <c r="X71" t="s">
        <v>503</v>
      </c>
      <c r="Y71" t="s">
        <v>504</v>
      </c>
      <c r="Z71" t="str">
        <f>"8.316"</f>
        <v>8.316</v>
      </c>
    </row>
    <row r="72" spans="1:26" x14ac:dyDescent="0.3">
      <c r="A72" t="s">
        <v>52</v>
      </c>
      <c r="B72" t="s">
        <v>505</v>
      </c>
      <c r="C72" t="s">
        <v>38</v>
      </c>
      <c r="D72" t="s">
        <v>39</v>
      </c>
      <c r="E72" t="s">
        <v>30</v>
      </c>
      <c r="F72" t="str">
        <f t="shared" si="3"/>
        <v>110</v>
      </c>
      <c r="G72" t="str">
        <f>"FANCA p.G809D"</f>
        <v>FANCA p.G809D</v>
      </c>
      <c r="H72" t="str">
        <f>"NM_000135"</f>
        <v>NM_000135</v>
      </c>
      <c r="J72" t="s">
        <v>506</v>
      </c>
      <c r="K72" t="str">
        <f>"100%"</f>
        <v>100%</v>
      </c>
      <c r="L72" t="str">
        <f>"0.10"</f>
        <v>0.10</v>
      </c>
      <c r="N72" t="s">
        <v>41</v>
      </c>
      <c r="O72" t="s">
        <v>507</v>
      </c>
      <c r="P72" t="str">
        <f>"46.9000%"</f>
        <v>46.9000%</v>
      </c>
      <c r="Q72" t="str">
        <f>"47.1000%"</f>
        <v>47.1000%</v>
      </c>
      <c r="R72" t="str">
        <f>"43.0700%"</f>
        <v>43.0700%</v>
      </c>
      <c r="S72" t="str">
        <f>"66.6733%"</f>
        <v>66.6733%</v>
      </c>
      <c r="T72" t="s">
        <v>508</v>
      </c>
      <c r="U72" t="str">
        <f>"46.5320%"</f>
        <v>46.5320%</v>
      </c>
      <c r="V72" t="str">
        <f>"46.5320%"</f>
        <v>46.5320%</v>
      </c>
      <c r="W72" t="s">
        <v>509</v>
      </c>
      <c r="X72" t="s">
        <v>510</v>
      </c>
      <c r="Y72" t="s">
        <v>511</v>
      </c>
      <c r="Z72" t="str">
        <f>"3.507"</f>
        <v>3.507</v>
      </c>
    </row>
    <row r="73" spans="1:26" x14ac:dyDescent="0.3">
      <c r="A73" t="s">
        <v>338</v>
      </c>
      <c r="B73" t="s">
        <v>512</v>
      </c>
      <c r="C73" t="s">
        <v>38</v>
      </c>
      <c r="D73" t="s">
        <v>29</v>
      </c>
      <c r="E73" t="s">
        <v>30</v>
      </c>
      <c r="F73" t="str">
        <f t="shared" si="3"/>
        <v>110</v>
      </c>
      <c r="G73" t="str">
        <f>"TYK2 p.V362F"</f>
        <v>TYK2 p.V362F</v>
      </c>
      <c r="H73" t="str">
        <f>"NM_003331"</f>
        <v>NM_003331</v>
      </c>
      <c r="J73" t="s">
        <v>513</v>
      </c>
      <c r="K73" t="str">
        <f>"51%"</f>
        <v>51%</v>
      </c>
      <c r="L73" t="str">
        <f>"0.40"</f>
        <v>0.40</v>
      </c>
      <c r="N73" t="s">
        <v>41</v>
      </c>
      <c r="O73" t="s">
        <v>514</v>
      </c>
      <c r="P73" t="str">
        <f>"27.6800%"</f>
        <v>27.6800%</v>
      </c>
      <c r="Q73" t="str">
        <f>"27.3600%"</f>
        <v>27.3600%</v>
      </c>
      <c r="R73" t="str">
        <f>"22.4600%"</f>
        <v>22.4600%</v>
      </c>
      <c r="S73" t="str">
        <f>"26.5775%"</f>
        <v>26.5775%</v>
      </c>
      <c r="T73" t="s">
        <v>515</v>
      </c>
      <c r="U73" t="str">
        <f>"27.6080%"</f>
        <v>27.6080%</v>
      </c>
      <c r="V73" t="str">
        <f>"27.6620%"</f>
        <v>27.6620%</v>
      </c>
      <c r="W73" t="s">
        <v>516</v>
      </c>
      <c r="X73" t="s">
        <v>517</v>
      </c>
      <c r="Y73" t="s">
        <v>518</v>
      </c>
      <c r="Z73" t="str">
        <f>"10.11"</f>
        <v>10.11</v>
      </c>
    </row>
    <row r="74" spans="1:26" x14ac:dyDescent="0.3">
      <c r="A74" t="s">
        <v>459</v>
      </c>
      <c r="B74" t="s">
        <v>519</v>
      </c>
      <c r="C74" t="s">
        <v>39</v>
      </c>
      <c r="D74" t="s">
        <v>38</v>
      </c>
      <c r="E74" t="s">
        <v>30</v>
      </c>
      <c r="F74" t="str">
        <f t="shared" si="3"/>
        <v>110</v>
      </c>
      <c r="G74" t="str">
        <f>"SH2B3 p.W262R"</f>
        <v>SH2B3 p.W262R</v>
      </c>
      <c r="H74" t="str">
        <f>"NM_005475"</f>
        <v>NM_005475</v>
      </c>
      <c r="J74" t="s">
        <v>520</v>
      </c>
      <c r="K74" t="str">
        <f>"100%"</f>
        <v>100%</v>
      </c>
      <c r="L74" t="str">
        <f>"-0.08"</f>
        <v>-0.08</v>
      </c>
      <c r="N74" t="s">
        <v>41</v>
      </c>
      <c r="O74" t="s">
        <v>521</v>
      </c>
      <c r="P74" t="str">
        <f>"66.2500%"</f>
        <v>66.2500%</v>
      </c>
      <c r="Q74" t="str">
        <f>"66.6800%"</f>
        <v>66.6800%</v>
      </c>
      <c r="R74" t="str">
        <f>"63.4000%"</f>
        <v>63.4000%</v>
      </c>
      <c r="S74" t="str">
        <f>"85.2636%"</f>
        <v>85.2636%</v>
      </c>
      <c r="T74" t="s">
        <v>522</v>
      </c>
      <c r="U74" t="str">
        <f>"63.7360%"</f>
        <v>63.7360%</v>
      </c>
      <c r="V74" t="str">
        <f>"63.6810%"</f>
        <v>63.6810%</v>
      </c>
      <c r="W74" t="s">
        <v>523</v>
      </c>
      <c r="X74" t="s">
        <v>524</v>
      </c>
      <c r="Z74" t="str">
        <f>"0.005"</f>
        <v>0.005</v>
      </c>
    </row>
    <row r="75" spans="1:26" x14ac:dyDescent="0.3">
      <c r="A75" t="s">
        <v>83</v>
      </c>
      <c r="B75" t="s">
        <v>525</v>
      </c>
      <c r="C75" t="s">
        <v>29</v>
      </c>
      <c r="D75" t="s">
        <v>28</v>
      </c>
      <c r="E75" t="s">
        <v>526</v>
      </c>
      <c r="F75" t="str">
        <f t="shared" si="3"/>
        <v>110</v>
      </c>
      <c r="G75" t="str">
        <f>"TERT"</f>
        <v>TERT</v>
      </c>
      <c r="H75" t="str">
        <f>""</f>
        <v/>
      </c>
      <c r="J75" t="s">
        <v>527</v>
      </c>
      <c r="K75" t="str">
        <f>"47%"</f>
        <v>47%</v>
      </c>
      <c r="L75" t="str">
        <f>"-0.13"</f>
        <v>-0.13</v>
      </c>
      <c r="M75" t="s">
        <v>528</v>
      </c>
      <c r="P75" t="str">
        <f>""</f>
        <v/>
      </c>
      <c r="Q75" t="str">
        <f>""</f>
        <v/>
      </c>
      <c r="R75" t="str">
        <f>""</f>
        <v/>
      </c>
      <c r="S75" t="str">
        <f>"29.7923%"</f>
        <v>29.7923%</v>
      </c>
      <c r="T75" t="s">
        <v>529</v>
      </c>
      <c r="U75" t="str">
        <f>"31.6770%"</f>
        <v>31.6770%</v>
      </c>
      <c r="V75" t="str">
        <f>"31.6770%"</f>
        <v>31.6770%</v>
      </c>
      <c r="W75" t="s">
        <v>530</v>
      </c>
      <c r="Y75" t="s">
        <v>531</v>
      </c>
      <c r="Z75" t="str">
        <f>""</f>
        <v/>
      </c>
    </row>
    <row r="76" spans="1:26" x14ac:dyDescent="0.3">
      <c r="A76" t="s">
        <v>241</v>
      </c>
      <c r="B76" t="s">
        <v>532</v>
      </c>
      <c r="C76" t="s">
        <v>39</v>
      </c>
      <c r="D76" t="s">
        <v>28</v>
      </c>
      <c r="E76" t="s">
        <v>30</v>
      </c>
      <c r="F76" t="str">
        <f>"010"</f>
        <v>010</v>
      </c>
      <c r="G76" t="str">
        <f>"UGT1A7 p.N129K"</f>
        <v>UGT1A7 p.N129K</v>
      </c>
      <c r="H76" t="str">
        <f>"NM_019077"</f>
        <v>NM_019077</v>
      </c>
      <c r="J76" t="s">
        <v>533</v>
      </c>
      <c r="K76" t="str">
        <f>"48%"</f>
        <v>48%</v>
      </c>
      <c r="L76" t="str">
        <f>"0.00"</f>
        <v>0.00</v>
      </c>
      <c r="N76" t="s">
        <v>41</v>
      </c>
      <c r="O76" t="s">
        <v>534</v>
      </c>
      <c r="P76" t="str">
        <f>"58.8000%"</f>
        <v>58.8000%</v>
      </c>
      <c r="Q76" t="str">
        <f>"58.9400%"</f>
        <v>58.9400%</v>
      </c>
      <c r="R76" t="str">
        <f>""</f>
        <v/>
      </c>
      <c r="S76" t="str">
        <f>"57.6278%"</f>
        <v>57.6278%</v>
      </c>
      <c r="T76" t="s">
        <v>535</v>
      </c>
      <c r="U76" t="str">
        <f>"55.7620%"</f>
        <v>55.7620%</v>
      </c>
      <c r="V76" t="str">
        <f>"55.7620%"</f>
        <v>55.7620%</v>
      </c>
      <c r="W76" t="s">
        <v>536</v>
      </c>
      <c r="Y76" t="s">
        <v>537</v>
      </c>
      <c r="Z76" t="str">
        <f>"0.103"</f>
        <v>0.103</v>
      </c>
    </row>
    <row r="77" spans="1:26" x14ac:dyDescent="0.3">
      <c r="A77" t="s">
        <v>451</v>
      </c>
      <c r="B77" t="s">
        <v>538</v>
      </c>
      <c r="C77" t="s">
        <v>29</v>
      </c>
      <c r="D77" t="s">
        <v>28</v>
      </c>
      <c r="E77" t="s">
        <v>30</v>
      </c>
      <c r="F77" t="str">
        <f t="shared" ref="F77:F91" si="4">"110"</f>
        <v>110</v>
      </c>
      <c r="G77" t="str">
        <f>"PRKDC exonic UNKNOWN"</f>
        <v>PRKDC exonic UNKNOWN</v>
      </c>
      <c r="H77" t="str">
        <f>""</f>
        <v/>
      </c>
      <c r="J77" t="s">
        <v>539</v>
      </c>
      <c r="K77" t="str">
        <f>"46%"</f>
        <v>46%</v>
      </c>
      <c r="L77" t="str">
        <f>"0.04"</f>
        <v>0.04</v>
      </c>
      <c r="N77" t="s">
        <v>455</v>
      </c>
      <c r="O77" t="s">
        <v>456</v>
      </c>
      <c r="P77" t="str">
        <f>"13.7400%"</f>
        <v>13.7400%</v>
      </c>
      <c r="Q77" t="str">
        <f>"11.9600%"</f>
        <v>11.9600%</v>
      </c>
      <c r="R77" t="str">
        <f>"12.0600%"</f>
        <v>12.0600%</v>
      </c>
      <c r="S77" t="str">
        <f>"18.4505%"</f>
        <v>18.4505%</v>
      </c>
      <c r="T77" t="s">
        <v>540</v>
      </c>
      <c r="U77" t="str">
        <f>"11.4690%"</f>
        <v>11.4690%</v>
      </c>
      <c r="V77" t="str">
        <f>"11.4690%"</f>
        <v>11.4690%</v>
      </c>
      <c r="W77" t="s">
        <v>541</v>
      </c>
      <c r="X77" t="s">
        <v>542</v>
      </c>
      <c r="Y77" t="s">
        <v>543</v>
      </c>
      <c r="Z77" t="str">
        <f>"5.265"</f>
        <v>5.265</v>
      </c>
    </row>
    <row r="78" spans="1:26" x14ac:dyDescent="0.3">
      <c r="A78" t="s">
        <v>338</v>
      </c>
      <c r="B78" t="s">
        <v>544</v>
      </c>
      <c r="C78" t="s">
        <v>29</v>
      </c>
      <c r="D78" t="s">
        <v>28</v>
      </c>
      <c r="E78" t="s">
        <v>30</v>
      </c>
      <c r="F78" t="str">
        <f t="shared" si="4"/>
        <v>110</v>
      </c>
      <c r="G78" t="str">
        <f>"AXL p.N266D"</f>
        <v>AXL p.N266D</v>
      </c>
      <c r="H78" t="str">
        <f>"NM_001699"</f>
        <v>NM_001699</v>
      </c>
      <c r="J78" t="s">
        <v>545</v>
      </c>
      <c r="K78" t="str">
        <f>"100%"</f>
        <v>100%</v>
      </c>
      <c r="L78" t="str">
        <f>"0.10"</f>
        <v>0.10</v>
      </c>
      <c r="N78" t="s">
        <v>41</v>
      </c>
      <c r="O78" t="s">
        <v>546</v>
      </c>
      <c r="P78" t="str">
        <f>"100.0000%"</f>
        <v>100.0000%</v>
      </c>
      <c r="Q78" t="str">
        <f>"100.0000%"</f>
        <v>100.0000%</v>
      </c>
      <c r="R78" t="str">
        <f>""</f>
        <v/>
      </c>
      <c r="S78" t="str">
        <f>"100.0000%"</f>
        <v>100.0000%</v>
      </c>
      <c r="T78" t="s">
        <v>547</v>
      </c>
      <c r="U78" t="str">
        <f>"99.9450%"</f>
        <v>99.9450%</v>
      </c>
      <c r="V78" t="str">
        <f>"99.8910%"</f>
        <v>99.8910%</v>
      </c>
      <c r="W78" t="s">
        <v>548</v>
      </c>
      <c r="X78" t="s">
        <v>549</v>
      </c>
      <c r="Z78" t="str">
        <f>"0.007"</f>
        <v>0.007</v>
      </c>
    </row>
    <row r="79" spans="1:26" x14ac:dyDescent="0.3">
      <c r="A79" t="s">
        <v>397</v>
      </c>
      <c r="B79" t="s">
        <v>550</v>
      </c>
      <c r="C79" t="s">
        <v>39</v>
      </c>
      <c r="D79" t="s">
        <v>38</v>
      </c>
      <c r="E79" t="s">
        <v>30</v>
      </c>
      <c r="F79" t="str">
        <f t="shared" si="4"/>
        <v>110</v>
      </c>
      <c r="G79" t="str">
        <f>"MEN1 p.T541A"</f>
        <v>MEN1 p.T541A</v>
      </c>
      <c r="H79" t="str">
        <f>"NM_130799"</f>
        <v>NM_130799</v>
      </c>
      <c r="J79" t="s">
        <v>551</v>
      </c>
      <c r="K79" t="str">
        <f>"100%"</f>
        <v>100%</v>
      </c>
      <c r="L79" t="str">
        <f>"-0.10"</f>
        <v>-0.10</v>
      </c>
      <c r="N79" t="s">
        <v>41</v>
      </c>
      <c r="O79" t="s">
        <v>552</v>
      </c>
      <c r="P79" t="str">
        <f>"93.7800%"</f>
        <v>93.7800%</v>
      </c>
      <c r="Q79" t="str">
        <f>"93.9000%"</f>
        <v>93.9000%</v>
      </c>
      <c r="R79" t="str">
        <f>"90.8400%"</f>
        <v>90.8400%</v>
      </c>
      <c r="S79" t="str">
        <f>"83.4465%"</f>
        <v>83.4465%</v>
      </c>
      <c r="T79" t="s">
        <v>553</v>
      </c>
      <c r="U79" t="str">
        <f>"91.6710%"</f>
        <v>91.6710%</v>
      </c>
      <c r="V79" t="str">
        <f>"91.6710%"</f>
        <v>91.6710%</v>
      </c>
      <c r="W79" t="s">
        <v>554</v>
      </c>
      <c r="X79" t="s">
        <v>555</v>
      </c>
      <c r="Y79" t="s">
        <v>556</v>
      </c>
      <c r="Z79" t="str">
        <f>"0.011"</f>
        <v>0.011</v>
      </c>
    </row>
    <row r="80" spans="1:26" x14ac:dyDescent="0.3">
      <c r="A80" t="s">
        <v>26</v>
      </c>
      <c r="B80" t="s">
        <v>557</v>
      </c>
      <c r="C80" t="s">
        <v>28</v>
      </c>
      <c r="D80" t="s">
        <v>38</v>
      </c>
      <c r="E80" t="s">
        <v>30</v>
      </c>
      <c r="F80" t="str">
        <f t="shared" si="4"/>
        <v>110</v>
      </c>
      <c r="G80" t="str">
        <f>"TP53 p.R175G"</f>
        <v>TP53 p.R175G</v>
      </c>
      <c r="H80" t="str">
        <f>"NM_000546"</f>
        <v>NM_000546</v>
      </c>
      <c r="J80" t="s">
        <v>558</v>
      </c>
      <c r="K80" t="str">
        <f>"43%"</f>
        <v>43%</v>
      </c>
      <c r="L80" t="str">
        <f>"-0.07"</f>
        <v>-0.07</v>
      </c>
      <c r="N80" t="s">
        <v>41</v>
      </c>
      <c r="O80" t="s">
        <v>559</v>
      </c>
      <c r="P80" t="str">
        <f>""</f>
        <v/>
      </c>
      <c r="Q80" t="str">
        <f>""</f>
        <v/>
      </c>
      <c r="R80" t="str">
        <f>""</f>
        <v/>
      </c>
      <c r="S80" t="str">
        <f>""</f>
        <v/>
      </c>
      <c r="T80" t="s">
        <v>560</v>
      </c>
      <c r="U80" t="str">
        <f>""</f>
        <v/>
      </c>
      <c r="V80" t="str">
        <f>""</f>
        <v/>
      </c>
      <c r="W80" t="s">
        <v>561</v>
      </c>
      <c r="X80" t="s">
        <v>562</v>
      </c>
      <c r="Y80" t="s">
        <v>563</v>
      </c>
      <c r="Z80" t="str">
        <f>"18.19"</f>
        <v>18.19</v>
      </c>
    </row>
    <row r="81" spans="1:26" x14ac:dyDescent="0.3">
      <c r="A81" t="s">
        <v>26</v>
      </c>
      <c r="B81" t="s">
        <v>564</v>
      </c>
      <c r="C81" t="s">
        <v>28</v>
      </c>
      <c r="D81" t="s">
        <v>39</v>
      </c>
      <c r="E81" t="s">
        <v>30</v>
      </c>
      <c r="F81" t="str">
        <f t="shared" si="4"/>
        <v>110</v>
      </c>
      <c r="G81" t="str">
        <f>"RNF43 p.L418M"</f>
        <v>RNF43 p.L418M</v>
      </c>
      <c r="H81" t="str">
        <f>"NM_017763"</f>
        <v>NM_017763</v>
      </c>
      <c r="J81" t="s">
        <v>558</v>
      </c>
      <c r="K81" t="str">
        <f>"61%"</f>
        <v>61%</v>
      </c>
      <c r="L81" t="str">
        <f>"-0.06"</f>
        <v>-0.06</v>
      </c>
      <c r="N81" t="s">
        <v>41</v>
      </c>
      <c r="O81" t="s">
        <v>565</v>
      </c>
      <c r="P81" t="str">
        <f>"39.7200%"</f>
        <v>39.7200%</v>
      </c>
      <c r="Q81" t="str">
        <f>"39.4400%"</f>
        <v>39.4400%</v>
      </c>
      <c r="R81" t="str">
        <f>"37.3800%"</f>
        <v>37.3800%</v>
      </c>
      <c r="S81" t="str">
        <f>"39.9561%"</f>
        <v>39.9561%</v>
      </c>
      <c r="T81" t="s">
        <v>566</v>
      </c>
      <c r="U81" t="str">
        <f>"39.5140%"</f>
        <v>39.5140%</v>
      </c>
      <c r="V81" t="str">
        <f>"39.5690%"</f>
        <v>39.5690%</v>
      </c>
      <c r="W81" t="s">
        <v>567</v>
      </c>
      <c r="X81" t="s">
        <v>568</v>
      </c>
      <c r="Y81" t="s">
        <v>569</v>
      </c>
      <c r="Z81" t="str">
        <f>"12.56"</f>
        <v>12.56</v>
      </c>
    </row>
    <row r="82" spans="1:26" x14ac:dyDescent="0.3">
      <c r="A82" t="s">
        <v>338</v>
      </c>
      <c r="B82" t="s">
        <v>570</v>
      </c>
      <c r="C82" t="s">
        <v>38</v>
      </c>
      <c r="D82" t="s">
        <v>28</v>
      </c>
      <c r="E82" t="s">
        <v>30</v>
      </c>
      <c r="F82" t="str">
        <f t="shared" si="4"/>
        <v>110</v>
      </c>
      <c r="G82" t="str">
        <f>"NOTCH3 p.A1020P"</f>
        <v>NOTCH3 p.A1020P</v>
      </c>
      <c r="H82" t="str">
        <f>"NM_000435"</f>
        <v>NM_000435</v>
      </c>
      <c r="J82" t="s">
        <v>571</v>
      </c>
      <c r="K82" t="str">
        <f>"50%"</f>
        <v>50%</v>
      </c>
      <c r="L82" t="str">
        <f>"0.15"</f>
        <v>0.15</v>
      </c>
      <c r="N82" t="s">
        <v>41</v>
      </c>
      <c r="O82" t="s">
        <v>572</v>
      </c>
      <c r="P82" t="str">
        <f>"7.3200%"</f>
        <v>7.3200%</v>
      </c>
      <c r="Q82" t="str">
        <f>"3.4300%"</f>
        <v>3.4300%</v>
      </c>
      <c r="R82" t="str">
        <f>"10.8900%"</f>
        <v>10.8900%</v>
      </c>
      <c r="S82" t="str">
        <f>"11.0224%"</f>
        <v>11.0224%</v>
      </c>
      <c r="T82" t="s">
        <v>573</v>
      </c>
      <c r="U82" t="str">
        <f>"2.7030%"</f>
        <v>2.7030%</v>
      </c>
      <c r="V82" t="str">
        <f>"2.7030%"</f>
        <v>2.7030%</v>
      </c>
      <c r="W82" t="s">
        <v>574</v>
      </c>
      <c r="X82" t="s">
        <v>575</v>
      </c>
      <c r="Y82" t="s">
        <v>576</v>
      </c>
      <c r="Z82" t="str">
        <f>"9.463"</f>
        <v>9.463</v>
      </c>
    </row>
    <row r="83" spans="1:26" x14ac:dyDescent="0.3">
      <c r="A83" t="s">
        <v>26</v>
      </c>
      <c r="B83" t="s">
        <v>577</v>
      </c>
      <c r="C83" t="s">
        <v>38</v>
      </c>
      <c r="D83" t="s">
        <v>39</v>
      </c>
      <c r="E83" t="s">
        <v>30</v>
      </c>
      <c r="F83" t="str">
        <f t="shared" si="4"/>
        <v>110</v>
      </c>
      <c r="G83" t="str">
        <f>"RNF43 p.R117H"</f>
        <v>RNF43 p.R117H</v>
      </c>
      <c r="H83" t="str">
        <f>"NM_017763"</f>
        <v>NM_017763</v>
      </c>
      <c r="J83" t="s">
        <v>578</v>
      </c>
      <c r="K83" t="str">
        <f>"43%"</f>
        <v>43%</v>
      </c>
      <c r="L83" t="str">
        <f>"-0.06"</f>
        <v>-0.06</v>
      </c>
      <c r="N83" t="s">
        <v>41</v>
      </c>
      <c r="O83" t="s">
        <v>579</v>
      </c>
      <c r="P83" t="str">
        <f>"16.4100%"</f>
        <v>16.4100%</v>
      </c>
      <c r="Q83" t="str">
        <f>"15.7400%"</f>
        <v>15.7400%</v>
      </c>
      <c r="R83" t="str">
        <f>"13.4700%"</f>
        <v>13.4700%</v>
      </c>
      <c r="S83" t="str">
        <f>"22.6238%"</f>
        <v>22.6238%</v>
      </c>
      <c r="T83" t="s">
        <v>580</v>
      </c>
      <c r="U83" t="str">
        <f>"14.8830%"</f>
        <v>14.8830%</v>
      </c>
      <c r="V83" t="str">
        <f>"14.8830%"</f>
        <v>14.8830%</v>
      </c>
      <c r="W83" t="s">
        <v>581</v>
      </c>
      <c r="X83" t="s">
        <v>582</v>
      </c>
      <c r="Z83" t="str">
        <f>"19.62"</f>
        <v>19.62</v>
      </c>
    </row>
    <row r="84" spans="1:26" x14ac:dyDescent="0.3">
      <c r="A84" t="s">
        <v>459</v>
      </c>
      <c r="B84" t="s">
        <v>583</v>
      </c>
      <c r="C84" t="s">
        <v>29</v>
      </c>
      <c r="D84" t="s">
        <v>38</v>
      </c>
      <c r="E84" t="s">
        <v>30</v>
      </c>
      <c r="F84" t="str">
        <f t="shared" si="4"/>
        <v>110</v>
      </c>
      <c r="G84" t="str">
        <f>"HNF1A p.I27L"</f>
        <v>HNF1A p.I27L</v>
      </c>
      <c r="H84" t="str">
        <f>"NM_000545"</f>
        <v>NM_000545</v>
      </c>
      <c r="J84" t="s">
        <v>584</v>
      </c>
      <c r="K84" t="str">
        <f>"50%"</f>
        <v>50%</v>
      </c>
      <c r="L84" t="str">
        <f>"-0.08"</f>
        <v>-0.08</v>
      </c>
      <c r="N84" t="s">
        <v>41</v>
      </c>
      <c r="O84" t="s">
        <v>585</v>
      </c>
      <c r="P84" t="str">
        <f>"35.3300%"</f>
        <v>35.3300%</v>
      </c>
      <c r="Q84" t="str">
        <f>"35.5800%"</f>
        <v>35.5800%</v>
      </c>
      <c r="R84" t="str">
        <f>"26.2500%"</f>
        <v>26.2500%</v>
      </c>
      <c r="S84" t="str">
        <f>"29.8522%"</f>
        <v>29.8522%</v>
      </c>
      <c r="T84" t="s">
        <v>586</v>
      </c>
      <c r="U84" t="str">
        <f>"34.2980%"</f>
        <v>34.2980%</v>
      </c>
      <c r="V84" t="str">
        <f>"34.3260%"</f>
        <v>34.3260%</v>
      </c>
      <c r="W84" t="s">
        <v>587</v>
      </c>
      <c r="X84" t="s">
        <v>588</v>
      </c>
      <c r="Y84" t="s">
        <v>589</v>
      </c>
      <c r="Z84" t="str">
        <f>"14.27"</f>
        <v>14.27</v>
      </c>
    </row>
    <row r="85" spans="1:26" x14ac:dyDescent="0.3">
      <c r="A85" t="s">
        <v>397</v>
      </c>
      <c r="B85" t="s">
        <v>590</v>
      </c>
      <c r="C85" t="s">
        <v>591</v>
      </c>
      <c r="D85" t="s">
        <v>39</v>
      </c>
      <c r="E85" t="s">
        <v>30</v>
      </c>
      <c r="F85" t="str">
        <f t="shared" si="4"/>
        <v>110</v>
      </c>
      <c r="G85" t="str">
        <f>"MAML2 p.604_607del"</f>
        <v>MAML2 p.604_607del</v>
      </c>
      <c r="H85" t="str">
        <f>"NM_032427"</f>
        <v>NM_032427</v>
      </c>
      <c r="J85" t="s">
        <v>592</v>
      </c>
      <c r="K85" t="str">
        <f>"95%"</f>
        <v>95%</v>
      </c>
      <c r="L85" t="str">
        <f>"-0.10"</f>
        <v>-0.10</v>
      </c>
      <c r="N85" t="s">
        <v>222</v>
      </c>
      <c r="O85" t="s">
        <v>593</v>
      </c>
      <c r="P85" t="str">
        <f>"59.0100%"</f>
        <v>59.0100%</v>
      </c>
      <c r="Q85" t="str">
        <f>"61.2900%"</f>
        <v>61.2900%</v>
      </c>
      <c r="R85" t="str">
        <f>"49.2400%"</f>
        <v>49.2400%</v>
      </c>
      <c r="S85" t="str">
        <f>"83.9257%"</f>
        <v>83.9257%</v>
      </c>
      <c r="T85" t="s">
        <v>594</v>
      </c>
      <c r="U85" t="str">
        <f>"57.5370%"</f>
        <v>57.5370%</v>
      </c>
      <c r="V85" t="str">
        <f>"70.2080%"</f>
        <v>70.2080%</v>
      </c>
      <c r="W85" t="s">
        <v>595</v>
      </c>
      <c r="Z85" t="str">
        <f>""</f>
        <v/>
      </c>
    </row>
    <row r="86" spans="1:26" x14ac:dyDescent="0.3">
      <c r="A86" t="s">
        <v>83</v>
      </c>
      <c r="B86" t="s">
        <v>596</v>
      </c>
      <c r="C86" t="s">
        <v>28</v>
      </c>
      <c r="D86" t="s">
        <v>29</v>
      </c>
      <c r="E86" t="s">
        <v>30</v>
      </c>
      <c r="F86" t="str">
        <f t="shared" si="4"/>
        <v>110</v>
      </c>
      <c r="G86" t="str">
        <f>"FGFR4"</f>
        <v>FGFR4</v>
      </c>
      <c r="H86" t="str">
        <f>""</f>
        <v/>
      </c>
      <c r="J86" t="s">
        <v>597</v>
      </c>
      <c r="K86" t="str">
        <f>"45%"</f>
        <v>45%</v>
      </c>
      <c r="L86" t="str">
        <f>"-0.06"</f>
        <v>-0.06</v>
      </c>
      <c r="N86" t="s">
        <v>41</v>
      </c>
      <c r="O86" t="s">
        <v>598</v>
      </c>
      <c r="P86" t="str">
        <f>"32.1000%"</f>
        <v>32.1000%</v>
      </c>
      <c r="Q86" t="str">
        <f>"32.7000%"</f>
        <v>32.7000%</v>
      </c>
      <c r="R86" t="str">
        <f>"24.2300%"</f>
        <v>24.2300%</v>
      </c>
      <c r="S86" t="str">
        <f>"29.9521%"</f>
        <v>29.9521%</v>
      </c>
      <c r="T86" t="s">
        <v>599</v>
      </c>
      <c r="U86" t="str">
        <f>"34.1620%"</f>
        <v>34.1620%</v>
      </c>
      <c r="V86" t="str">
        <f>"34.0800%"</f>
        <v>34.0800%</v>
      </c>
      <c r="W86" t="s">
        <v>600</v>
      </c>
      <c r="X86" t="s">
        <v>601</v>
      </c>
      <c r="Y86" t="s">
        <v>602</v>
      </c>
      <c r="Z86" t="str">
        <f>"19.01"</f>
        <v>19.01</v>
      </c>
    </row>
    <row r="87" spans="1:26" x14ac:dyDescent="0.3">
      <c r="A87" t="s">
        <v>26</v>
      </c>
      <c r="B87" t="s">
        <v>603</v>
      </c>
      <c r="C87" t="s">
        <v>29</v>
      </c>
      <c r="D87" t="s">
        <v>28</v>
      </c>
      <c r="E87" t="s">
        <v>30</v>
      </c>
      <c r="F87" t="str">
        <f t="shared" si="4"/>
        <v>110</v>
      </c>
      <c r="G87" t="str">
        <f>"ERBB2 p.I655V"</f>
        <v>ERBB2 p.I655V</v>
      </c>
      <c r="H87" t="str">
        <f>"NM_004448"</f>
        <v>NM_004448</v>
      </c>
      <c r="J87" t="s">
        <v>604</v>
      </c>
      <c r="K87" t="str">
        <f>"35%"</f>
        <v>35%</v>
      </c>
      <c r="L87" t="str">
        <f>"-0.06"</f>
        <v>-0.06</v>
      </c>
      <c r="N87" t="s">
        <v>41</v>
      </c>
      <c r="O87" t="s">
        <v>605</v>
      </c>
      <c r="P87" t="str">
        <f>"19.6400%"</f>
        <v>19.6400%</v>
      </c>
      <c r="Q87" t="str">
        <f>"19.7600%"</f>
        <v>19.7600%</v>
      </c>
      <c r="R87" t="str">
        <f>"16.8500%"</f>
        <v>16.8500%</v>
      </c>
      <c r="S87" t="str">
        <f>"12.1406%"</f>
        <v>12.1406%</v>
      </c>
      <c r="T87" t="s">
        <v>606</v>
      </c>
      <c r="U87" t="str">
        <f>"17.8860%"</f>
        <v>17.8860%</v>
      </c>
      <c r="V87" t="str">
        <f>"17.8860%"</f>
        <v>17.8860%</v>
      </c>
      <c r="W87" t="s">
        <v>607</v>
      </c>
      <c r="X87" t="s">
        <v>608</v>
      </c>
      <c r="Y87" t="s">
        <v>609</v>
      </c>
      <c r="Z87" t="str">
        <f>"13.67"</f>
        <v>13.67</v>
      </c>
    </row>
    <row r="88" spans="1:26" x14ac:dyDescent="0.3">
      <c r="A88" t="s">
        <v>459</v>
      </c>
      <c r="B88" t="s">
        <v>610</v>
      </c>
      <c r="C88" t="s">
        <v>28</v>
      </c>
      <c r="D88" t="s">
        <v>29</v>
      </c>
      <c r="E88" t="s">
        <v>30</v>
      </c>
      <c r="F88" t="str">
        <f t="shared" si="4"/>
        <v>110</v>
      </c>
      <c r="G88" t="str">
        <f>"HNF1A p.S487N"</f>
        <v>HNF1A p.S487N</v>
      </c>
      <c r="H88" t="str">
        <f>"NM_000545"</f>
        <v>NM_000545</v>
      </c>
      <c r="J88" t="s">
        <v>611</v>
      </c>
      <c r="K88" t="str">
        <f>"53%"</f>
        <v>53%</v>
      </c>
      <c r="L88" t="str">
        <f>"-0.08"</f>
        <v>-0.08</v>
      </c>
      <c r="N88" t="s">
        <v>41</v>
      </c>
      <c r="O88" t="s">
        <v>612</v>
      </c>
      <c r="P88" t="str">
        <f>"34.6500%"</f>
        <v>34.6500%</v>
      </c>
      <c r="Q88" t="str">
        <f>"33.7800%"</f>
        <v>33.7800%</v>
      </c>
      <c r="R88" t="str">
        <f>"24.7300%"</f>
        <v>24.7300%</v>
      </c>
      <c r="S88" t="str">
        <f>"31.7692%"</f>
        <v>31.7692%</v>
      </c>
      <c r="T88" t="s">
        <v>613</v>
      </c>
      <c r="U88" t="str">
        <f>"33.2330%"</f>
        <v>33.2330%</v>
      </c>
      <c r="V88" t="str">
        <f>"33.2880%"</f>
        <v>33.2880%</v>
      </c>
      <c r="W88" t="s">
        <v>614</v>
      </c>
      <c r="X88" t="s">
        <v>615</v>
      </c>
      <c r="Y88" t="s">
        <v>616</v>
      </c>
      <c r="Z88" t="str">
        <f>"12.39"</f>
        <v>12.39</v>
      </c>
    </row>
    <row r="89" spans="1:26" x14ac:dyDescent="0.3">
      <c r="A89" t="s">
        <v>338</v>
      </c>
      <c r="B89" t="s">
        <v>617</v>
      </c>
      <c r="C89" t="s">
        <v>28</v>
      </c>
      <c r="D89" t="s">
        <v>29</v>
      </c>
      <c r="E89" t="s">
        <v>30</v>
      </c>
      <c r="F89" t="str">
        <f t="shared" si="4"/>
        <v>110</v>
      </c>
      <c r="G89" t="str">
        <f>"POLD1 p.R119H"</f>
        <v>POLD1 p.R119H</v>
      </c>
      <c r="H89" t="str">
        <f>"NM_001256849"</f>
        <v>NM_001256849</v>
      </c>
      <c r="J89" t="s">
        <v>618</v>
      </c>
      <c r="K89" t="str">
        <f>"43%"</f>
        <v>43%</v>
      </c>
      <c r="L89" t="str">
        <f>"0.10"</f>
        <v>0.10</v>
      </c>
      <c r="N89" t="s">
        <v>41</v>
      </c>
      <c r="O89" t="s">
        <v>619</v>
      </c>
      <c r="P89" t="str">
        <f>"11.5400%"</f>
        <v>11.5400%</v>
      </c>
      <c r="Q89" t="str">
        <f>"10.9800%"</f>
        <v>10.9800%</v>
      </c>
      <c r="R89" t="str">
        <f>"14.8000%"</f>
        <v>14.8000%</v>
      </c>
      <c r="S89" t="str">
        <f>"18.8299%"</f>
        <v>18.8299%</v>
      </c>
      <c r="T89" t="s">
        <v>620</v>
      </c>
      <c r="U89" t="str">
        <f>"10.0490%"</f>
        <v>10.0490%</v>
      </c>
      <c r="V89" t="str">
        <f>"10.0490%"</f>
        <v>10.0490%</v>
      </c>
      <c r="W89" t="s">
        <v>621</v>
      </c>
      <c r="X89" t="s">
        <v>622</v>
      </c>
      <c r="Y89" t="s">
        <v>623</v>
      </c>
      <c r="Z89" t="str">
        <f>"9.914"</f>
        <v>9.914</v>
      </c>
    </row>
    <row r="90" spans="1:26" x14ac:dyDescent="0.3">
      <c r="A90" t="s">
        <v>484</v>
      </c>
      <c r="B90" t="s">
        <v>624</v>
      </c>
      <c r="C90" t="s">
        <v>39</v>
      </c>
      <c r="D90" t="s">
        <v>38</v>
      </c>
      <c r="E90" t="s">
        <v>30</v>
      </c>
      <c r="F90" t="str">
        <f t="shared" si="4"/>
        <v>110</v>
      </c>
      <c r="G90" t="str">
        <f>"BCORL1 p.F111L"</f>
        <v>BCORL1 p.F111L</v>
      </c>
      <c r="H90" t="str">
        <f>"NM_021946"</f>
        <v>NM_021946</v>
      </c>
      <c r="J90" t="s">
        <v>625</v>
      </c>
      <c r="K90" t="str">
        <f>"100%"</f>
        <v>100%</v>
      </c>
      <c r="L90" t="str">
        <f>"0.01"</f>
        <v>0.01</v>
      </c>
      <c r="N90" t="s">
        <v>41</v>
      </c>
      <c r="O90" t="s">
        <v>626</v>
      </c>
      <c r="P90" t="str">
        <f>"100.0000%"</f>
        <v>100.0000%</v>
      </c>
      <c r="Q90" t="str">
        <f>"100.0000%"</f>
        <v>100.0000%</v>
      </c>
      <c r="R90" t="str">
        <f>""</f>
        <v/>
      </c>
      <c r="S90" t="str">
        <f>"100.0000%"</f>
        <v>100.0000%</v>
      </c>
      <c r="T90" t="s">
        <v>627</v>
      </c>
      <c r="U90" t="str">
        <f>"99.8270%"</f>
        <v>99.8270%</v>
      </c>
      <c r="V90" t="str">
        <f>"99.8960%"</f>
        <v>99.8960%</v>
      </c>
      <c r="W90" t="s">
        <v>628</v>
      </c>
      <c r="X90" t="s">
        <v>629</v>
      </c>
      <c r="Z90" t="str">
        <f>"4.265"</f>
        <v>4.265</v>
      </c>
    </row>
    <row r="91" spans="1:26" x14ac:dyDescent="0.3">
      <c r="A91" t="s">
        <v>338</v>
      </c>
      <c r="B91" t="s">
        <v>630</v>
      </c>
      <c r="C91" t="s">
        <v>39</v>
      </c>
      <c r="D91" t="s">
        <v>28</v>
      </c>
      <c r="E91" t="s">
        <v>30</v>
      </c>
      <c r="F91" t="str">
        <f t="shared" si="4"/>
        <v>110</v>
      </c>
      <c r="G91" t="str">
        <f>"ERCC2 p.K751Q"</f>
        <v>ERCC2 p.K751Q</v>
      </c>
      <c r="H91" t="str">
        <f>"NM_000400"</f>
        <v>NM_000400</v>
      </c>
      <c r="J91" t="s">
        <v>631</v>
      </c>
      <c r="K91" t="str">
        <f>"51%"</f>
        <v>51%</v>
      </c>
      <c r="L91" t="str">
        <f>"0.10"</f>
        <v>0.10</v>
      </c>
      <c r="N91" t="s">
        <v>41</v>
      </c>
      <c r="O91" t="s">
        <v>632</v>
      </c>
      <c r="P91" t="str">
        <f>"33.0800%"</f>
        <v>33.0800%</v>
      </c>
      <c r="Q91" t="str">
        <f>"32.6200%"</f>
        <v>32.6200%</v>
      </c>
      <c r="R91" t="str">
        <f>"32.6000%"</f>
        <v>32.6000%</v>
      </c>
      <c r="S91" t="str">
        <f>"23.6621%"</f>
        <v>23.6621%</v>
      </c>
      <c r="T91" t="s">
        <v>633</v>
      </c>
      <c r="U91" t="str">
        <f>"29.4920%"</f>
        <v>29.4920%</v>
      </c>
      <c r="V91" t="str">
        <f>"29.4920%"</f>
        <v>29.4920%</v>
      </c>
      <c r="W91" t="s">
        <v>634</v>
      </c>
      <c r="X91" t="s">
        <v>635</v>
      </c>
      <c r="Y91" t="s">
        <v>636</v>
      </c>
      <c r="Z91" t="str">
        <f>"1.232"</f>
        <v>1.232</v>
      </c>
    </row>
    <row r="92" spans="1:26" x14ac:dyDescent="0.3">
      <c r="A92" t="s">
        <v>83</v>
      </c>
      <c r="B92" t="s">
        <v>637</v>
      </c>
      <c r="C92" t="s">
        <v>28</v>
      </c>
      <c r="D92" t="s">
        <v>638</v>
      </c>
      <c r="E92" t="s">
        <v>30</v>
      </c>
      <c r="F92" t="str">
        <f>"111"</f>
        <v>111</v>
      </c>
      <c r="G92" t="str">
        <f>"MSH3 p.A60delinsAAAP"</f>
        <v>MSH3 p.A60delinsAAAP</v>
      </c>
      <c r="H92" t="str">
        <f>"NM_002439"</f>
        <v>NM_002439</v>
      </c>
      <c r="J92" t="s">
        <v>639</v>
      </c>
      <c r="K92" t="str">
        <f>"42%"</f>
        <v>42%</v>
      </c>
      <c r="L92" t="str">
        <f>"-0.06"</f>
        <v>-0.06</v>
      </c>
      <c r="N92" t="s">
        <v>640</v>
      </c>
      <c r="O92" t="s">
        <v>641</v>
      </c>
      <c r="P92" t="str">
        <f>"4.2700%"</f>
        <v>4.2700%</v>
      </c>
      <c r="Q92" t="str">
        <f>"4.4200%"</f>
        <v>4.4200%</v>
      </c>
      <c r="R92" t="str">
        <f>"7.2700%"</f>
        <v>7.2700%</v>
      </c>
      <c r="S92" t="str">
        <f>""</f>
        <v/>
      </c>
      <c r="T92" t="s">
        <v>642</v>
      </c>
      <c r="U92" t="str">
        <f>"10.2950%"</f>
        <v>10.2950%</v>
      </c>
      <c r="V92" t="str">
        <f>"10.3770%"</f>
        <v>10.3770%</v>
      </c>
      <c r="W92" t="s">
        <v>643</v>
      </c>
      <c r="Y92" t="s">
        <v>644</v>
      </c>
      <c r="Z92" t="str">
        <f>""</f>
        <v/>
      </c>
    </row>
    <row r="93" spans="1:26" x14ac:dyDescent="0.3">
      <c r="A93" t="s">
        <v>83</v>
      </c>
      <c r="B93" t="s">
        <v>645</v>
      </c>
      <c r="C93" t="s">
        <v>646</v>
      </c>
      <c r="D93" t="s">
        <v>38</v>
      </c>
      <c r="E93" t="s">
        <v>526</v>
      </c>
      <c r="F93" t="str">
        <f>"100"</f>
        <v>100</v>
      </c>
      <c r="G93" t="str">
        <f>"TSLP"</f>
        <v>TSLP</v>
      </c>
      <c r="H93" t="str">
        <f>""</f>
        <v/>
      </c>
      <c r="J93" t="s">
        <v>647</v>
      </c>
      <c r="K93" t="str">
        <f>"15%"</f>
        <v>15%</v>
      </c>
      <c r="L93" t="str">
        <f>"-0.06"</f>
        <v>-0.06</v>
      </c>
      <c r="M93" t="s">
        <v>648</v>
      </c>
      <c r="P93" t="str">
        <f>""</f>
        <v/>
      </c>
      <c r="Q93" t="str">
        <f>""</f>
        <v/>
      </c>
      <c r="R93" t="str">
        <f>""</f>
        <v/>
      </c>
      <c r="S93" t="str">
        <f>""</f>
        <v/>
      </c>
      <c r="T93" t="s">
        <v>649</v>
      </c>
      <c r="U93" t="str">
        <f>"48.5250%"</f>
        <v>48.5250%</v>
      </c>
      <c r="V93" t="str">
        <f>"44.6200%"</f>
        <v>44.6200%</v>
      </c>
      <c r="W93" t="s">
        <v>650</v>
      </c>
      <c r="Z93" t="str">
        <f>""</f>
        <v/>
      </c>
    </row>
    <row r="94" spans="1:26" x14ac:dyDescent="0.3">
      <c r="A94" t="s">
        <v>651</v>
      </c>
      <c r="B94" t="s">
        <v>652</v>
      </c>
      <c r="C94" t="s">
        <v>28</v>
      </c>
      <c r="D94" t="s">
        <v>29</v>
      </c>
      <c r="E94" t="s">
        <v>30</v>
      </c>
      <c r="F94" t="str">
        <f>"110"</f>
        <v>110</v>
      </c>
      <c r="G94" t="str">
        <f>"FAM149B1 p.G571R"</f>
        <v>FAM149B1 p.G571R</v>
      </c>
      <c r="H94" t="str">
        <f>"NM_173348"</f>
        <v>NM_173348</v>
      </c>
      <c r="J94" t="s">
        <v>653</v>
      </c>
      <c r="K94" t="str">
        <f>"48%"</f>
        <v>48%</v>
      </c>
      <c r="L94" t="str">
        <f>"-0.09"</f>
        <v>-0.09</v>
      </c>
      <c r="N94" t="s">
        <v>41</v>
      </c>
      <c r="O94" t="s">
        <v>654</v>
      </c>
      <c r="P94" t="str">
        <f>"13.1100%"</f>
        <v>13.1100%</v>
      </c>
      <c r="Q94" t="str">
        <f>"10.3300%"</f>
        <v>10.3300%</v>
      </c>
      <c r="R94" t="str">
        <f>""</f>
        <v/>
      </c>
      <c r="S94" t="str">
        <f>"24.0016%"</f>
        <v>24.0016%</v>
      </c>
      <c r="T94" t="s">
        <v>655</v>
      </c>
      <c r="U94" t="str">
        <f>"11.2230%"</f>
        <v>11.2230%</v>
      </c>
      <c r="V94" t="str">
        <f>"8.3830%"</f>
        <v>8.3830%</v>
      </c>
      <c r="W94" t="s">
        <v>656</v>
      </c>
      <c r="Z94" t="str">
        <f>"5.413"</f>
        <v>5.413</v>
      </c>
    </row>
    <row r="95" spans="1:26" x14ac:dyDescent="0.3">
      <c r="A95" t="s">
        <v>83</v>
      </c>
      <c r="B95" t="s">
        <v>657</v>
      </c>
      <c r="C95" t="s">
        <v>28</v>
      </c>
      <c r="D95" t="s">
        <v>38</v>
      </c>
      <c r="E95" t="s">
        <v>30</v>
      </c>
      <c r="F95" t="str">
        <f>"110"</f>
        <v>110</v>
      </c>
      <c r="G95" t="str">
        <f>"FLT4 p.H890Q"</f>
        <v>FLT4 p.H890Q</v>
      </c>
      <c r="H95" t="str">
        <f>"NM_002020"</f>
        <v>NM_002020</v>
      </c>
      <c r="J95" t="s">
        <v>658</v>
      </c>
      <c r="K95" t="str">
        <f>"100%"</f>
        <v>100%</v>
      </c>
      <c r="L95" t="str">
        <f>"-0.06"</f>
        <v>-0.06</v>
      </c>
      <c r="N95" t="s">
        <v>41</v>
      </c>
      <c r="O95" t="s">
        <v>659</v>
      </c>
      <c r="P95" t="str">
        <f>"62.4700%"</f>
        <v>62.4700%</v>
      </c>
      <c r="Q95" t="str">
        <f>"63.0100%"</f>
        <v>63.0100%</v>
      </c>
      <c r="R95" t="str">
        <f>"59.7000%"</f>
        <v>59.7000%</v>
      </c>
      <c r="S95" t="str">
        <f>"58.2668%"</f>
        <v>58.2668%</v>
      </c>
      <c r="T95" t="s">
        <v>660</v>
      </c>
      <c r="U95" t="str">
        <f>"62.5340%"</f>
        <v>62.5340%</v>
      </c>
      <c r="V95" t="str">
        <f>"62.5610%"</f>
        <v>62.5610%</v>
      </c>
      <c r="W95" t="s">
        <v>661</v>
      </c>
      <c r="X95" t="s">
        <v>662</v>
      </c>
      <c r="Y95" t="s">
        <v>663</v>
      </c>
      <c r="Z95" t="str">
        <f>"16.09"</f>
        <v>16.09</v>
      </c>
    </row>
    <row r="96" spans="1:26" x14ac:dyDescent="0.3">
      <c r="A96" t="s">
        <v>83</v>
      </c>
      <c r="B96" t="s">
        <v>664</v>
      </c>
      <c r="C96" t="s">
        <v>29</v>
      </c>
      <c r="D96" t="s">
        <v>28</v>
      </c>
      <c r="E96" t="s">
        <v>30</v>
      </c>
      <c r="F96" t="str">
        <f>"110"</f>
        <v>110</v>
      </c>
      <c r="G96" t="str">
        <f>"MSH3 p.I79V"</f>
        <v>MSH3 p.I79V</v>
      </c>
      <c r="H96" t="str">
        <f>"NM_002439"</f>
        <v>NM_002439</v>
      </c>
      <c r="J96" t="s">
        <v>665</v>
      </c>
      <c r="K96" t="str">
        <f>"51%"</f>
        <v>51%</v>
      </c>
      <c r="L96" t="str">
        <f>"-0.06"</f>
        <v>-0.06</v>
      </c>
      <c r="N96" t="s">
        <v>41</v>
      </c>
      <c r="O96" t="s">
        <v>666</v>
      </c>
      <c r="P96" t="str">
        <f>"90.2900%"</f>
        <v>90.2900%</v>
      </c>
      <c r="Q96" t="str">
        <f>"85.7300%"</f>
        <v>85.7300%</v>
      </c>
      <c r="R96" t="str">
        <f>""</f>
        <v/>
      </c>
      <c r="S96" t="str">
        <f>"76.8570%"</f>
        <v>76.8570%</v>
      </c>
      <c r="T96" t="s">
        <v>667</v>
      </c>
      <c r="U96" t="str">
        <f>"75.7510%"</f>
        <v>75.7510%</v>
      </c>
      <c r="V96" t="str">
        <f>"75.8060%"</f>
        <v>75.8060%</v>
      </c>
      <c r="W96" t="s">
        <v>668</v>
      </c>
      <c r="X96" t="s">
        <v>669</v>
      </c>
      <c r="Y96" t="s">
        <v>670</v>
      </c>
      <c r="Z96" t="str">
        <f>"8.959"</f>
        <v>8.959</v>
      </c>
    </row>
    <row r="97" spans="1:26" x14ac:dyDescent="0.3">
      <c r="A97" t="s">
        <v>484</v>
      </c>
      <c r="B97" t="s">
        <v>671</v>
      </c>
      <c r="C97" t="s">
        <v>29</v>
      </c>
      <c r="D97" t="s">
        <v>28</v>
      </c>
      <c r="E97" t="s">
        <v>30</v>
      </c>
      <c r="F97" t="str">
        <f>"110"</f>
        <v>110</v>
      </c>
      <c r="G97" t="str">
        <f>"RPL10 p.N202S"</f>
        <v>RPL10 p.N202S</v>
      </c>
      <c r="H97" t="str">
        <f>"NM_001303625"</f>
        <v>NM_001303625</v>
      </c>
      <c r="J97" t="s">
        <v>672</v>
      </c>
      <c r="K97" t="str">
        <f>"93%"</f>
        <v>93%</v>
      </c>
      <c r="L97" t="str">
        <f>"0.01"</f>
        <v>0.01</v>
      </c>
      <c r="N97" t="s">
        <v>41</v>
      </c>
      <c r="O97" t="s">
        <v>673</v>
      </c>
      <c r="P97" t="str">
        <f>"82.6100%"</f>
        <v>82.6100%</v>
      </c>
      <c r="Q97" t="str">
        <f>"82.2900%"</f>
        <v>82.2900%</v>
      </c>
      <c r="R97" t="str">
        <f>""</f>
        <v/>
      </c>
      <c r="S97" t="str">
        <f>"66.8874%"</f>
        <v>66.8874%</v>
      </c>
      <c r="T97" t="s">
        <v>674</v>
      </c>
      <c r="U97" t="str">
        <f>"84.4340%"</f>
        <v>84.4340%</v>
      </c>
      <c r="V97" t="str">
        <f>"84.5380%"</f>
        <v>84.5380%</v>
      </c>
      <c r="W97" t="s">
        <v>675</v>
      </c>
      <c r="X97" t="s">
        <v>676</v>
      </c>
      <c r="Y97" t="s">
        <v>677</v>
      </c>
      <c r="Z97" t="str">
        <f>"8.909"</f>
        <v>8.909</v>
      </c>
    </row>
    <row r="98" spans="1:26" x14ac:dyDescent="0.3">
      <c r="A98" t="s">
        <v>131</v>
      </c>
      <c r="B98" t="s">
        <v>678</v>
      </c>
      <c r="C98" t="s">
        <v>679</v>
      </c>
      <c r="D98" t="s">
        <v>39</v>
      </c>
      <c r="E98" t="s">
        <v>30</v>
      </c>
      <c r="F98" t="str">
        <f>"100"</f>
        <v>100</v>
      </c>
      <c r="G98" t="str">
        <f>"NCOA3 p.1247_1250del"</f>
        <v>NCOA3 p.1247_1250del</v>
      </c>
      <c r="H98" t="str">
        <f>"NM_181659"</f>
        <v>NM_181659</v>
      </c>
      <c r="J98" t="s">
        <v>680</v>
      </c>
      <c r="K98" t="str">
        <f>"45%"</f>
        <v>45%</v>
      </c>
      <c r="L98" t="str">
        <f>"-0.02"</f>
        <v>-0.02</v>
      </c>
      <c r="N98" t="s">
        <v>222</v>
      </c>
      <c r="O98" t="s">
        <v>681</v>
      </c>
      <c r="P98" t="str">
        <f>"10.0200%"</f>
        <v>10.0200%</v>
      </c>
      <c r="Q98" t="str">
        <f>"9.4400%"</f>
        <v>9.4400%</v>
      </c>
      <c r="R98" t="str">
        <f>"18.0300%"</f>
        <v>18.0300%</v>
      </c>
      <c r="S98" t="str">
        <f>""</f>
        <v/>
      </c>
      <c r="T98" t="s">
        <v>682</v>
      </c>
      <c r="U98" t="str">
        <f>"9.6940%"</f>
        <v>9.6940%</v>
      </c>
      <c r="V98" t="str">
        <f>"9.7490%"</f>
        <v>9.7490%</v>
      </c>
      <c r="W98" t="s">
        <v>683</v>
      </c>
      <c r="X98" t="s">
        <v>684</v>
      </c>
      <c r="Z98" t="str">
        <f>""</f>
        <v/>
      </c>
    </row>
    <row r="99" spans="1:26" x14ac:dyDescent="0.3">
      <c r="A99" t="s">
        <v>338</v>
      </c>
      <c r="B99" t="s">
        <v>685</v>
      </c>
      <c r="C99" t="s">
        <v>38</v>
      </c>
      <c r="D99" t="s">
        <v>39</v>
      </c>
      <c r="E99" t="s">
        <v>30</v>
      </c>
      <c r="F99" t="str">
        <f>"110"</f>
        <v>110</v>
      </c>
      <c r="G99" t="str">
        <f>"ERCC2 p.D312N"</f>
        <v>ERCC2 p.D312N</v>
      </c>
      <c r="H99" t="str">
        <f>"NM_000400"</f>
        <v>NM_000400</v>
      </c>
      <c r="J99" t="s">
        <v>686</v>
      </c>
      <c r="K99" t="str">
        <f>"100%"</f>
        <v>100%</v>
      </c>
      <c r="L99" t="str">
        <f>"0.10"</f>
        <v>0.10</v>
      </c>
      <c r="N99" t="s">
        <v>41</v>
      </c>
      <c r="O99" t="s">
        <v>687</v>
      </c>
      <c r="P99" t="str">
        <f>"37.8800%"</f>
        <v>37.8800%</v>
      </c>
      <c r="Q99" t="str">
        <f>"29.0700%"</f>
        <v>29.0700%</v>
      </c>
      <c r="R99" t="str">
        <f>"24.3800%"</f>
        <v>24.3800%</v>
      </c>
      <c r="S99" t="str">
        <f>"19.4489%"</f>
        <v>19.4489%</v>
      </c>
      <c r="T99" t="s">
        <v>688</v>
      </c>
      <c r="U99" t="str">
        <f>"27.0340%"</f>
        <v>27.0340%</v>
      </c>
      <c r="V99" t="str">
        <f>"27.0620%"</f>
        <v>27.0620%</v>
      </c>
      <c r="W99" t="s">
        <v>689</v>
      </c>
      <c r="X99" t="s">
        <v>690</v>
      </c>
      <c r="Y99" t="s">
        <v>691</v>
      </c>
      <c r="Z99" t="str">
        <f>"20.0"</f>
        <v>20.0</v>
      </c>
    </row>
    <row r="100" spans="1:26" x14ac:dyDescent="0.3">
      <c r="A100" t="s">
        <v>139</v>
      </c>
      <c r="B100" t="s">
        <v>692</v>
      </c>
      <c r="C100" t="s">
        <v>38</v>
      </c>
      <c r="D100" t="s">
        <v>28</v>
      </c>
      <c r="E100" t="s">
        <v>30</v>
      </c>
      <c r="F100" t="str">
        <f>"010"</f>
        <v>010</v>
      </c>
      <c r="G100" t="str">
        <f>"H3F3A p.A115G"</f>
        <v>H3F3A p.A115G</v>
      </c>
      <c r="H100" t="str">
        <f>"NM_002107"</f>
        <v>NM_002107</v>
      </c>
      <c r="J100" t="s">
        <v>693</v>
      </c>
      <c r="K100" t="str">
        <f>"26%"</f>
        <v>26%</v>
      </c>
      <c r="L100" t="str">
        <f>"0.06"</f>
        <v>0.06</v>
      </c>
      <c r="N100" t="s">
        <v>41</v>
      </c>
      <c r="O100" t="s">
        <v>694</v>
      </c>
      <c r="P100" t="str">
        <f>"1.0500%"</f>
        <v>1.0500%</v>
      </c>
      <c r="Q100" t="str">
        <f>"0.4400%"</f>
        <v>0.4400%</v>
      </c>
      <c r="R100" t="str">
        <f>""</f>
        <v/>
      </c>
      <c r="S100" t="str">
        <f>""</f>
        <v/>
      </c>
      <c r="T100" t="s">
        <v>695</v>
      </c>
      <c r="U100" t="str">
        <f>"3.0040%"</f>
        <v>3.0040%</v>
      </c>
      <c r="V100" t="str">
        <f>"2.2120%"</f>
        <v>2.2120%</v>
      </c>
      <c r="W100" t="s">
        <v>696</v>
      </c>
      <c r="X100" t="s">
        <v>697</v>
      </c>
      <c r="Z100" t="str">
        <f>"15.66"</f>
        <v>15.66</v>
      </c>
    </row>
    <row r="101" spans="1:26" x14ac:dyDescent="0.3">
      <c r="A101" t="s">
        <v>437</v>
      </c>
      <c r="B101" t="s">
        <v>698</v>
      </c>
      <c r="C101" t="s">
        <v>699</v>
      </c>
      <c r="D101" t="s">
        <v>28</v>
      </c>
      <c r="E101" t="s">
        <v>30</v>
      </c>
      <c r="F101" t="str">
        <f>"100"</f>
        <v>100</v>
      </c>
      <c r="G101" t="str">
        <f>"LZTR1 p.216_217del"</f>
        <v>LZTR1 p.216_217del</v>
      </c>
      <c r="H101" t="str">
        <f>"NM_006767"</f>
        <v>NM_006767</v>
      </c>
      <c r="J101" t="s">
        <v>700</v>
      </c>
      <c r="K101" t="str">
        <f>"53%"</f>
        <v>53%</v>
      </c>
      <c r="L101" t="str">
        <f>"0.18"</f>
        <v>0.18</v>
      </c>
      <c r="N101" t="s">
        <v>222</v>
      </c>
      <c r="O101" t="s">
        <v>701</v>
      </c>
      <c r="P101" t="str">
        <f>"0.0100%"</f>
        <v>0.0100%</v>
      </c>
      <c r="Q101" t="str">
        <f>"0.0200%"</f>
        <v>0.0200%</v>
      </c>
      <c r="R101" t="str">
        <f>""</f>
        <v/>
      </c>
      <c r="S101" t="str">
        <f>"17.9113%"</f>
        <v>17.9113%</v>
      </c>
      <c r="T101" t="s">
        <v>702</v>
      </c>
      <c r="U101" t="str">
        <f>"22.3650%"</f>
        <v>22.3650%</v>
      </c>
      <c r="V101" t="str">
        <f>"6.3350%"</f>
        <v>6.3350%</v>
      </c>
      <c r="W101" t="s">
        <v>703</v>
      </c>
      <c r="X101" t="s">
        <v>704</v>
      </c>
      <c r="Y101" t="s">
        <v>705</v>
      </c>
      <c r="Z101" t="str">
        <f>""</f>
        <v/>
      </c>
    </row>
    <row r="102" spans="1:26" x14ac:dyDescent="0.3">
      <c r="A102" t="s">
        <v>241</v>
      </c>
      <c r="B102" t="s">
        <v>706</v>
      </c>
      <c r="C102" t="s">
        <v>707</v>
      </c>
      <c r="D102" t="s">
        <v>39</v>
      </c>
      <c r="E102" t="s">
        <v>30</v>
      </c>
      <c r="F102" t="str">
        <f>"100"</f>
        <v>100</v>
      </c>
      <c r="G102" t="str">
        <f>"PMS1 p.K160fs"</f>
        <v>PMS1 p.K160fs</v>
      </c>
      <c r="H102" t="str">
        <f>"NM_001321049"</f>
        <v>NM_001321049</v>
      </c>
      <c r="J102" t="s">
        <v>708</v>
      </c>
      <c r="K102" t="str">
        <f>"9%"</f>
        <v>9%</v>
      </c>
      <c r="L102" t="str">
        <f>"0.00"</f>
        <v>0.00</v>
      </c>
      <c r="N102" t="s">
        <v>709</v>
      </c>
      <c r="O102" t="s">
        <v>710</v>
      </c>
      <c r="P102" t="str">
        <f>"5.9900%"</f>
        <v>5.9900%</v>
      </c>
      <c r="Q102" t="str">
        <f>"2.5000%"</f>
        <v>2.5000%</v>
      </c>
      <c r="R102" t="str">
        <f>""</f>
        <v/>
      </c>
      <c r="S102" t="str">
        <f>""</f>
        <v/>
      </c>
      <c r="T102" t="s">
        <v>711</v>
      </c>
      <c r="U102" t="str">
        <f>"38.5580%"</f>
        <v>38.5580%</v>
      </c>
      <c r="V102" t="str">
        <f>"5.7070%"</f>
        <v>5.7070%</v>
      </c>
      <c r="W102" t="s">
        <v>712</v>
      </c>
      <c r="Z102" t="str">
        <f>""</f>
        <v/>
      </c>
    </row>
    <row r="103" spans="1:26" x14ac:dyDescent="0.3">
      <c r="A103" t="s">
        <v>338</v>
      </c>
      <c r="B103" t="s">
        <v>713</v>
      </c>
      <c r="C103" t="s">
        <v>646</v>
      </c>
      <c r="D103" t="s">
        <v>38</v>
      </c>
      <c r="E103" t="s">
        <v>30</v>
      </c>
      <c r="F103" t="str">
        <f>"001"</f>
        <v>001</v>
      </c>
      <c r="G103" t="str">
        <f>"CNOT3 p.P243fs"</f>
        <v>CNOT3 p.P243fs</v>
      </c>
      <c r="H103" t="str">
        <f>"NM_014516"</f>
        <v>NM_014516</v>
      </c>
      <c r="J103" t="s">
        <v>714</v>
      </c>
      <c r="K103" t="str">
        <f>"9%"</f>
        <v>9%</v>
      </c>
      <c r="L103" t="str">
        <f>"0.10"</f>
        <v>0.10</v>
      </c>
      <c r="N103" t="s">
        <v>709</v>
      </c>
      <c r="O103" t="s">
        <v>715</v>
      </c>
      <c r="P103" t="str">
        <f>""</f>
        <v/>
      </c>
      <c r="Q103" t="str">
        <f>"0.0025%"</f>
        <v>0.0025%</v>
      </c>
      <c r="R103" t="str">
        <f>""</f>
        <v/>
      </c>
      <c r="S103" t="str">
        <f>""</f>
        <v/>
      </c>
      <c r="U103" t="str">
        <f>"14.7460%"</f>
        <v>14.7460%</v>
      </c>
      <c r="V103" t="str">
        <f>"14.7460%"</f>
        <v>14.7460%</v>
      </c>
      <c r="W103" t="s">
        <v>716</v>
      </c>
      <c r="X103" t="s">
        <v>717</v>
      </c>
      <c r="Z103" t="str">
        <f>""</f>
        <v/>
      </c>
    </row>
    <row r="104" spans="1:26" x14ac:dyDescent="0.3">
      <c r="A104" t="s">
        <v>241</v>
      </c>
      <c r="B104" t="s">
        <v>718</v>
      </c>
      <c r="C104" t="s">
        <v>39</v>
      </c>
      <c r="D104" t="s">
        <v>707</v>
      </c>
      <c r="E104" t="s">
        <v>719</v>
      </c>
      <c r="F104" t="str">
        <f>"100"</f>
        <v>100</v>
      </c>
      <c r="G104" t="str">
        <f>"STAT4 c.129-2-&gt;T"</f>
        <v>STAT4 c.129-2-&gt;T</v>
      </c>
      <c r="H104" t="str">
        <f>"NM_003151"</f>
        <v>NM_003151</v>
      </c>
      <c r="J104" t="s">
        <v>720</v>
      </c>
      <c r="K104" t="str">
        <f>"13%"</f>
        <v>13%</v>
      </c>
      <c r="L104" t="str">
        <f>"0.00"</f>
        <v>0.00</v>
      </c>
      <c r="M104" t="s">
        <v>721</v>
      </c>
      <c r="P104" t="str">
        <f>"8.7100%"</f>
        <v>8.7100%</v>
      </c>
      <c r="Q104" t="str">
        <f>"11.5900%"</f>
        <v>11.5900%</v>
      </c>
      <c r="R104" t="str">
        <f>"3.9600%"</f>
        <v>3.9600%</v>
      </c>
      <c r="S104" t="str">
        <f>""</f>
        <v/>
      </c>
      <c r="T104" t="s">
        <v>722</v>
      </c>
      <c r="U104" t="str">
        <f>"49.0990%"</f>
        <v>49.0990%</v>
      </c>
      <c r="V104" t="str">
        <f>"17.6680%"</f>
        <v>17.6680%</v>
      </c>
      <c r="W104" t="s">
        <v>723</v>
      </c>
      <c r="Z104" t="str">
        <f>""</f>
        <v/>
      </c>
    </row>
    <row r="105" spans="1:26" x14ac:dyDescent="0.3">
      <c r="A105" t="s">
        <v>484</v>
      </c>
      <c r="B105" t="s">
        <v>724</v>
      </c>
      <c r="C105" t="s">
        <v>29</v>
      </c>
      <c r="D105" t="s">
        <v>39</v>
      </c>
      <c r="E105" t="s">
        <v>719</v>
      </c>
      <c r="F105" t="str">
        <f>"100"</f>
        <v>100</v>
      </c>
      <c r="G105" t="str">
        <f>"STAG2 c.1018-2A&gt;T"</f>
        <v>STAG2 c.1018-2A&gt;T</v>
      </c>
      <c r="H105" t="str">
        <f>"NM_001042751"</f>
        <v>NM_001042751</v>
      </c>
      <c r="J105" t="s">
        <v>725</v>
      </c>
      <c r="K105" t="str">
        <f>"9%"</f>
        <v>9%</v>
      </c>
      <c r="L105" t="str">
        <f>"0.01"</f>
        <v>0.01</v>
      </c>
      <c r="M105" t="s">
        <v>726</v>
      </c>
      <c r="P105" t="str">
        <f>""</f>
        <v/>
      </c>
      <c r="Q105" t="str">
        <f>"0.0500%"</f>
        <v>0.0500%</v>
      </c>
      <c r="R105" t="str">
        <f>""</f>
        <v/>
      </c>
      <c r="S105" t="str">
        <f>""</f>
        <v/>
      </c>
      <c r="U105" t="str">
        <f>"18.1940%"</f>
        <v>18.1940%</v>
      </c>
      <c r="V105" t="str">
        <f>""</f>
        <v/>
      </c>
      <c r="W105" t="s">
        <v>727</v>
      </c>
      <c r="Z105" t="str">
        <f>"16.64"</f>
        <v>16.64</v>
      </c>
    </row>
    <row r="106" spans="1:26" x14ac:dyDescent="0.3">
      <c r="A106" t="s">
        <v>241</v>
      </c>
      <c r="B106" t="s">
        <v>728</v>
      </c>
      <c r="C106" t="s">
        <v>28</v>
      </c>
      <c r="D106" t="s">
        <v>39</v>
      </c>
      <c r="E106" t="s">
        <v>30</v>
      </c>
      <c r="F106" t="str">
        <f>"110"</f>
        <v>110</v>
      </c>
      <c r="G106" t="str">
        <f>"NCKAP5 p.P1260Q"</f>
        <v>NCKAP5 p.P1260Q</v>
      </c>
      <c r="H106" t="str">
        <f>"NM_207363"</f>
        <v>NM_207363</v>
      </c>
      <c r="J106" t="s">
        <v>729</v>
      </c>
      <c r="K106" t="str">
        <f>"51%"</f>
        <v>51%</v>
      </c>
      <c r="L106" t="str">
        <f>"0.00"</f>
        <v>0.00</v>
      </c>
      <c r="N106" t="s">
        <v>41</v>
      </c>
      <c r="O106" t="s">
        <v>730</v>
      </c>
      <c r="P106" t="str">
        <f>"13.9300%"</f>
        <v>13.9300%</v>
      </c>
      <c r="Q106" t="str">
        <f>"13.9400%"</f>
        <v>13.9400%</v>
      </c>
      <c r="R106" t="str">
        <f>"16.8300%"</f>
        <v>16.8300%</v>
      </c>
      <c r="S106" t="str">
        <f>"12.1006%"</f>
        <v>12.1006%</v>
      </c>
      <c r="T106" t="s">
        <v>731</v>
      </c>
      <c r="U106" t="str">
        <f>"14.9370%"</f>
        <v>14.9370%</v>
      </c>
      <c r="V106" t="str">
        <f>"14.9370%"</f>
        <v>14.9370%</v>
      </c>
      <c r="W106" t="s">
        <v>732</v>
      </c>
      <c r="Z106" t="str">
        <f>"17.72"</f>
        <v>17.72</v>
      </c>
    </row>
    <row r="107" spans="1:26" x14ac:dyDescent="0.3">
      <c r="A107" t="s">
        <v>83</v>
      </c>
      <c r="B107" t="s">
        <v>733</v>
      </c>
      <c r="C107" t="s">
        <v>734</v>
      </c>
      <c r="D107" t="s">
        <v>39</v>
      </c>
      <c r="E107" t="s">
        <v>30</v>
      </c>
      <c r="F107" t="str">
        <f>"101"</f>
        <v>101</v>
      </c>
      <c r="G107" t="str">
        <f>"PIK3R1 p.566_567del"</f>
        <v>PIK3R1 p.566_567del</v>
      </c>
      <c r="H107" t="str">
        <f>"NM_181523"</f>
        <v>NM_181523</v>
      </c>
      <c r="J107" t="s">
        <v>735</v>
      </c>
      <c r="K107" t="str">
        <f>"23%"</f>
        <v>23%</v>
      </c>
      <c r="L107" t="str">
        <f>"-0.06"</f>
        <v>-0.06</v>
      </c>
      <c r="N107" t="s">
        <v>222</v>
      </c>
      <c r="O107" t="s">
        <v>736</v>
      </c>
      <c r="P107" t="str">
        <f>""</f>
        <v/>
      </c>
      <c r="Q107" t="str">
        <f>""</f>
        <v/>
      </c>
      <c r="R107" t="str">
        <f>""</f>
        <v/>
      </c>
      <c r="S107" t="str">
        <f>""</f>
        <v/>
      </c>
      <c r="U107" t="str">
        <f>""</f>
        <v/>
      </c>
      <c r="V107" t="str">
        <f>""</f>
        <v/>
      </c>
      <c r="W107" t="s">
        <v>737</v>
      </c>
      <c r="X107" t="s">
        <v>738</v>
      </c>
      <c r="Z107" t="str">
        <f>""</f>
        <v/>
      </c>
    </row>
    <row r="108" spans="1:26" x14ac:dyDescent="0.3">
      <c r="A108" t="s">
        <v>83</v>
      </c>
      <c r="B108" t="s">
        <v>739</v>
      </c>
      <c r="C108" t="s">
        <v>28</v>
      </c>
      <c r="D108" t="s">
        <v>29</v>
      </c>
      <c r="E108" t="s">
        <v>30</v>
      </c>
      <c r="F108" t="str">
        <f t="shared" ref="F108:F124" si="5">"110"</f>
        <v>110</v>
      </c>
      <c r="G108" t="str">
        <f>"MAP3K1 p.D806N"</f>
        <v>MAP3K1 p.D806N</v>
      </c>
      <c r="H108" t="str">
        <f>"NM_005921"</f>
        <v>NM_005921</v>
      </c>
      <c r="J108" t="s">
        <v>740</v>
      </c>
      <c r="K108" t="str">
        <f>"51%"</f>
        <v>51%</v>
      </c>
      <c r="L108" t="str">
        <f>"-0.06"</f>
        <v>-0.06</v>
      </c>
      <c r="N108" t="s">
        <v>41</v>
      </c>
      <c r="O108" t="s">
        <v>741</v>
      </c>
      <c r="P108" t="str">
        <f>"59.8400%"</f>
        <v>59.8400%</v>
      </c>
      <c r="Q108" t="str">
        <f>"59.5100%"</f>
        <v>59.5100%</v>
      </c>
      <c r="R108" t="str">
        <f>"65.0100%"</f>
        <v>65.0100%</v>
      </c>
      <c r="S108" t="str">
        <f>"47.6438%"</f>
        <v>47.6438%</v>
      </c>
      <c r="T108" t="s">
        <v>742</v>
      </c>
      <c r="U108" t="str">
        <f>"59.9400%"</f>
        <v>59.9400%</v>
      </c>
      <c r="V108" t="str">
        <f>"59.9670%"</f>
        <v>59.9670%</v>
      </c>
      <c r="W108" t="s">
        <v>743</v>
      </c>
      <c r="X108" t="s">
        <v>744</v>
      </c>
      <c r="Y108" t="s">
        <v>745</v>
      </c>
      <c r="Z108" t="str">
        <f>"13.63"</f>
        <v>13.63</v>
      </c>
    </row>
    <row r="109" spans="1:26" x14ac:dyDescent="0.3">
      <c r="A109" t="s">
        <v>83</v>
      </c>
      <c r="B109" t="s">
        <v>746</v>
      </c>
      <c r="C109" t="s">
        <v>28</v>
      </c>
      <c r="D109" t="s">
        <v>29</v>
      </c>
      <c r="E109" t="s">
        <v>30</v>
      </c>
      <c r="F109" t="str">
        <f t="shared" si="5"/>
        <v>110</v>
      </c>
      <c r="G109" t="str">
        <f>"MAP3K1 p.V906I"</f>
        <v>MAP3K1 p.V906I</v>
      </c>
      <c r="H109" t="str">
        <f>"NM_005921"</f>
        <v>NM_005921</v>
      </c>
      <c r="J109" t="s">
        <v>747</v>
      </c>
      <c r="K109" t="str">
        <f>"48%"</f>
        <v>48%</v>
      </c>
      <c r="L109" t="str">
        <f>"-0.06"</f>
        <v>-0.06</v>
      </c>
      <c r="N109" t="s">
        <v>41</v>
      </c>
      <c r="O109" t="s">
        <v>748</v>
      </c>
      <c r="P109" t="str">
        <f>"76.4800%"</f>
        <v>76.4800%</v>
      </c>
      <c r="Q109" t="str">
        <f>"75.8300%"</f>
        <v>75.8300%</v>
      </c>
      <c r="R109" t="str">
        <f>"79.8500%"</f>
        <v>79.8500%</v>
      </c>
      <c r="S109" t="str">
        <f>"70.8267%"</f>
        <v>70.8267%</v>
      </c>
      <c r="T109" t="s">
        <v>749</v>
      </c>
      <c r="U109" t="str">
        <f>"76.4610%"</f>
        <v>76.4610%</v>
      </c>
      <c r="V109" t="str">
        <f>"76.4880%"</f>
        <v>76.4880%</v>
      </c>
      <c r="W109" t="s">
        <v>750</v>
      </c>
      <c r="X109" t="s">
        <v>751</v>
      </c>
      <c r="Y109" t="s">
        <v>752</v>
      </c>
      <c r="Z109" t="str">
        <f>"0.006"</f>
        <v>0.006</v>
      </c>
    </row>
    <row r="110" spans="1:26" x14ac:dyDescent="0.3">
      <c r="A110" t="s">
        <v>451</v>
      </c>
      <c r="B110" t="s">
        <v>753</v>
      </c>
      <c r="C110" t="s">
        <v>29</v>
      </c>
      <c r="D110" t="s">
        <v>28</v>
      </c>
      <c r="E110" t="s">
        <v>30</v>
      </c>
      <c r="F110" t="str">
        <f t="shared" si="5"/>
        <v>110</v>
      </c>
      <c r="G110" t="str">
        <f>"RSPO2 p.L186P"</f>
        <v>RSPO2 p.L186P</v>
      </c>
      <c r="H110" t="str">
        <f>"NM_178565"</f>
        <v>NM_178565</v>
      </c>
      <c r="J110" t="s">
        <v>119</v>
      </c>
      <c r="K110" t="str">
        <f>"100%"</f>
        <v>100%</v>
      </c>
      <c r="L110" t="str">
        <f>"0.22"</f>
        <v>0.22</v>
      </c>
      <c r="N110" t="s">
        <v>41</v>
      </c>
      <c r="O110" t="s">
        <v>754</v>
      </c>
      <c r="P110" t="str">
        <f>"57.8400%"</f>
        <v>57.8400%</v>
      </c>
      <c r="Q110" t="str">
        <f>"58.8000%"</f>
        <v>58.8000%</v>
      </c>
      <c r="R110" t="str">
        <f>"47.2900%"</f>
        <v>47.2900%</v>
      </c>
      <c r="S110" t="str">
        <f>"49.0216%"</f>
        <v>49.0216%</v>
      </c>
      <c r="T110" t="s">
        <v>755</v>
      </c>
      <c r="U110" t="str">
        <f>"60.8960%"</f>
        <v>60.8960%</v>
      </c>
      <c r="V110" t="str">
        <f>"60.8410%"</f>
        <v>60.8410%</v>
      </c>
      <c r="W110" t="s">
        <v>756</v>
      </c>
      <c r="X110" t="s">
        <v>757</v>
      </c>
      <c r="Z110" t="str">
        <f>"11.67"</f>
        <v>11.67</v>
      </c>
    </row>
    <row r="111" spans="1:26" x14ac:dyDescent="0.3">
      <c r="A111" t="s">
        <v>241</v>
      </c>
      <c r="B111" t="s">
        <v>758</v>
      </c>
      <c r="C111" t="s">
        <v>38</v>
      </c>
      <c r="D111" t="s">
        <v>28</v>
      </c>
      <c r="E111" t="s">
        <v>30</v>
      </c>
      <c r="F111" t="str">
        <f t="shared" si="5"/>
        <v>110</v>
      </c>
      <c r="G111" t="str">
        <f>"BARD1 p.R378S"</f>
        <v>BARD1 p.R378S</v>
      </c>
      <c r="H111" t="str">
        <f>"NM_000465"</f>
        <v>NM_000465</v>
      </c>
      <c r="J111" t="s">
        <v>759</v>
      </c>
      <c r="K111" t="str">
        <f>"52%"</f>
        <v>52%</v>
      </c>
      <c r="L111" t="str">
        <f>"0.00"</f>
        <v>0.00</v>
      </c>
      <c r="N111" t="s">
        <v>41</v>
      </c>
      <c r="O111" t="s">
        <v>760</v>
      </c>
      <c r="P111" t="str">
        <f>"54.8700%"</f>
        <v>54.8700%</v>
      </c>
      <c r="Q111" t="str">
        <f>"54.4900%"</f>
        <v>54.4900%</v>
      </c>
      <c r="R111" t="str">
        <f>"53.1800%"</f>
        <v>53.1800%</v>
      </c>
      <c r="S111" t="str">
        <f>"45.9265%"</f>
        <v>45.9265%</v>
      </c>
      <c r="T111" t="s">
        <v>761</v>
      </c>
      <c r="U111" t="str">
        <f>"53.2770%"</f>
        <v>53.2770%</v>
      </c>
      <c r="V111" t="str">
        <f>"53.2500%"</f>
        <v>53.2500%</v>
      </c>
      <c r="W111" t="s">
        <v>762</v>
      </c>
      <c r="X111" t="s">
        <v>763</v>
      </c>
      <c r="Y111" t="s">
        <v>764</v>
      </c>
      <c r="Z111" t="str">
        <f>"10.79"</f>
        <v>10.79</v>
      </c>
    </row>
    <row r="112" spans="1:26" x14ac:dyDescent="0.3">
      <c r="A112" t="s">
        <v>110</v>
      </c>
      <c r="B112" t="s">
        <v>765</v>
      </c>
      <c r="C112" t="s">
        <v>38</v>
      </c>
      <c r="D112" t="s">
        <v>39</v>
      </c>
      <c r="E112" t="s">
        <v>30</v>
      </c>
      <c r="F112" t="str">
        <f t="shared" si="5"/>
        <v>110</v>
      </c>
      <c r="G112" t="str">
        <f>"TLR4 p.T399I"</f>
        <v>TLR4 p.T399I</v>
      </c>
      <c r="H112" t="str">
        <f>"NM_138554"</f>
        <v>NM_138554</v>
      </c>
      <c r="J112" t="s">
        <v>766</v>
      </c>
      <c r="K112" t="str">
        <f>"54%"</f>
        <v>54%</v>
      </c>
      <c r="L112" t="str">
        <f>"-0.14"</f>
        <v>-0.14</v>
      </c>
      <c r="N112" t="s">
        <v>41</v>
      </c>
      <c r="O112" t="s">
        <v>767</v>
      </c>
      <c r="P112" t="str">
        <f>"5.5200%"</f>
        <v>5.5200%</v>
      </c>
      <c r="Q112" t="str">
        <f>"5.7100%"</f>
        <v>5.7100%</v>
      </c>
      <c r="R112" t="str">
        <f>"4.7000%"</f>
        <v>4.7000%</v>
      </c>
      <c r="S112" t="str">
        <f>"4.0735%"</f>
        <v>4.0735%</v>
      </c>
      <c r="T112" t="s">
        <v>768</v>
      </c>
      <c r="U112" t="str">
        <f>"4.4240%"</f>
        <v>4.4240%</v>
      </c>
      <c r="V112" t="str">
        <f>"4.4240%"</f>
        <v>4.4240%</v>
      </c>
      <c r="W112" t="s">
        <v>769</v>
      </c>
      <c r="X112" t="s">
        <v>770</v>
      </c>
      <c r="Y112" t="s">
        <v>771</v>
      </c>
      <c r="Z112" t="str">
        <f>"6.602"</f>
        <v>6.602</v>
      </c>
    </row>
    <row r="113" spans="1:26" x14ac:dyDescent="0.3">
      <c r="A113" t="s">
        <v>241</v>
      </c>
      <c r="B113" t="s">
        <v>772</v>
      </c>
      <c r="C113" t="s">
        <v>29</v>
      </c>
      <c r="D113" t="s">
        <v>28</v>
      </c>
      <c r="E113" t="s">
        <v>30</v>
      </c>
      <c r="F113" t="str">
        <f t="shared" si="5"/>
        <v>110</v>
      </c>
      <c r="G113" t="str">
        <f>"NCKAP5 p.I977T"</f>
        <v>NCKAP5 p.I977T</v>
      </c>
      <c r="H113" t="str">
        <f>"NM_207363"</f>
        <v>NM_207363</v>
      </c>
      <c r="J113" t="s">
        <v>773</v>
      </c>
      <c r="K113" t="str">
        <f>"50%"</f>
        <v>50%</v>
      </c>
      <c r="L113" t="str">
        <f>"0.00"</f>
        <v>0.00</v>
      </c>
      <c r="N113" t="s">
        <v>41</v>
      </c>
      <c r="O113" t="s">
        <v>774</v>
      </c>
      <c r="P113" t="str">
        <f>"59.1000%"</f>
        <v>59.1000%</v>
      </c>
      <c r="Q113" t="str">
        <f>"58.8300%"</f>
        <v>58.8300%</v>
      </c>
      <c r="R113" t="str">
        <f>"60.6600%"</f>
        <v>60.6600%</v>
      </c>
      <c r="S113" t="str">
        <f>"70.4872%"</f>
        <v>70.4872%</v>
      </c>
      <c r="T113" t="s">
        <v>775</v>
      </c>
      <c r="U113" t="str">
        <f>"59.7490%"</f>
        <v>59.7490%</v>
      </c>
      <c r="V113" t="str">
        <f>"59.7760%"</f>
        <v>59.7760%</v>
      </c>
      <c r="W113" t="s">
        <v>776</v>
      </c>
      <c r="X113" t="s">
        <v>777</v>
      </c>
      <c r="Z113" t="str">
        <f>"0.075"</f>
        <v>0.075</v>
      </c>
    </row>
    <row r="114" spans="1:26" x14ac:dyDescent="0.3">
      <c r="A114" t="s">
        <v>83</v>
      </c>
      <c r="B114" t="s">
        <v>778</v>
      </c>
      <c r="C114" t="s">
        <v>28</v>
      </c>
      <c r="D114" t="s">
        <v>29</v>
      </c>
      <c r="E114" t="s">
        <v>30</v>
      </c>
      <c r="F114" t="str">
        <f t="shared" si="5"/>
        <v>110</v>
      </c>
      <c r="G114" t="str">
        <f>"RICTOR p.S837F"</f>
        <v>RICTOR p.S837F</v>
      </c>
      <c r="H114" t="str">
        <f>"NM_152756"</f>
        <v>NM_152756</v>
      </c>
      <c r="J114" t="s">
        <v>779</v>
      </c>
      <c r="K114" t="str">
        <f>"100%"</f>
        <v>100%</v>
      </c>
      <c r="L114" t="str">
        <f>"0.03"</f>
        <v>0.03</v>
      </c>
      <c r="N114" t="s">
        <v>41</v>
      </c>
      <c r="O114" t="s">
        <v>780</v>
      </c>
      <c r="P114" t="str">
        <f>"39.3300%"</f>
        <v>39.3300%</v>
      </c>
      <c r="Q114" t="str">
        <f>"39.4200%"</f>
        <v>39.4200%</v>
      </c>
      <c r="R114" t="str">
        <f>"36.1800%"</f>
        <v>36.1800%</v>
      </c>
      <c r="S114" t="str">
        <f>"36.3818%"</f>
        <v>36.3818%</v>
      </c>
      <c r="T114" t="s">
        <v>781</v>
      </c>
      <c r="U114" t="str">
        <f>"39.0220%"</f>
        <v>39.0220%</v>
      </c>
      <c r="V114" t="str">
        <f>"39.0220%"</f>
        <v>39.0220%</v>
      </c>
      <c r="W114" t="s">
        <v>782</v>
      </c>
      <c r="X114" t="s">
        <v>783</v>
      </c>
      <c r="Z114" t="str">
        <f>"6.873"</f>
        <v>6.873</v>
      </c>
    </row>
    <row r="115" spans="1:26" x14ac:dyDescent="0.3">
      <c r="A115" t="s">
        <v>131</v>
      </c>
      <c r="B115" t="s">
        <v>784</v>
      </c>
      <c r="C115" t="s">
        <v>28</v>
      </c>
      <c r="D115" t="s">
        <v>29</v>
      </c>
      <c r="E115" t="s">
        <v>30</v>
      </c>
      <c r="F115" t="str">
        <f t="shared" si="5"/>
        <v>110</v>
      </c>
      <c r="G115" t="str">
        <f>"ZNF217 p.T548I"</f>
        <v>ZNF217 p.T548I</v>
      </c>
      <c r="H115" t="str">
        <f>"NM_006526"</f>
        <v>NM_006526</v>
      </c>
      <c r="J115" t="s">
        <v>785</v>
      </c>
      <c r="K115" t="str">
        <f>"46%"</f>
        <v>46%</v>
      </c>
      <c r="L115" t="str">
        <f>"-0.02"</f>
        <v>-0.02</v>
      </c>
      <c r="N115" t="s">
        <v>41</v>
      </c>
      <c r="O115" t="s">
        <v>786</v>
      </c>
      <c r="P115" t="str">
        <f>"3.1900%"</f>
        <v>3.1900%</v>
      </c>
      <c r="Q115" t="str">
        <f>"3.3800%"</f>
        <v>3.3800%</v>
      </c>
      <c r="R115" t="str">
        <f>"0.6500%"</f>
        <v>0.6500%</v>
      </c>
      <c r="S115" t="str">
        <f>"4.6526%"</f>
        <v>4.6526%</v>
      </c>
      <c r="T115" t="s">
        <v>787</v>
      </c>
      <c r="U115" t="str">
        <f>"3.9600%"</f>
        <v>3.9600%</v>
      </c>
      <c r="V115" t="str">
        <f>"3.9600%"</f>
        <v>3.9600%</v>
      </c>
      <c r="W115" t="s">
        <v>788</v>
      </c>
      <c r="Z115" t="str">
        <f>"2.798"</f>
        <v>2.798</v>
      </c>
    </row>
    <row r="116" spans="1:26" x14ac:dyDescent="0.3">
      <c r="A116" t="s">
        <v>60</v>
      </c>
      <c r="B116" t="s">
        <v>789</v>
      </c>
      <c r="C116" t="s">
        <v>29</v>
      </c>
      <c r="D116" t="s">
        <v>39</v>
      </c>
      <c r="E116" t="s">
        <v>30</v>
      </c>
      <c r="F116" t="str">
        <f t="shared" si="5"/>
        <v>110</v>
      </c>
      <c r="G116" t="str">
        <f>"SYNE1"</f>
        <v>SYNE1</v>
      </c>
      <c r="H116" t="str">
        <f>""</f>
        <v/>
      </c>
      <c r="J116" t="s">
        <v>790</v>
      </c>
      <c r="K116" t="str">
        <f>"100%"</f>
        <v>100%</v>
      </c>
      <c r="L116" t="str">
        <f>"0.04"</f>
        <v>0.04</v>
      </c>
      <c r="N116" t="s">
        <v>41</v>
      </c>
      <c r="O116" t="s">
        <v>791</v>
      </c>
      <c r="P116" t="str">
        <f>"77.6000%"</f>
        <v>77.6000%</v>
      </c>
      <c r="Q116" t="str">
        <f>"77.9800%"</f>
        <v>77.9800%</v>
      </c>
      <c r="R116" t="str">
        <f>"79.5900%"</f>
        <v>79.5900%</v>
      </c>
      <c r="S116" t="str">
        <f>"80.3315%"</f>
        <v>80.3315%</v>
      </c>
      <c r="T116" t="s">
        <v>792</v>
      </c>
      <c r="U116" t="str">
        <f>"77.6620%"</f>
        <v>77.6620%</v>
      </c>
      <c r="V116" t="str">
        <f>"77.6350%"</f>
        <v>77.6350%</v>
      </c>
      <c r="W116" t="s">
        <v>793</v>
      </c>
      <c r="X116" t="s">
        <v>794</v>
      </c>
      <c r="Y116" t="s">
        <v>795</v>
      </c>
      <c r="Z116" t="str">
        <f>"0.004"</f>
        <v>0.004</v>
      </c>
    </row>
    <row r="117" spans="1:26" x14ac:dyDescent="0.3">
      <c r="A117" t="s">
        <v>60</v>
      </c>
      <c r="B117" t="s">
        <v>796</v>
      </c>
      <c r="C117" t="s">
        <v>28</v>
      </c>
      <c r="D117" t="s">
        <v>39</v>
      </c>
      <c r="E117" t="s">
        <v>30</v>
      </c>
      <c r="F117" t="str">
        <f t="shared" si="5"/>
        <v>110</v>
      </c>
      <c r="G117" t="str">
        <f>"WISP3 p.Q74H"</f>
        <v>WISP3 p.Q74H</v>
      </c>
      <c r="H117" t="str">
        <f>"NM_198239"</f>
        <v>NM_198239</v>
      </c>
      <c r="J117" t="s">
        <v>797</v>
      </c>
      <c r="K117" t="str">
        <f>"50%"</f>
        <v>50%</v>
      </c>
      <c r="L117" t="str">
        <f>"0.04"</f>
        <v>0.04</v>
      </c>
      <c r="N117" t="s">
        <v>41</v>
      </c>
      <c r="O117" t="s">
        <v>798</v>
      </c>
      <c r="P117" t="str">
        <f>"26.0600%"</f>
        <v>26.0600%</v>
      </c>
      <c r="Q117" t="str">
        <f>"25.5000%"</f>
        <v>25.5000%</v>
      </c>
      <c r="R117" t="str">
        <f>"33.6200%"</f>
        <v>33.6200%</v>
      </c>
      <c r="S117" t="str">
        <f>"29.8922%"</f>
        <v>29.8922%</v>
      </c>
      <c r="T117" t="s">
        <v>799</v>
      </c>
      <c r="U117" t="str">
        <f>"27.9900%"</f>
        <v>27.9900%</v>
      </c>
      <c r="V117" t="str">
        <f>"27.9900%"</f>
        <v>27.9900%</v>
      </c>
      <c r="W117" t="s">
        <v>800</v>
      </c>
      <c r="X117" t="s">
        <v>801</v>
      </c>
      <c r="Y117" t="s">
        <v>802</v>
      </c>
      <c r="Z117" t="str">
        <f>"0.324"</f>
        <v>0.324</v>
      </c>
    </row>
    <row r="118" spans="1:26" x14ac:dyDescent="0.3">
      <c r="A118" t="s">
        <v>459</v>
      </c>
      <c r="B118" t="s">
        <v>803</v>
      </c>
      <c r="C118" t="s">
        <v>29</v>
      </c>
      <c r="D118" t="s">
        <v>28</v>
      </c>
      <c r="E118" t="s">
        <v>30</v>
      </c>
      <c r="F118" t="str">
        <f t="shared" si="5"/>
        <v>110</v>
      </c>
      <c r="G118" t="str">
        <f>"KDM5A p.M865T"</f>
        <v>KDM5A p.M865T</v>
      </c>
      <c r="H118" t="str">
        <f>"NM_001042603"</f>
        <v>NM_001042603</v>
      </c>
      <c r="J118" t="s">
        <v>804</v>
      </c>
      <c r="K118" t="str">
        <f>"47%"</f>
        <v>47%</v>
      </c>
      <c r="L118" t="str">
        <f>"0.07"</f>
        <v>0.07</v>
      </c>
      <c r="N118" t="s">
        <v>41</v>
      </c>
      <c r="O118" t="s">
        <v>805</v>
      </c>
      <c r="P118" t="str">
        <f>"31.0200%"</f>
        <v>31.0200%</v>
      </c>
      <c r="Q118" t="str">
        <f>"31.2200%"</f>
        <v>31.2200%</v>
      </c>
      <c r="R118" t="str">
        <f>"27.3400%"</f>
        <v>27.3400%</v>
      </c>
      <c r="S118" t="str">
        <f>"35.3035%"</f>
        <v>35.3035%</v>
      </c>
      <c r="T118" t="s">
        <v>806</v>
      </c>
      <c r="U118" t="str">
        <f>"31.7040%"</f>
        <v>31.7040%</v>
      </c>
      <c r="V118" t="str">
        <f>"31.7310%"</f>
        <v>31.7310%</v>
      </c>
      <c r="W118" t="s">
        <v>807</v>
      </c>
      <c r="X118" t="s">
        <v>808</v>
      </c>
      <c r="Z118" t="str">
        <f>"6.591"</f>
        <v>6.591</v>
      </c>
    </row>
    <row r="119" spans="1:26" x14ac:dyDescent="0.3">
      <c r="A119" t="s">
        <v>75</v>
      </c>
      <c r="B119" t="s">
        <v>809</v>
      </c>
      <c r="C119" t="s">
        <v>39</v>
      </c>
      <c r="D119" t="s">
        <v>38</v>
      </c>
      <c r="E119" t="s">
        <v>30</v>
      </c>
      <c r="F119" t="str">
        <f t="shared" si="5"/>
        <v>110</v>
      </c>
      <c r="G119" t="str">
        <f>"POLQ p.H1201R"</f>
        <v>POLQ p.H1201R</v>
      </c>
      <c r="H119" t="str">
        <f>"NM_199420"</f>
        <v>NM_199420</v>
      </c>
      <c r="J119" t="s">
        <v>810</v>
      </c>
      <c r="K119" t="str">
        <f>"43%"</f>
        <v>43%</v>
      </c>
      <c r="L119" t="str">
        <f>"-0.17"</f>
        <v>-0.17</v>
      </c>
      <c r="N119" t="s">
        <v>41</v>
      </c>
      <c r="O119" t="s">
        <v>811</v>
      </c>
      <c r="P119" t="str">
        <f>"23.2500%"</f>
        <v>23.2500%</v>
      </c>
      <c r="Q119" t="str">
        <f>"23.9700%"</f>
        <v>23.9700%</v>
      </c>
      <c r="R119" t="str">
        <f>"13.2500%"</f>
        <v>13.2500%</v>
      </c>
      <c r="S119" t="str">
        <f>"28.9736%"</f>
        <v>28.9736%</v>
      </c>
      <c r="T119" t="s">
        <v>812</v>
      </c>
      <c r="U119" t="str">
        <f>"22.8020%"</f>
        <v>22.8020%</v>
      </c>
      <c r="V119" t="str">
        <f>"22.8020%"</f>
        <v>22.8020%</v>
      </c>
      <c r="W119" t="s">
        <v>813</v>
      </c>
      <c r="Z119" t="str">
        <f>"3.626"</f>
        <v>3.626</v>
      </c>
    </row>
    <row r="120" spans="1:26" x14ac:dyDescent="0.3">
      <c r="A120" t="s">
        <v>68</v>
      </c>
      <c r="B120" t="s">
        <v>814</v>
      </c>
      <c r="C120" t="s">
        <v>38</v>
      </c>
      <c r="D120" t="s">
        <v>39</v>
      </c>
      <c r="E120" t="s">
        <v>30</v>
      </c>
      <c r="F120" t="str">
        <f t="shared" si="5"/>
        <v>110</v>
      </c>
      <c r="G120" t="str">
        <f>"FAT1 p.V482I"</f>
        <v>FAT1 p.V482I</v>
      </c>
      <c r="H120" t="str">
        <f>"NM_005245"</f>
        <v>NM_005245</v>
      </c>
      <c r="J120" t="s">
        <v>168</v>
      </c>
      <c r="K120" t="str">
        <f>"51%"</f>
        <v>51%</v>
      </c>
      <c r="L120" t="str">
        <f>"-0.04"</f>
        <v>-0.04</v>
      </c>
      <c r="N120" t="s">
        <v>41</v>
      </c>
      <c r="O120" t="s">
        <v>815</v>
      </c>
      <c r="P120" t="str">
        <f>"48.6500%"</f>
        <v>48.6500%</v>
      </c>
      <c r="Q120" t="str">
        <f>"48.7700%"</f>
        <v>48.7700%</v>
      </c>
      <c r="R120" t="str">
        <f>"46.0700%"</f>
        <v>46.0700%</v>
      </c>
      <c r="S120" t="str">
        <f>"33.8858%"</f>
        <v>33.8858%</v>
      </c>
      <c r="T120" t="s">
        <v>816</v>
      </c>
      <c r="U120" t="str">
        <f>"50.0270%"</f>
        <v>50.0270%</v>
      </c>
      <c r="V120" t="str">
        <f>"50.0270%"</f>
        <v>50.0270%</v>
      </c>
      <c r="W120" t="s">
        <v>817</v>
      </c>
      <c r="X120" t="s">
        <v>818</v>
      </c>
      <c r="Z120" t="str">
        <f>"12.18"</f>
        <v>12.18</v>
      </c>
    </row>
    <row r="121" spans="1:26" x14ac:dyDescent="0.3">
      <c r="A121" t="s">
        <v>187</v>
      </c>
      <c r="B121" t="s">
        <v>819</v>
      </c>
      <c r="C121" t="s">
        <v>38</v>
      </c>
      <c r="D121" t="s">
        <v>28</v>
      </c>
      <c r="E121" t="s">
        <v>30</v>
      </c>
      <c r="F121" t="str">
        <f t="shared" si="5"/>
        <v>110</v>
      </c>
      <c r="G121" t="str">
        <f>"DCC p.R201G"</f>
        <v>DCC p.R201G</v>
      </c>
      <c r="H121" t="str">
        <f>"NM_005215"</f>
        <v>NM_005215</v>
      </c>
      <c r="J121" t="s">
        <v>214</v>
      </c>
      <c r="K121" t="str">
        <f>"49%"</f>
        <v>49%</v>
      </c>
      <c r="L121" t="str">
        <f>"-0.00"</f>
        <v>-0.00</v>
      </c>
      <c r="N121" t="s">
        <v>41</v>
      </c>
      <c r="O121" t="s">
        <v>820</v>
      </c>
      <c r="P121" t="str">
        <f>"44.4700%"</f>
        <v>44.4700%</v>
      </c>
      <c r="Q121" t="str">
        <f>"45.2400%"</f>
        <v>45.2400%</v>
      </c>
      <c r="R121" t="str">
        <f>"35.9400%"</f>
        <v>35.9400%</v>
      </c>
      <c r="S121" t="str">
        <f>"47.7436%"</f>
        <v>47.7436%</v>
      </c>
      <c r="T121" t="s">
        <v>821</v>
      </c>
      <c r="U121" t="str">
        <f>"43.7470%"</f>
        <v>43.7470%</v>
      </c>
      <c r="V121" t="str">
        <f>"43.7740%"</f>
        <v>43.7740%</v>
      </c>
      <c r="W121" t="s">
        <v>822</v>
      </c>
      <c r="Z121" t="str">
        <f>"12.26"</f>
        <v>12.26</v>
      </c>
    </row>
    <row r="122" spans="1:26" x14ac:dyDescent="0.3">
      <c r="A122" t="s">
        <v>280</v>
      </c>
      <c r="B122" t="s">
        <v>823</v>
      </c>
      <c r="C122" t="s">
        <v>38</v>
      </c>
      <c r="D122" t="s">
        <v>39</v>
      </c>
      <c r="E122" t="s">
        <v>30</v>
      </c>
      <c r="F122" t="str">
        <f t="shared" si="5"/>
        <v>110</v>
      </c>
      <c r="G122" t="str">
        <f>"BCL2A1 p.G82D"</f>
        <v>BCL2A1 p.G82D</v>
      </c>
      <c r="H122" t="str">
        <f>"NM_004049"</f>
        <v>NM_004049</v>
      </c>
      <c r="J122" t="s">
        <v>824</v>
      </c>
      <c r="K122" t="str">
        <f>"50%"</f>
        <v>50%</v>
      </c>
      <c r="L122" t="str">
        <f>"-0.08"</f>
        <v>-0.08</v>
      </c>
      <c r="N122" t="s">
        <v>41</v>
      </c>
      <c r="O122" t="s">
        <v>825</v>
      </c>
      <c r="P122" t="str">
        <f>"23.4400%"</f>
        <v>23.4400%</v>
      </c>
      <c r="Q122" t="str">
        <f>"23.1300%"</f>
        <v>23.1300%</v>
      </c>
      <c r="R122" t="str">
        <f>"19.9300%"</f>
        <v>19.9300%</v>
      </c>
      <c r="S122" t="str">
        <f>"20.3474%"</f>
        <v>20.3474%</v>
      </c>
      <c r="T122" t="s">
        <v>826</v>
      </c>
      <c r="U122" t="str">
        <f>"22.9110%"</f>
        <v>22.9110%</v>
      </c>
      <c r="V122" t="str">
        <f>"22.9110%"</f>
        <v>22.9110%</v>
      </c>
      <c r="W122" t="s">
        <v>827</v>
      </c>
      <c r="Z122" t="str">
        <f>"16.22"</f>
        <v>16.22</v>
      </c>
    </row>
    <row r="123" spans="1:26" x14ac:dyDescent="0.3">
      <c r="A123" t="s">
        <v>459</v>
      </c>
      <c r="B123" t="s">
        <v>828</v>
      </c>
      <c r="C123" t="s">
        <v>38</v>
      </c>
      <c r="D123" t="s">
        <v>39</v>
      </c>
      <c r="E123" t="s">
        <v>30</v>
      </c>
      <c r="F123" t="str">
        <f t="shared" si="5"/>
        <v>110</v>
      </c>
      <c r="G123" t="str">
        <f>"PTPRB"</f>
        <v>PTPRB</v>
      </c>
      <c r="H123" t="str">
        <f>""</f>
        <v/>
      </c>
      <c r="J123" t="s">
        <v>829</v>
      </c>
      <c r="K123" t="str">
        <f>"54%"</f>
        <v>54%</v>
      </c>
      <c r="L123" t="str">
        <f>"-0.08"</f>
        <v>-0.08</v>
      </c>
      <c r="N123" t="s">
        <v>41</v>
      </c>
      <c r="O123" t="s">
        <v>830</v>
      </c>
      <c r="P123" t="str">
        <f>"15.2800%"</f>
        <v>15.2800%</v>
      </c>
      <c r="Q123" t="str">
        <f>"15.4500%"</f>
        <v>15.4500%</v>
      </c>
      <c r="R123" t="str">
        <f>"10.8300%"</f>
        <v>10.8300%</v>
      </c>
      <c r="S123" t="str">
        <f>"25.3794%"</f>
        <v>25.3794%</v>
      </c>
      <c r="T123" t="s">
        <v>831</v>
      </c>
      <c r="U123" t="str">
        <f>"16.5480%"</f>
        <v>16.5480%</v>
      </c>
      <c r="V123" t="str">
        <f>"16.5760%"</f>
        <v>16.5760%</v>
      </c>
      <c r="W123" t="s">
        <v>832</v>
      </c>
      <c r="X123" t="s">
        <v>833</v>
      </c>
      <c r="Z123" t="str">
        <f>"15.77"</f>
        <v>15.77</v>
      </c>
    </row>
    <row r="124" spans="1:26" x14ac:dyDescent="0.3">
      <c r="A124" t="s">
        <v>173</v>
      </c>
      <c r="B124" t="s">
        <v>834</v>
      </c>
      <c r="C124" t="s">
        <v>39</v>
      </c>
      <c r="D124" t="s">
        <v>38</v>
      </c>
      <c r="E124" t="s">
        <v>30</v>
      </c>
      <c r="F124" t="str">
        <f t="shared" si="5"/>
        <v>110</v>
      </c>
      <c r="G124" t="str">
        <f>"BRCA2 p.V2466A"</f>
        <v>BRCA2 p.V2466A</v>
      </c>
      <c r="H124" t="str">
        <f>"NM_000059"</f>
        <v>NM_000059</v>
      </c>
      <c r="J124" t="s">
        <v>835</v>
      </c>
      <c r="K124" t="str">
        <f>"100%"</f>
        <v>100%</v>
      </c>
      <c r="L124" t="str">
        <f>"-0.07"</f>
        <v>-0.07</v>
      </c>
      <c r="N124" t="s">
        <v>41</v>
      </c>
      <c r="O124" t="s">
        <v>836</v>
      </c>
      <c r="P124" t="str">
        <f>"99.3700%"</f>
        <v>99.3700%</v>
      </c>
      <c r="Q124" t="str">
        <f>"99.5000%"</f>
        <v>99.5000%</v>
      </c>
      <c r="R124" t="str">
        <f>"97.7700%"</f>
        <v>97.7700%</v>
      </c>
      <c r="S124" t="str">
        <f>"97.5839%"</f>
        <v>97.5839%</v>
      </c>
      <c r="T124" t="s">
        <v>837</v>
      </c>
      <c r="U124" t="str">
        <f>"99.2630%"</f>
        <v>99.2630%</v>
      </c>
      <c r="V124" t="str">
        <f>"99.2630%"</f>
        <v>99.2630%</v>
      </c>
      <c r="W124" t="s">
        <v>838</v>
      </c>
      <c r="X124" t="s">
        <v>839</v>
      </c>
      <c r="Y124" t="s">
        <v>840</v>
      </c>
      <c r="Z124" t="str">
        <f>"2.662"</f>
        <v>2.662</v>
      </c>
    </row>
    <row r="125" spans="1:26" x14ac:dyDescent="0.3">
      <c r="A125" t="s">
        <v>241</v>
      </c>
      <c r="B125" t="s">
        <v>841</v>
      </c>
      <c r="C125" t="s">
        <v>38</v>
      </c>
      <c r="D125" t="s">
        <v>39</v>
      </c>
      <c r="E125" t="s">
        <v>30</v>
      </c>
      <c r="F125" t="str">
        <f>"010"</f>
        <v>010</v>
      </c>
      <c r="G125" t="str">
        <f>"BARD1 p.V507M"</f>
        <v>BARD1 p.V507M</v>
      </c>
      <c r="H125" t="str">
        <f>"NM_000465"</f>
        <v>NM_000465</v>
      </c>
      <c r="J125" t="s">
        <v>842</v>
      </c>
      <c r="K125" t="str">
        <f>"48%"</f>
        <v>48%</v>
      </c>
      <c r="L125" t="str">
        <f>"0.00"</f>
        <v>0.00</v>
      </c>
      <c r="N125" t="s">
        <v>41</v>
      </c>
      <c r="O125" t="s">
        <v>843</v>
      </c>
      <c r="P125" t="str">
        <f>"37.8300%"</f>
        <v>37.8300%</v>
      </c>
      <c r="Q125" t="str">
        <f>"37.4800%"</f>
        <v>37.4800%</v>
      </c>
      <c r="R125" t="str">
        <f>"28.0600%"</f>
        <v>28.0600%</v>
      </c>
      <c r="S125" t="str">
        <f>"36.6214%"</f>
        <v>36.6214%</v>
      </c>
      <c r="T125" t="s">
        <v>844</v>
      </c>
      <c r="U125" t="str">
        <f>"15.2920%"</f>
        <v>15.2920%</v>
      </c>
      <c r="V125" t="str">
        <f>"15.2920%"</f>
        <v>15.2920%</v>
      </c>
      <c r="W125" t="s">
        <v>845</v>
      </c>
      <c r="X125" t="s">
        <v>846</v>
      </c>
      <c r="Y125" t="s">
        <v>847</v>
      </c>
      <c r="Z125" t="str">
        <f>"9.530"</f>
        <v>9.530</v>
      </c>
    </row>
    <row r="126" spans="1:26" x14ac:dyDescent="0.3">
      <c r="A126" t="s">
        <v>60</v>
      </c>
      <c r="B126" t="s">
        <v>848</v>
      </c>
      <c r="C126" t="s">
        <v>29</v>
      </c>
      <c r="D126" t="s">
        <v>39</v>
      </c>
      <c r="E126" t="s">
        <v>30</v>
      </c>
      <c r="F126" t="str">
        <f>"110"</f>
        <v>110</v>
      </c>
      <c r="G126" t="str">
        <f>"SYNE1"</f>
        <v>SYNE1</v>
      </c>
      <c r="H126" t="str">
        <f>""</f>
        <v/>
      </c>
      <c r="J126" t="s">
        <v>256</v>
      </c>
      <c r="K126" t="str">
        <f>"100%"</f>
        <v>100%</v>
      </c>
      <c r="L126" t="str">
        <f>"0.04"</f>
        <v>0.04</v>
      </c>
      <c r="N126" t="s">
        <v>41</v>
      </c>
      <c r="O126" t="s">
        <v>849</v>
      </c>
      <c r="P126" t="str">
        <f>"77.9700%"</f>
        <v>77.9700%</v>
      </c>
      <c r="Q126" t="str">
        <f>"78.2500%"</f>
        <v>78.2500%</v>
      </c>
      <c r="R126" t="str">
        <f>"81.0500%"</f>
        <v>81.0500%</v>
      </c>
      <c r="S126" t="str">
        <f>"81.4696%"</f>
        <v>81.4696%</v>
      </c>
      <c r="T126" t="s">
        <v>850</v>
      </c>
      <c r="U126" t="str">
        <f>"77.8260%"</f>
        <v>77.8260%</v>
      </c>
      <c r="V126" t="str">
        <f>"77.8540%"</f>
        <v>77.8540%</v>
      </c>
      <c r="W126" t="s">
        <v>851</v>
      </c>
      <c r="X126" t="s">
        <v>852</v>
      </c>
      <c r="Y126" t="s">
        <v>853</v>
      </c>
      <c r="Z126" t="str">
        <f>"12.70"</f>
        <v>12.70</v>
      </c>
    </row>
    <row r="127" spans="1:26" x14ac:dyDescent="0.3">
      <c r="A127" t="s">
        <v>131</v>
      </c>
      <c r="B127" t="s">
        <v>854</v>
      </c>
      <c r="C127" t="s">
        <v>28</v>
      </c>
      <c r="D127" t="s">
        <v>29</v>
      </c>
      <c r="E127" t="s">
        <v>30</v>
      </c>
      <c r="F127" t="str">
        <f>"110"</f>
        <v>110</v>
      </c>
      <c r="G127" t="str">
        <f>"PLCB4"</f>
        <v>PLCB4</v>
      </c>
      <c r="H127" t="str">
        <f>""</f>
        <v/>
      </c>
      <c r="J127" t="s">
        <v>855</v>
      </c>
      <c r="K127" t="str">
        <f>"100%"</f>
        <v>100%</v>
      </c>
      <c r="L127" t="str">
        <f>"0.01"</f>
        <v>0.01</v>
      </c>
      <c r="N127" t="s">
        <v>41</v>
      </c>
      <c r="O127" t="s">
        <v>856</v>
      </c>
      <c r="P127" t="str">
        <f>"59.6500%"</f>
        <v>59.6500%</v>
      </c>
      <c r="Q127" t="str">
        <f>"59.7200%"</f>
        <v>59.7200%</v>
      </c>
      <c r="R127" t="str">
        <f>"51.6500%"</f>
        <v>51.6500%</v>
      </c>
      <c r="S127" t="str">
        <f>"47.1446%"</f>
        <v>47.1446%</v>
      </c>
      <c r="T127" t="s">
        <v>857</v>
      </c>
      <c r="U127" t="str">
        <f>"61.3600%"</f>
        <v>61.3600%</v>
      </c>
      <c r="V127" t="str">
        <f>"61.4150%"</f>
        <v>61.4150%</v>
      </c>
      <c r="W127" t="s">
        <v>858</v>
      </c>
      <c r="X127" t="s">
        <v>859</v>
      </c>
      <c r="Y127" t="s">
        <v>860</v>
      </c>
      <c r="Z127" t="str">
        <f>"12.93"</f>
        <v>12.93</v>
      </c>
    </row>
    <row r="128" spans="1:26" x14ac:dyDescent="0.3">
      <c r="A128" t="s">
        <v>83</v>
      </c>
      <c r="B128" t="s">
        <v>861</v>
      </c>
      <c r="C128" t="s">
        <v>862</v>
      </c>
      <c r="D128" t="s">
        <v>29</v>
      </c>
      <c r="E128" t="s">
        <v>30</v>
      </c>
      <c r="F128" t="str">
        <f>"111"</f>
        <v>111</v>
      </c>
      <c r="G128" t="str">
        <f>"CHD1 p.1684_1684del"</f>
        <v>CHD1 p.1684_1684del</v>
      </c>
      <c r="H128" t="str">
        <f>"NM_001270"</f>
        <v>NM_001270</v>
      </c>
      <c r="J128" t="s">
        <v>863</v>
      </c>
      <c r="K128" t="str">
        <f>"46%"</f>
        <v>46%</v>
      </c>
      <c r="L128" t="str">
        <f>"-0.06"</f>
        <v>-0.06</v>
      </c>
      <c r="N128" t="s">
        <v>222</v>
      </c>
      <c r="O128" t="s">
        <v>864</v>
      </c>
      <c r="P128" t="str">
        <f>"22.2100%"</f>
        <v>22.2100%</v>
      </c>
      <c r="Q128" t="str">
        <f>"21.6500%"</f>
        <v>21.6500%</v>
      </c>
      <c r="R128" t="str">
        <f>"29.4500%"</f>
        <v>29.4500%</v>
      </c>
      <c r="S128" t="str">
        <f>"21.2660%"</f>
        <v>21.2660%</v>
      </c>
      <c r="T128" t="s">
        <v>865</v>
      </c>
      <c r="U128" t="str">
        <f>"23.0750%"</f>
        <v>23.0750%</v>
      </c>
      <c r="V128" t="str">
        <f>"23.0750%"</f>
        <v>23.0750%</v>
      </c>
      <c r="W128" t="s">
        <v>866</v>
      </c>
      <c r="X128" t="s">
        <v>867</v>
      </c>
      <c r="Z128" t="str">
        <f>""</f>
        <v/>
      </c>
    </row>
    <row r="129" spans="1:26" x14ac:dyDescent="0.3">
      <c r="A129" t="s">
        <v>241</v>
      </c>
      <c r="B129" t="s">
        <v>868</v>
      </c>
      <c r="C129" t="s">
        <v>38</v>
      </c>
      <c r="D129" t="s">
        <v>28</v>
      </c>
      <c r="E129" t="s">
        <v>30</v>
      </c>
      <c r="F129" t="str">
        <f t="shared" ref="F129:F140" si="6">"110"</f>
        <v>110</v>
      </c>
      <c r="G129" t="str">
        <f>"NCKAP5 p.S600T"</f>
        <v>NCKAP5 p.S600T</v>
      </c>
      <c r="H129" t="str">
        <f>"NM_207363"</f>
        <v>NM_207363</v>
      </c>
      <c r="J129" t="s">
        <v>869</v>
      </c>
      <c r="K129" t="str">
        <f>"49%"</f>
        <v>49%</v>
      </c>
      <c r="L129" t="str">
        <f>"0.00"</f>
        <v>0.00</v>
      </c>
      <c r="N129" t="s">
        <v>41</v>
      </c>
      <c r="O129" t="s">
        <v>870</v>
      </c>
      <c r="P129" t="str">
        <f>"12.4200%"</f>
        <v>12.4200%</v>
      </c>
      <c r="Q129" t="str">
        <f>"12.5500%"</f>
        <v>12.5500%</v>
      </c>
      <c r="R129" t="str">
        <f>"13.1600%"</f>
        <v>13.1600%</v>
      </c>
      <c r="S129" t="str">
        <f>"8.1869%"</f>
        <v>8.1869%</v>
      </c>
      <c r="T129" t="s">
        <v>871</v>
      </c>
      <c r="U129" t="str">
        <f>"13.5450%"</f>
        <v>13.5450%</v>
      </c>
      <c r="V129" t="str">
        <f>"13.5450%"</f>
        <v>13.5450%</v>
      </c>
      <c r="W129" t="s">
        <v>872</v>
      </c>
      <c r="Z129" t="str">
        <f>"20.2"</f>
        <v>20.2</v>
      </c>
    </row>
    <row r="130" spans="1:26" x14ac:dyDescent="0.3">
      <c r="A130" t="s">
        <v>75</v>
      </c>
      <c r="B130" t="s">
        <v>873</v>
      </c>
      <c r="C130" t="s">
        <v>28</v>
      </c>
      <c r="D130" t="s">
        <v>29</v>
      </c>
      <c r="E130" t="s">
        <v>30</v>
      </c>
      <c r="F130" t="str">
        <f t="shared" si="6"/>
        <v>110</v>
      </c>
      <c r="G130" t="str">
        <f>"EPHA3 p.R914H"</f>
        <v>EPHA3 p.R914H</v>
      </c>
      <c r="H130" t="str">
        <f>"NM_005233"</f>
        <v>NM_005233</v>
      </c>
      <c r="J130" t="s">
        <v>869</v>
      </c>
      <c r="K130" t="str">
        <f>"51%"</f>
        <v>51%</v>
      </c>
      <c r="L130" t="str">
        <f>"0.03"</f>
        <v>0.03</v>
      </c>
      <c r="N130" t="s">
        <v>41</v>
      </c>
      <c r="O130" t="s">
        <v>874</v>
      </c>
      <c r="P130" t="str">
        <f>"7.6700%"</f>
        <v>7.6700%</v>
      </c>
      <c r="Q130" t="str">
        <f>"7.6200%"</f>
        <v>7.6200%</v>
      </c>
      <c r="R130" t="str">
        <f>"6.7800%"</f>
        <v>6.7800%</v>
      </c>
      <c r="S130" t="str">
        <f>"5.4912%"</f>
        <v>5.4912%</v>
      </c>
      <c r="T130" t="s">
        <v>875</v>
      </c>
      <c r="U130" t="str">
        <f>"7.8100%"</f>
        <v>7.8100%</v>
      </c>
      <c r="V130" t="str">
        <f>"7.8100%"</f>
        <v>7.8100%</v>
      </c>
      <c r="W130" t="s">
        <v>876</v>
      </c>
      <c r="X130" t="s">
        <v>877</v>
      </c>
      <c r="Z130" t="str">
        <f>"14.24"</f>
        <v>14.24</v>
      </c>
    </row>
    <row r="131" spans="1:26" x14ac:dyDescent="0.3">
      <c r="A131" t="s">
        <v>139</v>
      </c>
      <c r="B131" t="s">
        <v>878</v>
      </c>
      <c r="C131" t="s">
        <v>28</v>
      </c>
      <c r="D131" t="s">
        <v>38</v>
      </c>
      <c r="E131" t="s">
        <v>30</v>
      </c>
      <c r="F131" t="str">
        <f t="shared" si="6"/>
        <v>110</v>
      </c>
      <c r="G131" t="str">
        <f>"MYCL"</f>
        <v>MYCL</v>
      </c>
      <c r="H131" t="str">
        <f>""</f>
        <v/>
      </c>
      <c r="J131" t="s">
        <v>879</v>
      </c>
      <c r="K131" t="str">
        <f>"100%"</f>
        <v>100%</v>
      </c>
      <c r="L131" t="str">
        <f>"0.05"</f>
        <v>0.05</v>
      </c>
      <c r="N131" t="s">
        <v>41</v>
      </c>
      <c r="O131" t="s">
        <v>880</v>
      </c>
      <c r="P131" t="str">
        <f>"88.6500%"</f>
        <v>88.6500%</v>
      </c>
      <c r="Q131" t="str">
        <f>"88.4200%"</f>
        <v>88.4200%</v>
      </c>
      <c r="R131" t="str">
        <f>"90.3700%"</f>
        <v>90.3700%</v>
      </c>
      <c r="S131" t="str">
        <f>"93.5703%"</f>
        <v>93.5703%</v>
      </c>
      <c r="T131" t="s">
        <v>881</v>
      </c>
      <c r="U131" t="str">
        <f>"89.1040%"</f>
        <v>89.1040%</v>
      </c>
      <c r="V131" t="str">
        <f>"89.1590%"</f>
        <v>89.1590%</v>
      </c>
      <c r="W131" t="s">
        <v>882</v>
      </c>
      <c r="X131" t="s">
        <v>883</v>
      </c>
      <c r="Z131" t="str">
        <f>"0.234"</f>
        <v>0.234</v>
      </c>
    </row>
    <row r="132" spans="1:26" x14ac:dyDescent="0.3">
      <c r="A132" t="s">
        <v>651</v>
      </c>
      <c r="B132" t="s">
        <v>884</v>
      </c>
      <c r="C132" t="s">
        <v>38</v>
      </c>
      <c r="D132" t="s">
        <v>29</v>
      </c>
      <c r="E132" t="s">
        <v>30</v>
      </c>
      <c r="F132" t="str">
        <f t="shared" si="6"/>
        <v>110</v>
      </c>
      <c r="G132" t="str">
        <f>"TCF7L2 p.P477T"</f>
        <v>TCF7L2 p.P477T</v>
      </c>
      <c r="H132" t="str">
        <f>"NM_030756"</f>
        <v>NM_030756</v>
      </c>
      <c r="J132" t="s">
        <v>885</v>
      </c>
      <c r="K132" t="str">
        <f>"42%"</f>
        <v>42%</v>
      </c>
      <c r="L132" t="str">
        <f>"-0.09"</f>
        <v>-0.09</v>
      </c>
      <c r="N132" t="s">
        <v>41</v>
      </c>
      <c r="O132" t="s">
        <v>886</v>
      </c>
      <c r="P132" t="str">
        <f>"5.0300%"</f>
        <v>5.0300%</v>
      </c>
      <c r="Q132" t="str">
        <f>"5.2000%"</f>
        <v>5.2000%</v>
      </c>
      <c r="R132" t="str">
        <f>"2.2000%"</f>
        <v>2.2000%</v>
      </c>
      <c r="S132" t="str">
        <f>"6.9688%"</f>
        <v>6.9688%</v>
      </c>
      <c r="T132" t="s">
        <v>887</v>
      </c>
      <c r="U132" t="str">
        <f>"6.1170%"</f>
        <v>6.1170%</v>
      </c>
      <c r="V132" t="str">
        <f>"6.0900%"</f>
        <v>6.0900%</v>
      </c>
      <c r="W132" t="s">
        <v>888</v>
      </c>
      <c r="Z132" t="str">
        <f>"11.86"</f>
        <v>11.86</v>
      </c>
    </row>
    <row r="133" spans="1:26" x14ac:dyDescent="0.3">
      <c r="A133" t="s">
        <v>60</v>
      </c>
      <c r="B133" t="s">
        <v>889</v>
      </c>
      <c r="C133" t="s">
        <v>29</v>
      </c>
      <c r="D133" t="s">
        <v>28</v>
      </c>
      <c r="E133" t="s">
        <v>30</v>
      </c>
      <c r="F133" t="str">
        <f t="shared" si="6"/>
        <v>110</v>
      </c>
      <c r="G133" t="str">
        <f>"IGF2R p.N2020S"</f>
        <v>IGF2R p.N2020S</v>
      </c>
      <c r="H133" t="str">
        <f>"NM_000876"</f>
        <v>NM_000876</v>
      </c>
      <c r="J133" t="s">
        <v>890</v>
      </c>
      <c r="K133" t="str">
        <f>"49%"</f>
        <v>49%</v>
      </c>
      <c r="L133" t="str">
        <f>"-0.10"</f>
        <v>-0.10</v>
      </c>
      <c r="N133" t="s">
        <v>41</v>
      </c>
      <c r="O133" t="s">
        <v>891</v>
      </c>
      <c r="P133" t="str">
        <f>"9.8000%"</f>
        <v>9.8000%</v>
      </c>
      <c r="Q133" t="str">
        <f>"10.3900%"</f>
        <v>10.3900%</v>
      </c>
      <c r="R133" t="str">
        <f>"3.2600%"</f>
        <v>3.2600%</v>
      </c>
      <c r="S133" t="str">
        <f>"12.2604%"</f>
        <v>12.2604%</v>
      </c>
      <c r="T133" t="s">
        <v>892</v>
      </c>
      <c r="U133" t="str">
        <f>"10.9230%"</f>
        <v>10.9230%</v>
      </c>
      <c r="V133" t="str">
        <f>"10.9230%"</f>
        <v>10.9230%</v>
      </c>
      <c r="W133" t="s">
        <v>893</v>
      </c>
      <c r="Z133" t="str">
        <f>"5.734"</f>
        <v>5.734</v>
      </c>
    </row>
    <row r="134" spans="1:26" x14ac:dyDescent="0.3">
      <c r="A134" t="s">
        <v>459</v>
      </c>
      <c r="B134" t="s">
        <v>894</v>
      </c>
      <c r="C134" t="s">
        <v>29</v>
      </c>
      <c r="D134" t="s">
        <v>38</v>
      </c>
      <c r="E134" t="s">
        <v>30</v>
      </c>
      <c r="F134" t="str">
        <f t="shared" si="6"/>
        <v>110</v>
      </c>
      <c r="G134" t="str">
        <f>"PTPRB"</f>
        <v>PTPRB</v>
      </c>
      <c r="H134" t="str">
        <f>""</f>
        <v/>
      </c>
      <c r="J134" t="s">
        <v>895</v>
      </c>
      <c r="K134" t="str">
        <f>"46%"</f>
        <v>46%</v>
      </c>
      <c r="L134" t="str">
        <f>"-0.08"</f>
        <v>-0.08</v>
      </c>
      <c r="N134" t="s">
        <v>41</v>
      </c>
      <c r="O134" t="s">
        <v>896</v>
      </c>
      <c r="P134" t="str">
        <f>"10.6300%"</f>
        <v>10.6300%</v>
      </c>
      <c r="Q134" t="str">
        <f>"10.5200%"</f>
        <v>10.5200%</v>
      </c>
      <c r="R134" t="str">
        <f>"13.4000%"</f>
        <v>13.4000%</v>
      </c>
      <c r="S134" t="str">
        <f>"8.0871%"</f>
        <v>8.0871%</v>
      </c>
      <c r="T134" t="s">
        <v>897</v>
      </c>
      <c r="U134" t="str">
        <f>"11.5510%"</f>
        <v>11.5510%</v>
      </c>
      <c r="V134" t="str">
        <f>"11.5510%"</f>
        <v>11.5510%</v>
      </c>
      <c r="W134" t="s">
        <v>898</v>
      </c>
      <c r="Z134" t="str">
        <f>"0.080"</f>
        <v>0.080</v>
      </c>
    </row>
    <row r="135" spans="1:26" x14ac:dyDescent="0.3">
      <c r="A135" t="s">
        <v>280</v>
      </c>
      <c r="B135" t="s">
        <v>899</v>
      </c>
      <c r="C135" t="s">
        <v>38</v>
      </c>
      <c r="D135" t="s">
        <v>28</v>
      </c>
      <c r="E135" t="s">
        <v>30</v>
      </c>
      <c r="F135" t="str">
        <f t="shared" si="6"/>
        <v>110</v>
      </c>
      <c r="G135" t="str">
        <f>"MGA"</f>
        <v>MGA</v>
      </c>
      <c r="H135" t="str">
        <f>""</f>
        <v/>
      </c>
      <c r="J135" t="s">
        <v>900</v>
      </c>
      <c r="K135" t="str">
        <f>"43%"</f>
        <v>43%</v>
      </c>
      <c r="L135" t="str">
        <f>"0.06"</f>
        <v>0.06</v>
      </c>
      <c r="N135" t="s">
        <v>41</v>
      </c>
      <c r="O135" t="s">
        <v>901</v>
      </c>
      <c r="P135" t="str">
        <f>"33.7100%"</f>
        <v>33.7100%</v>
      </c>
      <c r="Q135" t="str">
        <f>"34.0800%"</f>
        <v>34.0800%</v>
      </c>
      <c r="R135" t="str">
        <f>"30.7800%"</f>
        <v>30.7800%</v>
      </c>
      <c r="S135" t="str">
        <f>"30.1318%"</f>
        <v>30.1318%</v>
      </c>
      <c r="T135" t="s">
        <v>902</v>
      </c>
      <c r="U135" t="str">
        <f>"34.0800%"</f>
        <v>34.0800%</v>
      </c>
      <c r="V135" t="str">
        <f>"34.0800%"</f>
        <v>34.0800%</v>
      </c>
      <c r="W135" t="s">
        <v>903</v>
      </c>
      <c r="Z135" t="str">
        <f>"11.03"</f>
        <v>11.03</v>
      </c>
    </row>
    <row r="136" spans="1:26" x14ac:dyDescent="0.3">
      <c r="A136" t="s">
        <v>75</v>
      </c>
      <c r="B136" t="s">
        <v>904</v>
      </c>
      <c r="C136" t="s">
        <v>39</v>
      </c>
      <c r="D136" t="s">
        <v>38</v>
      </c>
      <c r="E136" t="s">
        <v>30</v>
      </c>
      <c r="F136" t="str">
        <f t="shared" si="6"/>
        <v>110</v>
      </c>
      <c r="G136" t="str">
        <f>"EPHA3 p.W924R"</f>
        <v>EPHA3 p.W924R</v>
      </c>
      <c r="H136" t="str">
        <f>"NM_005233"</f>
        <v>NM_005233</v>
      </c>
      <c r="J136" t="s">
        <v>905</v>
      </c>
      <c r="K136" t="str">
        <f>"100%"</f>
        <v>100%</v>
      </c>
      <c r="L136" t="str">
        <f>"0.03"</f>
        <v>0.03</v>
      </c>
      <c r="N136" t="s">
        <v>41</v>
      </c>
      <c r="O136" t="s">
        <v>906</v>
      </c>
      <c r="P136" t="str">
        <f>"37.5900%"</f>
        <v>37.5900%</v>
      </c>
      <c r="Q136" t="str">
        <f>"37.0700%"</f>
        <v>37.0700%</v>
      </c>
      <c r="R136" t="str">
        <f>"46.8300%"</f>
        <v>46.8300%</v>
      </c>
      <c r="S136" t="str">
        <f>"39.1174%"</f>
        <v>39.1174%</v>
      </c>
      <c r="T136" t="s">
        <v>907</v>
      </c>
      <c r="U136" t="str">
        <f>"37.6300%"</f>
        <v>37.6300%</v>
      </c>
      <c r="V136" t="str">
        <f>"37.6020%"</f>
        <v>37.6020%</v>
      </c>
      <c r="W136" t="s">
        <v>908</v>
      </c>
      <c r="X136" t="s">
        <v>909</v>
      </c>
      <c r="Z136" t="str">
        <f>"11.95"</f>
        <v>11.95</v>
      </c>
    </row>
    <row r="137" spans="1:26" x14ac:dyDescent="0.3">
      <c r="A137" t="s">
        <v>459</v>
      </c>
      <c r="B137" t="s">
        <v>910</v>
      </c>
      <c r="C137" t="s">
        <v>38</v>
      </c>
      <c r="D137" t="s">
        <v>39</v>
      </c>
      <c r="E137" t="s">
        <v>30</v>
      </c>
      <c r="F137" t="str">
        <f t="shared" si="6"/>
        <v>110</v>
      </c>
      <c r="G137" t="str">
        <f>"PTPRB"</f>
        <v>PTPRB</v>
      </c>
      <c r="H137" t="str">
        <f>""</f>
        <v/>
      </c>
      <c r="J137" t="s">
        <v>911</v>
      </c>
      <c r="K137" t="str">
        <f>"39%"</f>
        <v>39%</v>
      </c>
      <c r="L137" t="str">
        <f>"-0.08"</f>
        <v>-0.08</v>
      </c>
      <c r="N137" t="s">
        <v>41</v>
      </c>
      <c r="O137" t="s">
        <v>912</v>
      </c>
      <c r="P137" t="str">
        <f>"47.0600%"</f>
        <v>47.0600%</v>
      </c>
      <c r="Q137" t="str">
        <f>"46.9900%"</f>
        <v>46.9900%</v>
      </c>
      <c r="R137" t="str">
        <f>"48.1800%"</f>
        <v>48.1800%</v>
      </c>
      <c r="S137" t="str">
        <f>"59.1254%"</f>
        <v>59.1254%</v>
      </c>
      <c r="T137" t="s">
        <v>913</v>
      </c>
      <c r="U137" t="str">
        <f>"46.0130%"</f>
        <v>46.0130%</v>
      </c>
      <c r="V137" t="str">
        <f>"46.0130%"</f>
        <v>46.0130%</v>
      </c>
      <c r="W137" t="s">
        <v>914</v>
      </c>
      <c r="X137" t="s">
        <v>915</v>
      </c>
      <c r="Z137" t="str">
        <f>"5.326"</f>
        <v>5.326</v>
      </c>
    </row>
    <row r="138" spans="1:26" x14ac:dyDescent="0.3">
      <c r="A138" t="s">
        <v>26</v>
      </c>
      <c r="B138" t="s">
        <v>916</v>
      </c>
      <c r="C138" t="s">
        <v>39</v>
      </c>
      <c r="D138" t="s">
        <v>38</v>
      </c>
      <c r="E138" t="s">
        <v>30</v>
      </c>
      <c r="F138" t="str">
        <f t="shared" si="6"/>
        <v>110</v>
      </c>
      <c r="G138" t="str">
        <f>"RNF43 p.I47V"</f>
        <v>RNF43 p.I47V</v>
      </c>
      <c r="H138" t="str">
        <f>"NM_017763"</f>
        <v>NM_017763</v>
      </c>
      <c r="J138" t="s">
        <v>312</v>
      </c>
      <c r="K138" t="str">
        <f>"52%"</f>
        <v>52%</v>
      </c>
      <c r="L138" t="str">
        <f>"-0.06"</f>
        <v>-0.06</v>
      </c>
      <c r="N138" t="s">
        <v>41</v>
      </c>
      <c r="O138" t="s">
        <v>917</v>
      </c>
      <c r="P138" t="str">
        <f>"40.4800%"</f>
        <v>40.4800%</v>
      </c>
      <c r="Q138" t="str">
        <f>"41.1800%"</f>
        <v>41.1800%</v>
      </c>
      <c r="R138" t="str">
        <f>"32.8300%"</f>
        <v>32.8300%</v>
      </c>
      <c r="S138" t="str">
        <f>"37.3802%"</f>
        <v>37.3802%</v>
      </c>
      <c r="T138" t="s">
        <v>918</v>
      </c>
      <c r="U138" t="str">
        <f>"42.1080%"</f>
        <v>42.1080%</v>
      </c>
      <c r="V138" t="str">
        <f>"42.1630%"</f>
        <v>42.1630%</v>
      </c>
      <c r="W138" t="s">
        <v>919</v>
      </c>
      <c r="X138" t="s">
        <v>920</v>
      </c>
      <c r="Y138" t="s">
        <v>921</v>
      </c>
      <c r="Z138" t="str">
        <f>"9.051"</f>
        <v>9.051</v>
      </c>
    </row>
    <row r="139" spans="1:26" x14ac:dyDescent="0.3">
      <c r="A139" t="s">
        <v>26</v>
      </c>
      <c r="B139" t="s">
        <v>922</v>
      </c>
      <c r="C139" t="s">
        <v>28</v>
      </c>
      <c r="D139" t="s">
        <v>29</v>
      </c>
      <c r="E139" t="s">
        <v>30</v>
      </c>
      <c r="F139" t="str">
        <f t="shared" si="6"/>
        <v>110</v>
      </c>
      <c r="G139" t="str">
        <f>"AXIN2 p.P50S"</f>
        <v>AXIN2 p.P50S</v>
      </c>
      <c r="H139" t="str">
        <f>"NM_004655"</f>
        <v>NM_004655</v>
      </c>
      <c r="J139" t="s">
        <v>923</v>
      </c>
      <c r="K139" t="str">
        <f>"48%"</f>
        <v>48%</v>
      </c>
      <c r="L139" t="str">
        <f>"-0.06"</f>
        <v>-0.06</v>
      </c>
      <c r="N139" t="s">
        <v>41</v>
      </c>
      <c r="O139" t="s">
        <v>924</v>
      </c>
      <c r="P139" t="str">
        <f>"47.3700%"</f>
        <v>47.3700%</v>
      </c>
      <c r="Q139" t="str">
        <f>"47.5700%"</f>
        <v>47.5700%</v>
      </c>
      <c r="R139" t="str">
        <f>"39.4800%"</f>
        <v>39.4800%</v>
      </c>
      <c r="S139" t="str">
        <f>"33.7660%"</f>
        <v>33.7660%</v>
      </c>
      <c r="T139" t="s">
        <v>925</v>
      </c>
      <c r="U139" t="str">
        <f>"46.7780%"</f>
        <v>46.7780%</v>
      </c>
      <c r="V139" t="str">
        <f>"46.8050%"</f>
        <v>46.8050%</v>
      </c>
      <c r="W139" t="s">
        <v>926</v>
      </c>
      <c r="X139" t="s">
        <v>927</v>
      </c>
      <c r="Y139" t="s">
        <v>928</v>
      </c>
      <c r="Z139" t="str">
        <f>"1.053"</f>
        <v>1.053</v>
      </c>
    </row>
    <row r="140" spans="1:26" x14ac:dyDescent="0.3">
      <c r="A140" t="s">
        <v>397</v>
      </c>
      <c r="B140" t="s">
        <v>929</v>
      </c>
      <c r="C140" t="s">
        <v>29</v>
      </c>
      <c r="D140" t="s">
        <v>28</v>
      </c>
      <c r="E140" t="s">
        <v>30</v>
      </c>
      <c r="F140" t="str">
        <f t="shared" si="6"/>
        <v>110</v>
      </c>
      <c r="G140" t="str">
        <f>"FAT3 p.S3812G"</f>
        <v>FAT3 p.S3812G</v>
      </c>
      <c r="H140" t="str">
        <f>"NM_001008781"</f>
        <v>NM_001008781</v>
      </c>
      <c r="J140" t="s">
        <v>340</v>
      </c>
      <c r="K140" t="str">
        <f>"100%"</f>
        <v>100%</v>
      </c>
      <c r="L140" t="str">
        <f>"-0.10"</f>
        <v>-0.10</v>
      </c>
      <c r="N140" t="s">
        <v>41</v>
      </c>
      <c r="O140" t="s">
        <v>930</v>
      </c>
      <c r="P140" t="str">
        <f>"81.7500%"</f>
        <v>81.7500%</v>
      </c>
      <c r="Q140" t="str">
        <f>"81.4300%"</f>
        <v>81.4300%</v>
      </c>
      <c r="R140" t="str">
        <f>"84.1800%"</f>
        <v>84.1800%</v>
      </c>
      <c r="S140" t="str">
        <f>"82.8474%"</f>
        <v>82.8474%</v>
      </c>
      <c r="T140" t="s">
        <v>931</v>
      </c>
      <c r="U140" t="str">
        <f>"79.0550%"</f>
        <v>79.0550%</v>
      </c>
      <c r="V140" t="str">
        <f>"79.0550%"</f>
        <v>79.0550%</v>
      </c>
      <c r="W140" t="s">
        <v>932</v>
      </c>
      <c r="X140" t="s">
        <v>933</v>
      </c>
      <c r="Z140" t="str">
        <f>"4.059"</f>
        <v>4.059</v>
      </c>
    </row>
    <row r="141" spans="1:26" x14ac:dyDescent="0.3">
      <c r="A141" t="s">
        <v>146</v>
      </c>
      <c r="B141" t="s">
        <v>934</v>
      </c>
      <c r="C141" t="s">
        <v>935</v>
      </c>
      <c r="D141" t="s">
        <v>39</v>
      </c>
      <c r="E141" t="s">
        <v>30</v>
      </c>
      <c r="F141" t="str">
        <f>"001"</f>
        <v>001</v>
      </c>
      <c r="G141" t="str">
        <f>"INHBA p.262_263del"</f>
        <v>INHBA p.262_263del</v>
      </c>
      <c r="H141" t="str">
        <f>"NM_002192"</f>
        <v>NM_002192</v>
      </c>
      <c r="J141" t="s">
        <v>936</v>
      </c>
      <c r="K141" t="str">
        <f>"5%"</f>
        <v>5%</v>
      </c>
      <c r="L141" t="str">
        <f>"-0.07"</f>
        <v>-0.07</v>
      </c>
      <c r="N141" t="s">
        <v>222</v>
      </c>
      <c r="O141" t="s">
        <v>937</v>
      </c>
      <c r="P141" t="str">
        <f>"0.2700%"</f>
        <v>0.2700%</v>
      </c>
      <c r="Q141" t="str">
        <f>"0.0100%"</f>
        <v>0.0100%</v>
      </c>
      <c r="R141" t="str">
        <f>""</f>
        <v/>
      </c>
      <c r="S141" t="str">
        <f>""</f>
        <v/>
      </c>
      <c r="T141" t="s">
        <v>938</v>
      </c>
      <c r="U141" t="str">
        <f>"26.5700%"</f>
        <v>26.5700%</v>
      </c>
      <c r="V141" t="str">
        <f>"26.5700%"</f>
        <v>26.5700%</v>
      </c>
      <c r="W141" t="s">
        <v>939</v>
      </c>
      <c r="X141" t="s">
        <v>940</v>
      </c>
      <c r="Z141" t="str">
        <f>""</f>
        <v/>
      </c>
    </row>
    <row r="142" spans="1:26" x14ac:dyDescent="0.3">
      <c r="A142" t="s">
        <v>60</v>
      </c>
      <c r="B142" t="s">
        <v>941</v>
      </c>
      <c r="C142" t="s">
        <v>942</v>
      </c>
      <c r="D142" t="s">
        <v>39</v>
      </c>
      <c r="E142" t="s">
        <v>30</v>
      </c>
      <c r="F142" t="str">
        <f>"111"</f>
        <v>111</v>
      </c>
      <c r="G142" t="str">
        <f>"ARID1B"</f>
        <v>ARID1B</v>
      </c>
      <c r="H142" t="str">
        <f>""</f>
        <v/>
      </c>
      <c r="J142" t="s">
        <v>943</v>
      </c>
      <c r="K142" t="str">
        <f>"51%"</f>
        <v>51%</v>
      </c>
      <c r="L142" t="str">
        <f>"-0.10"</f>
        <v>-0.10</v>
      </c>
      <c r="N142" t="s">
        <v>222</v>
      </c>
      <c r="O142" t="s">
        <v>944</v>
      </c>
      <c r="P142" t="str">
        <f>"0.6700%"</f>
        <v>0.6700%</v>
      </c>
      <c r="Q142" t="str">
        <f>"0.6000%"</f>
        <v>0.6000%</v>
      </c>
      <c r="R142" t="str">
        <f>"0.0500%"</f>
        <v>0.0500%</v>
      </c>
      <c r="S142" t="str">
        <f>"1.0982%"</f>
        <v>1.0982%</v>
      </c>
      <c r="T142" t="s">
        <v>945</v>
      </c>
      <c r="U142" t="str">
        <f>"0.2460%"</f>
        <v>0.2460%</v>
      </c>
      <c r="V142" t="str">
        <f>"0.2460%"</f>
        <v>0.2460%</v>
      </c>
      <c r="W142" t="s">
        <v>946</v>
      </c>
      <c r="X142" t="s">
        <v>947</v>
      </c>
      <c r="Z142" t="str">
        <f>""</f>
        <v/>
      </c>
    </row>
    <row r="143" spans="1:26" x14ac:dyDescent="0.3">
      <c r="A143" t="s">
        <v>241</v>
      </c>
      <c r="B143" t="s">
        <v>948</v>
      </c>
      <c r="C143" t="s">
        <v>28</v>
      </c>
      <c r="D143" t="s">
        <v>39</v>
      </c>
      <c r="E143" t="s">
        <v>30</v>
      </c>
      <c r="F143" t="str">
        <f>"110"</f>
        <v>110</v>
      </c>
      <c r="G143" t="str">
        <f>"LRP1B p.Q3734K"</f>
        <v>LRP1B p.Q3734K</v>
      </c>
      <c r="H143" t="str">
        <f>"NM_018557"</f>
        <v>NM_018557</v>
      </c>
      <c r="J143" t="s">
        <v>949</v>
      </c>
      <c r="K143" t="str">
        <f>"100%"</f>
        <v>100%</v>
      </c>
      <c r="L143" t="str">
        <f>"0.00"</f>
        <v>0.00</v>
      </c>
      <c r="N143" t="s">
        <v>41</v>
      </c>
      <c r="O143" t="s">
        <v>950</v>
      </c>
      <c r="P143" t="str">
        <f>"3.7100%"</f>
        <v>3.7100%</v>
      </c>
      <c r="Q143" t="str">
        <f>"3.4800%"</f>
        <v>3.4800%</v>
      </c>
      <c r="R143" t="str">
        <f>"4.1000%"</f>
        <v>4.1000%</v>
      </c>
      <c r="S143" t="str">
        <f>"4.4928%"</f>
        <v>4.4928%</v>
      </c>
      <c r="T143" t="s">
        <v>951</v>
      </c>
      <c r="U143" t="str">
        <f>"3.5770%"</f>
        <v>3.5770%</v>
      </c>
      <c r="V143" t="str">
        <f>"3.5770%"</f>
        <v>3.5770%</v>
      </c>
      <c r="W143" t="s">
        <v>952</v>
      </c>
      <c r="Z143" t="str">
        <f>"4.602"</f>
        <v>4.602</v>
      </c>
    </row>
    <row r="144" spans="1:26" x14ac:dyDescent="0.3">
      <c r="A144" t="s">
        <v>459</v>
      </c>
      <c r="B144" t="s">
        <v>953</v>
      </c>
      <c r="C144" t="s">
        <v>28</v>
      </c>
      <c r="D144" t="s">
        <v>29</v>
      </c>
      <c r="E144" t="s">
        <v>30</v>
      </c>
      <c r="F144" t="str">
        <f>"110"</f>
        <v>110</v>
      </c>
      <c r="G144" t="str">
        <f>"NAV3"</f>
        <v>NAV3</v>
      </c>
      <c r="H144" t="str">
        <f>""</f>
        <v/>
      </c>
      <c r="J144" t="s">
        <v>954</v>
      </c>
      <c r="K144" t="str">
        <f>"38%"</f>
        <v>38%</v>
      </c>
      <c r="L144" t="str">
        <f>"-0.08"</f>
        <v>-0.08</v>
      </c>
      <c r="N144" t="s">
        <v>41</v>
      </c>
      <c r="O144" t="s">
        <v>955</v>
      </c>
      <c r="P144" t="str">
        <f>"0.0050%"</f>
        <v>0.0050%</v>
      </c>
      <c r="Q144" t="str">
        <f>"0.0021%"</f>
        <v>0.0021%</v>
      </c>
      <c r="R144" t="str">
        <f>"0.0083%"</f>
        <v>0.0083%</v>
      </c>
      <c r="S144" t="str">
        <f>""</f>
        <v/>
      </c>
      <c r="T144" t="s">
        <v>956</v>
      </c>
      <c r="U144" t="str">
        <f>""</f>
        <v/>
      </c>
      <c r="V144" t="str">
        <f>""</f>
        <v/>
      </c>
      <c r="W144" t="s">
        <v>957</v>
      </c>
      <c r="X144" t="s">
        <v>958</v>
      </c>
      <c r="Z144" t="str">
        <f>"25.4"</f>
        <v>25.4</v>
      </c>
    </row>
    <row r="145" spans="1:26" x14ac:dyDescent="0.3">
      <c r="A145" t="s">
        <v>280</v>
      </c>
      <c r="B145" t="s">
        <v>959</v>
      </c>
      <c r="C145" t="s">
        <v>38</v>
      </c>
      <c r="D145" t="s">
        <v>39</v>
      </c>
      <c r="E145" t="s">
        <v>30</v>
      </c>
      <c r="F145" t="str">
        <f>"110"</f>
        <v>110</v>
      </c>
      <c r="G145" t="str">
        <f>"BCL2A1 p.C19Y"</f>
        <v>BCL2A1 p.C19Y</v>
      </c>
      <c r="H145" t="str">
        <f>"NM_004049"</f>
        <v>NM_004049</v>
      </c>
      <c r="J145" t="s">
        <v>960</v>
      </c>
      <c r="K145" t="str">
        <f>"49%"</f>
        <v>49%</v>
      </c>
      <c r="L145" t="str">
        <f>"-0.08"</f>
        <v>-0.08</v>
      </c>
      <c r="N145" t="s">
        <v>41</v>
      </c>
      <c r="O145" t="s">
        <v>961</v>
      </c>
      <c r="P145" t="str">
        <f>"30.3300%"</f>
        <v>30.3300%</v>
      </c>
      <c r="Q145" t="str">
        <f>"30.3100%"</f>
        <v>30.3100%</v>
      </c>
      <c r="R145" t="str">
        <f>"25.1700%"</f>
        <v>25.1700%</v>
      </c>
      <c r="S145" t="str">
        <f>"35.2037%"</f>
        <v>35.2037%</v>
      </c>
      <c r="T145" t="s">
        <v>962</v>
      </c>
      <c r="U145" t="str">
        <f>"30.9670%"</f>
        <v>30.9670%</v>
      </c>
      <c r="V145" t="str">
        <f>"30.9670%"</f>
        <v>30.9670%</v>
      </c>
      <c r="W145" t="s">
        <v>963</v>
      </c>
      <c r="Z145" t="str">
        <f>"0.042"</f>
        <v>0.042</v>
      </c>
    </row>
    <row r="146" spans="1:26" x14ac:dyDescent="0.3">
      <c r="A146" t="s">
        <v>338</v>
      </c>
      <c r="B146" t="s">
        <v>964</v>
      </c>
      <c r="C146" t="s">
        <v>965</v>
      </c>
      <c r="D146" t="s">
        <v>38</v>
      </c>
      <c r="E146" t="s">
        <v>30</v>
      </c>
      <c r="F146" t="str">
        <f>"111"</f>
        <v>111</v>
      </c>
      <c r="G146" t="str">
        <f>"KMT2B p.376_376del"</f>
        <v>KMT2B p.376_376del</v>
      </c>
      <c r="H146" t="str">
        <f>"NM_014727"</f>
        <v>NM_014727</v>
      </c>
      <c r="J146" t="s">
        <v>379</v>
      </c>
      <c r="K146" t="str">
        <f>"49%"</f>
        <v>49%</v>
      </c>
      <c r="L146" t="str">
        <f>"0.10"</f>
        <v>0.10</v>
      </c>
      <c r="N146" t="s">
        <v>222</v>
      </c>
      <c r="O146" t="s">
        <v>966</v>
      </c>
      <c r="P146" t="str">
        <f>"2.8800%"</f>
        <v>2.8800%</v>
      </c>
      <c r="Q146" t="str">
        <f>"2.8700%"</f>
        <v>2.8700%</v>
      </c>
      <c r="R146" t="str">
        <f>"2.6700%"</f>
        <v>2.6700%</v>
      </c>
      <c r="S146" t="str">
        <f>""</f>
        <v/>
      </c>
      <c r="T146" t="s">
        <v>967</v>
      </c>
      <c r="U146" t="str">
        <f>"2.7580%"</f>
        <v>2.7580%</v>
      </c>
      <c r="V146" t="str">
        <f>"2.7580%"</f>
        <v>2.7580%</v>
      </c>
      <c r="W146" t="s">
        <v>968</v>
      </c>
      <c r="X146" t="s">
        <v>969</v>
      </c>
      <c r="Z146" t="str">
        <f>""</f>
        <v/>
      </c>
    </row>
    <row r="147" spans="1:26" x14ac:dyDescent="0.3">
      <c r="A147" t="s">
        <v>75</v>
      </c>
      <c r="B147" t="s">
        <v>970</v>
      </c>
      <c r="C147" t="s">
        <v>28</v>
      </c>
      <c r="D147" t="s">
        <v>29</v>
      </c>
      <c r="E147" t="s">
        <v>30</v>
      </c>
      <c r="F147" t="str">
        <f>"110"</f>
        <v>110</v>
      </c>
      <c r="G147" t="str">
        <f>"POLQ p.A2547V"</f>
        <v>POLQ p.A2547V</v>
      </c>
      <c r="H147" t="str">
        <f>"NM_199420"</f>
        <v>NM_199420</v>
      </c>
      <c r="J147" t="s">
        <v>971</v>
      </c>
      <c r="K147" t="str">
        <f>"38%"</f>
        <v>38%</v>
      </c>
      <c r="L147" t="str">
        <f>"-0.17"</f>
        <v>-0.17</v>
      </c>
      <c r="N147" t="s">
        <v>41</v>
      </c>
      <c r="O147" t="s">
        <v>972</v>
      </c>
      <c r="P147" t="str">
        <f>"2.5900%"</f>
        <v>2.5900%</v>
      </c>
      <c r="Q147" t="str">
        <f>"2.5500%"</f>
        <v>2.5500%</v>
      </c>
      <c r="R147" t="str">
        <f>"1.2600%"</f>
        <v>1.2600%</v>
      </c>
      <c r="S147" t="str">
        <f>"3.3746%"</f>
        <v>3.3746%</v>
      </c>
      <c r="T147" t="s">
        <v>973</v>
      </c>
      <c r="U147" t="str">
        <f>"3.1950%"</f>
        <v>3.1950%</v>
      </c>
      <c r="V147" t="str">
        <f>"3.1950%"</f>
        <v>3.1950%</v>
      </c>
      <c r="W147" t="s">
        <v>974</v>
      </c>
      <c r="Z147" t="str">
        <f>"27.8"</f>
        <v>27.8</v>
      </c>
    </row>
    <row r="148" spans="1:26" x14ac:dyDescent="0.3">
      <c r="A148" t="s">
        <v>75</v>
      </c>
      <c r="B148" t="s">
        <v>975</v>
      </c>
      <c r="C148" t="s">
        <v>28</v>
      </c>
      <c r="D148" t="s">
        <v>38</v>
      </c>
      <c r="E148" t="s">
        <v>30</v>
      </c>
      <c r="F148" t="str">
        <f>"110"</f>
        <v>110</v>
      </c>
      <c r="G148" t="str">
        <f>"POLQ p.T982R"</f>
        <v>POLQ p.T982R</v>
      </c>
      <c r="H148" t="str">
        <f>"NM_199420"</f>
        <v>NM_199420</v>
      </c>
      <c r="J148" t="s">
        <v>976</v>
      </c>
      <c r="K148" t="str">
        <f>"100%"</f>
        <v>100%</v>
      </c>
      <c r="L148" t="str">
        <f>"-0.17"</f>
        <v>-0.17</v>
      </c>
      <c r="N148" t="s">
        <v>41</v>
      </c>
      <c r="O148" t="s">
        <v>977</v>
      </c>
      <c r="P148" t="str">
        <f>"67.4100%"</f>
        <v>67.4100%</v>
      </c>
      <c r="Q148" t="str">
        <f>"66.8700%"</f>
        <v>66.8700%</v>
      </c>
      <c r="R148" t="str">
        <f>"60.2800%"</f>
        <v>60.2800%</v>
      </c>
      <c r="S148" t="str">
        <f>"69.6486%"</f>
        <v>69.6486%</v>
      </c>
      <c r="T148" t="s">
        <v>978</v>
      </c>
      <c r="U148" t="str">
        <f>"66.9850%"</f>
        <v>66.9850%</v>
      </c>
      <c r="V148" t="str">
        <f>"67.0130%"</f>
        <v>67.0130%</v>
      </c>
      <c r="W148" t="s">
        <v>979</v>
      </c>
      <c r="X148" t="s">
        <v>980</v>
      </c>
      <c r="Z148" t="str">
        <f>"0.020"</f>
        <v>0.020</v>
      </c>
    </row>
    <row r="149" spans="1:26" x14ac:dyDescent="0.3">
      <c r="A149" t="s">
        <v>60</v>
      </c>
      <c r="B149" t="s">
        <v>981</v>
      </c>
      <c r="C149" t="s">
        <v>38</v>
      </c>
      <c r="D149" t="s">
        <v>29</v>
      </c>
      <c r="E149" t="s">
        <v>30</v>
      </c>
      <c r="F149" t="str">
        <f>"010"</f>
        <v>010</v>
      </c>
      <c r="G149" t="str">
        <f>"SYNE1"</f>
        <v>SYNE1</v>
      </c>
      <c r="H149" t="str">
        <f>""</f>
        <v/>
      </c>
      <c r="J149" t="s">
        <v>392</v>
      </c>
      <c r="K149" t="str">
        <f>"47%"</f>
        <v>47%</v>
      </c>
      <c r="L149" t="str">
        <f>"0.04"</f>
        <v>0.04</v>
      </c>
      <c r="N149" t="s">
        <v>41</v>
      </c>
      <c r="O149" t="s">
        <v>982</v>
      </c>
      <c r="P149" t="str">
        <f>"7.6200%"</f>
        <v>7.6200%</v>
      </c>
      <c r="Q149" t="str">
        <f>"7.4600%"</f>
        <v>7.4600%</v>
      </c>
      <c r="R149" t="str">
        <f>""</f>
        <v/>
      </c>
      <c r="S149" t="str">
        <f>"8.7660%"</f>
        <v>8.7660%</v>
      </c>
      <c r="T149" t="s">
        <v>983</v>
      </c>
      <c r="U149" t="str">
        <f>"5.3800%"</f>
        <v>5.3800%</v>
      </c>
      <c r="V149" t="str">
        <f>"5.3250%"</f>
        <v>5.3250%</v>
      </c>
      <c r="W149" t="s">
        <v>984</v>
      </c>
      <c r="Y149" t="s">
        <v>985</v>
      </c>
      <c r="Z149" t="str">
        <f>"8.678"</f>
        <v>8.678</v>
      </c>
    </row>
    <row r="150" spans="1:26" x14ac:dyDescent="0.3">
      <c r="A150" t="s">
        <v>60</v>
      </c>
      <c r="B150" t="s">
        <v>986</v>
      </c>
      <c r="C150" t="s">
        <v>39</v>
      </c>
      <c r="D150" t="s">
        <v>38</v>
      </c>
      <c r="E150" t="s">
        <v>30</v>
      </c>
      <c r="F150" t="str">
        <f t="shared" ref="F150:F175" si="7">"110"</f>
        <v>110</v>
      </c>
      <c r="G150" t="str">
        <f>"SYNE1"</f>
        <v>SYNE1</v>
      </c>
      <c r="H150" t="str">
        <f>""</f>
        <v/>
      </c>
      <c r="J150" t="s">
        <v>987</v>
      </c>
      <c r="K150" t="str">
        <f>"74%"</f>
        <v>74%</v>
      </c>
      <c r="L150" t="str">
        <f>"0.04"</f>
        <v>0.04</v>
      </c>
      <c r="N150" t="s">
        <v>41</v>
      </c>
      <c r="O150" t="s">
        <v>988</v>
      </c>
      <c r="P150" t="str">
        <f>"75.4700%"</f>
        <v>75.4700%</v>
      </c>
      <c r="Q150" t="str">
        <f>"74.9300%"</f>
        <v>74.9300%</v>
      </c>
      <c r="R150" t="str">
        <f>"78.8200%"</f>
        <v>78.8200%</v>
      </c>
      <c r="S150" t="str">
        <f>"79.3131%"</f>
        <v>79.3131%</v>
      </c>
      <c r="T150" t="s">
        <v>989</v>
      </c>
      <c r="U150" t="str">
        <f>"66.3570%"</f>
        <v>66.3570%</v>
      </c>
      <c r="V150" t="str">
        <f>"66.3300%"</f>
        <v>66.3300%</v>
      </c>
      <c r="W150" t="s">
        <v>990</v>
      </c>
      <c r="X150" t="s">
        <v>991</v>
      </c>
      <c r="Y150" t="s">
        <v>992</v>
      </c>
      <c r="Z150" t="str">
        <f>"9.124"</f>
        <v>9.124</v>
      </c>
    </row>
    <row r="151" spans="1:26" x14ac:dyDescent="0.3">
      <c r="A151" t="s">
        <v>139</v>
      </c>
      <c r="B151" t="s">
        <v>993</v>
      </c>
      <c r="C151" t="s">
        <v>38</v>
      </c>
      <c r="D151" t="s">
        <v>39</v>
      </c>
      <c r="E151" t="s">
        <v>30</v>
      </c>
      <c r="F151" t="str">
        <f t="shared" si="7"/>
        <v>110</v>
      </c>
      <c r="G151" t="str">
        <f>"PEX11B p.R137C"</f>
        <v>PEX11B p.R137C</v>
      </c>
      <c r="H151" t="str">
        <f>"NM_003846"</f>
        <v>NM_003846</v>
      </c>
      <c r="J151" t="s">
        <v>406</v>
      </c>
      <c r="K151" t="str">
        <f>"50%"</f>
        <v>50%</v>
      </c>
      <c r="L151" t="str">
        <f>"0.06"</f>
        <v>0.06</v>
      </c>
      <c r="N151" t="s">
        <v>41</v>
      </c>
      <c r="O151" t="s">
        <v>994</v>
      </c>
      <c r="P151" t="str">
        <f>"0.0018%"</f>
        <v>0.0018%</v>
      </c>
      <c r="Q151" t="str">
        <f>"0.0030%"</f>
        <v>0.0030%</v>
      </c>
      <c r="R151" t="str">
        <f>""</f>
        <v/>
      </c>
      <c r="S151" t="str">
        <f>""</f>
        <v/>
      </c>
      <c r="T151" t="s">
        <v>995</v>
      </c>
      <c r="U151" t="str">
        <f>""</f>
        <v/>
      </c>
      <c r="V151" t="str">
        <f>""</f>
        <v/>
      </c>
      <c r="W151" t="s">
        <v>996</v>
      </c>
      <c r="Z151" t="str">
        <f>"27.5"</f>
        <v>27.5</v>
      </c>
    </row>
    <row r="152" spans="1:26" x14ac:dyDescent="0.3">
      <c r="A152" t="s">
        <v>451</v>
      </c>
      <c r="B152" t="s">
        <v>997</v>
      </c>
      <c r="C152" t="s">
        <v>28</v>
      </c>
      <c r="D152" t="s">
        <v>39</v>
      </c>
      <c r="E152" t="s">
        <v>30</v>
      </c>
      <c r="F152" t="str">
        <f t="shared" si="7"/>
        <v>110</v>
      </c>
      <c r="G152" t="str">
        <f>"WRN p.L1074F"</f>
        <v>WRN p.L1074F</v>
      </c>
      <c r="H152" t="str">
        <f>"NM_000553"</f>
        <v>NM_000553</v>
      </c>
      <c r="J152" t="s">
        <v>998</v>
      </c>
      <c r="K152" t="str">
        <f>"100%"</f>
        <v>100%</v>
      </c>
      <c r="L152" t="str">
        <f>"-0.01"</f>
        <v>-0.01</v>
      </c>
      <c r="N152" t="s">
        <v>41</v>
      </c>
      <c r="O152" t="s">
        <v>999</v>
      </c>
      <c r="P152" t="str">
        <f>"44.9200%"</f>
        <v>44.9200%</v>
      </c>
      <c r="Q152" t="str">
        <f>"45.3200%"</f>
        <v>45.3200%</v>
      </c>
      <c r="R152" t="str">
        <f>"46.6900%"</f>
        <v>46.6900%</v>
      </c>
      <c r="S152" t="str">
        <f>"49.6006%"</f>
        <v>49.6006%</v>
      </c>
      <c r="T152" t="s">
        <v>1000</v>
      </c>
      <c r="U152" t="str">
        <f>"48.4980%"</f>
        <v>48.4980%</v>
      </c>
      <c r="V152" t="str">
        <f>"48.4980%"</f>
        <v>48.4980%</v>
      </c>
      <c r="W152" t="s">
        <v>1001</v>
      </c>
      <c r="X152" t="s">
        <v>1002</v>
      </c>
      <c r="Y152" t="s">
        <v>1003</v>
      </c>
      <c r="Z152" t="str">
        <f>"0.008"</f>
        <v>0.008</v>
      </c>
    </row>
    <row r="153" spans="1:26" x14ac:dyDescent="0.3">
      <c r="A153" t="s">
        <v>651</v>
      </c>
      <c r="B153" t="s">
        <v>1004</v>
      </c>
      <c r="C153" t="s">
        <v>38</v>
      </c>
      <c r="D153" t="s">
        <v>39</v>
      </c>
      <c r="E153" t="s">
        <v>30</v>
      </c>
      <c r="F153" t="str">
        <f t="shared" si="7"/>
        <v>110</v>
      </c>
      <c r="G153" t="str">
        <f>"MGMT p.L115F"</f>
        <v>MGMT p.L115F</v>
      </c>
      <c r="H153" t="str">
        <f>"NM_002412"</f>
        <v>NM_002412</v>
      </c>
      <c r="J153" t="s">
        <v>1005</v>
      </c>
      <c r="K153" t="str">
        <f>"100%"</f>
        <v>100%</v>
      </c>
      <c r="L153" t="str">
        <f>"-0.32"</f>
        <v>-0.32</v>
      </c>
      <c r="N153" t="s">
        <v>41</v>
      </c>
      <c r="O153" t="s">
        <v>1006</v>
      </c>
      <c r="P153" t="str">
        <f>"14.2000%"</f>
        <v>14.2000%</v>
      </c>
      <c r="Q153" t="str">
        <f>"14.4200%"</f>
        <v>14.4200%</v>
      </c>
      <c r="R153" t="str">
        <f>"13.4700%"</f>
        <v>13.4700%</v>
      </c>
      <c r="S153" t="str">
        <f>"14.8363%"</f>
        <v>14.8363%</v>
      </c>
      <c r="T153" t="s">
        <v>1007</v>
      </c>
      <c r="U153" t="str">
        <f>"14.9100%"</f>
        <v>14.9100%</v>
      </c>
      <c r="V153" t="str">
        <f>"14.9100%"</f>
        <v>14.9100%</v>
      </c>
      <c r="W153" t="s">
        <v>1008</v>
      </c>
      <c r="X153" t="s">
        <v>1009</v>
      </c>
      <c r="Z153" t="str">
        <f>"11.77"</f>
        <v>11.77</v>
      </c>
    </row>
    <row r="154" spans="1:26" x14ac:dyDescent="0.3">
      <c r="A154" t="s">
        <v>60</v>
      </c>
      <c r="B154" t="s">
        <v>1010</v>
      </c>
      <c r="C154" t="s">
        <v>29</v>
      </c>
      <c r="D154" t="s">
        <v>28</v>
      </c>
      <c r="E154" t="s">
        <v>30</v>
      </c>
      <c r="F154" t="str">
        <f t="shared" si="7"/>
        <v>110</v>
      </c>
      <c r="G154" t="str">
        <f>"SYNE1"</f>
        <v>SYNE1</v>
      </c>
      <c r="H154" t="str">
        <f>""</f>
        <v/>
      </c>
      <c r="J154" t="s">
        <v>1011</v>
      </c>
      <c r="K154" t="str">
        <f>"100%"</f>
        <v>100%</v>
      </c>
      <c r="L154" t="str">
        <f>"0.04"</f>
        <v>0.04</v>
      </c>
      <c r="N154" t="s">
        <v>41</v>
      </c>
      <c r="O154" t="s">
        <v>1012</v>
      </c>
      <c r="P154" t="str">
        <f>"48.1100%"</f>
        <v>48.1100%</v>
      </c>
      <c r="Q154" t="str">
        <f>"46.7400%"</f>
        <v>46.7400%</v>
      </c>
      <c r="R154" t="str">
        <f>"53.2500%"</f>
        <v>53.2500%</v>
      </c>
      <c r="S154" t="str">
        <f>"60.7228%"</f>
        <v>60.7228%</v>
      </c>
      <c r="T154" t="s">
        <v>1013</v>
      </c>
      <c r="U154" t="str">
        <f>"49.8910%"</f>
        <v>49.8910%</v>
      </c>
      <c r="V154" t="str">
        <f>"49.8630%"</f>
        <v>49.8630%</v>
      </c>
      <c r="W154" t="s">
        <v>1014</v>
      </c>
      <c r="X154" t="s">
        <v>1015</v>
      </c>
      <c r="Y154" t="s">
        <v>1016</v>
      </c>
      <c r="Z154" t="str">
        <f>"19.02"</f>
        <v>19.02</v>
      </c>
    </row>
    <row r="155" spans="1:26" x14ac:dyDescent="0.3">
      <c r="A155" t="s">
        <v>91</v>
      </c>
      <c r="B155" t="s">
        <v>1017</v>
      </c>
      <c r="C155" t="s">
        <v>38</v>
      </c>
      <c r="D155" t="s">
        <v>39</v>
      </c>
      <c r="E155" t="s">
        <v>30</v>
      </c>
      <c r="F155" t="str">
        <f t="shared" si="7"/>
        <v>110</v>
      </c>
      <c r="G155" t="str">
        <f>"CCDC175 p.E295K"</f>
        <v>CCDC175 p.E295K</v>
      </c>
      <c r="H155" t="str">
        <f>"NM_001164399"</f>
        <v>NM_001164399</v>
      </c>
      <c r="J155" t="s">
        <v>1018</v>
      </c>
      <c r="K155" t="str">
        <f>"100%"</f>
        <v>100%</v>
      </c>
      <c r="L155" t="str">
        <f>"0.04"</f>
        <v>0.04</v>
      </c>
      <c r="N155" t="s">
        <v>41</v>
      </c>
      <c r="O155" t="s">
        <v>1019</v>
      </c>
      <c r="P155" t="str">
        <f>"3.4600%"</f>
        <v>3.4600%</v>
      </c>
      <c r="Q155" t="str">
        <f>"3.8100%"</f>
        <v>3.8100%</v>
      </c>
      <c r="R155" t="str">
        <f>"4.0100%"</f>
        <v>4.0100%</v>
      </c>
      <c r="S155" t="str">
        <f>"2.2364%"</f>
        <v>2.2364%</v>
      </c>
      <c r="T155" t="s">
        <v>1020</v>
      </c>
      <c r="U155" t="str">
        <f>"4.0690%"</f>
        <v>4.0690%</v>
      </c>
      <c r="V155" t="str">
        <f>"4.0690%"</f>
        <v>4.0690%</v>
      </c>
      <c r="W155" t="s">
        <v>1021</v>
      </c>
      <c r="Z155" t="str">
        <f>"15.32"</f>
        <v>15.32</v>
      </c>
    </row>
    <row r="156" spans="1:26" x14ac:dyDescent="0.3">
      <c r="A156" t="s">
        <v>26</v>
      </c>
      <c r="B156" t="s">
        <v>1022</v>
      </c>
      <c r="C156" t="s">
        <v>38</v>
      </c>
      <c r="D156" t="s">
        <v>28</v>
      </c>
      <c r="E156" t="s">
        <v>30</v>
      </c>
      <c r="F156" t="str">
        <f t="shared" si="7"/>
        <v>110</v>
      </c>
      <c r="G156" t="str">
        <f>"ERBB2 p.P1170A"</f>
        <v>ERBB2 p.P1170A</v>
      </c>
      <c r="H156" t="str">
        <f>"NM_004448"</f>
        <v>NM_004448</v>
      </c>
      <c r="J156" t="s">
        <v>1023</v>
      </c>
      <c r="K156" t="str">
        <f>"45%"</f>
        <v>45%</v>
      </c>
      <c r="L156" t="str">
        <f>"-0.06"</f>
        <v>-0.06</v>
      </c>
      <c r="N156" t="s">
        <v>41</v>
      </c>
      <c r="O156" t="s">
        <v>1024</v>
      </c>
      <c r="P156" t="str">
        <f>"60.7000%"</f>
        <v>60.7000%</v>
      </c>
      <c r="Q156" t="str">
        <f>"61.1800%"</f>
        <v>61.1800%</v>
      </c>
      <c r="R156" t="str">
        <f>"51.3500%"</f>
        <v>51.3500%</v>
      </c>
      <c r="S156" t="str">
        <f>"45.2077%"</f>
        <v>45.2077%</v>
      </c>
      <c r="T156" t="s">
        <v>1025</v>
      </c>
      <c r="U156" t="str">
        <f>"59.5300%"</f>
        <v>59.5300%</v>
      </c>
      <c r="V156" t="str">
        <f>"59.4480%"</f>
        <v>59.4480%</v>
      </c>
      <c r="W156" t="s">
        <v>1026</v>
      </c>
      <c r="X156" t="s">
        <v>1027</v>
      </c>
      <c r="Y156" t="s">
        <v>1028</v>
      </c>
      <c r="Z156" t="str">
        <f>"22.3"</f>
        <v>22.3</v>
      </c>
    </row>
    <row r="157" spans="1:26" x14ac:dyDescent="0.3">
      <c r="A157" t="s">
        <v>60</v>
      </c>
      <c r="B157" t="s">
        <v>1029</v>
      </c>
      <c r="C157" t="s">
        <v>29</v>
      </c>
      <c r="D157" t="s">
        <v>38</v>
      </c>
      <c r="E157" t="s">
        <v>30</v>
      </c>
      <c r="F157" t="str">
        <f t="shared" si="7"/>
        <v>110</v>
      </c>
      <c r="G157" t="str">
        <f>"SLC22A2 p.S270A"</f>
        <v>SLC22A2 p.S270A</v>
      </c>
      <c r="H157" t="str">
        <f>"NM_003058"</f>
        <v>NM_003058</v>
      </c>
      <c r="J157" t="s">
        <v>1030</v>
      </c>
      <c r="K157" t="str">
        <f>"45%"</f>
        <v>45%</v>
      </c>
      <c r="L157" t="str">
        <f>"-0.10"</f>
        <v>-0.10</v>
      </c>
      <c r="N157" t="s">
        <v>41</v>
      </c>
      <c r="O157" t="s">
        <v>1031</v>
      </c>
      <c r="P157" t="str">
        <f>"89.3300%"</f>
        <v>89.3300%</v>
      </c>
      <c r="Q157" t="str">
        <f>"89.8900%"</f>
        <v>89.8900%</v>
      </c>
      <c r="R157" t="str">
        <f>"87.9100%"</f>
        <v>87.9100%</v>
      </c>
      <c r="S157" t="str">
        <f>"86.2620%"</f>
        <v>86.2620%</v>
      </c>
      <c r="T157" t="s">
        <v>1032</v>
      </c>
      <c r="U157" t="str">
        <f>"89.7870%"</f>
        <v>89.7870%</v>
      </c>
      <c r="V157" t="str">
        <f>"89.8140%"</f>
        <v>89.8140%</v>
      </c>
      <c r="W157" t="s">
        <v>1033</v>
      </c>
      <c r="Z157" t="str">
        <f>"10.10"</f>
        <v>10.10</v>
      </c>
    </row>
    <row r="158" spans="1:26" x14ac:dyDescent="0.3">
      <c r="A158" t="s">
        <v>91</v>
      </c>
      <c r="B158" t="s">
        <v>1034</v>
      </c>
      <c r="C158" t="s">
        <v>38</v>
      </c>
      <c r="D158" t="s">
        <v>29</v>
      </c>
      <c r="E158" t="s">
        <v>30</v>
      </c>
      <c r="F158" t="str">
        <f t="shared" si="7"/>
        <v>110</v>
      </c>
      <c r="G158" t="str">
        <f>"TSHR p.P52T"</f>
        <v>TSHR p.P52T</v>
      </c>
      <c r="H158" t="str">
        <f>"NM_000369"</f>
        <v>NM_000369</v>
      </c>
      <c r="J158" t="s">
        <v>1030</v>
      </c>
      <c r="K158" t="str">
        <f>"48%"</f>
        <v>48%</v>
      </c>
      <c r="L158" t="str">
        <f>"0.04"</f>
        <v>0.04</v>
      </c>
      <c r="N158" t="s">
        <v>41</v>
      </c>
      <c r="O158" t="s">
        <v>1035</v>
      </c>
      <c r="P158" t="str">
        <f>"6.9600%"</f>
        <v>6.9600%</v>
      </c>
      <c r="Q158" t="str">
        <f>"6.8800%"</f>
        <v>6.8800%</v>
      </c>
      <c r="R158" t="str">
        <f>"4.6600%"</f>
        <v>4.6600%</v>
      </c>
      <c r="S158" t="str">
        <f>"6.1701%"</f>
        <v>6.1701%</v>
      </c>
      <c r="T158" t="s">
        <v>1036</v>
      </c>
      <c r="U158" t="str">
        <f>"4.9150%"</f>
        <v>4.9150%</v>
      </c>
      <c r="V158" t="str">
        <f>"4.9150%"</f>
        <v>4.9150%</v>
      </c>
      <c r="W158" t="s">
        <v>1037</v>
      </c>
      <c r="X158" t="s">
        <v>1038</v>
      </c>
      <c r="Y158" t="s">
        <v>1039</v>
      </c>
      <c r="Z158" t="str">
        <f>"9.790"</f>
        <v>9.790</v>
      </c>
    </row>
    <row r="159" spans="1:26" x14ac:dyDescent="0.3">
      <c r="A159" t="s">
        <v>139</v>
      </c>
      <c r="B159" t="s">
        <v>1040</v>
      </c>
      <c r="C159" t="s">
        <v>29</v>
      </c>
      <c r="D159" t="s">
        <v>28</v>
      </c>
      <c r="E159" t="s">
        <v>1041</v>
      </c>
      <c r="F159" t="str">
        <f t="shared" si="7"/>
        <v>110</v>
      </c>
      <c r="G159" t="str">
        <f>"LOC110117498-PIK3R3;PIK3R3"</f>
        <v>LOC110117498-PIK3R3;PIK3R3</v>
      </c>
      <c r="H159" t="str">
        <f>""</f>
        <v/>
      </c>
      <c r="J159" t="s">
        <v>1042</v>
      </c>
      <c r="K159" t="str">
        <f>"100%"</f>
        <v>100%</v>
      </c>
      <c r="L159" t="str">
        <f>"0.05"</f>
        <v>0.05</v>
      </c>
      <c r="M159" t="s">
        <v>1043</v>
      </c>
      <c r="P159" t="str">
        <f>""</f>
        <v/>
      </c>
      <c r="Q159" t="str">
        <f>""</f>
        <v/>
      </c>
      <c r="R159" t="str">
        <f>""</f>
        <v/>
      </c>
      <c r="S159" t="str">
        <f>"49.7604%"</f>
        <v>49.7604%</v>
      </c>
      <c r="T159" t="s">
        <v>1044</v>
      </c>
      <c r="U159" t="str">
        <f>"47.1600%"</f>
        <v>47.1600%</v>
      </c>
      <c r="V159" t="str">
        <f>"47.1870%"</f>
        <v>47.1870%</v>
      </c>
      <c r="W159" t="s">
        <v>1045</v>
      </c>
      <c r="Z159" t="str">
        <f>""</f>
        <v/>
      </c>
    </row>
    <row r="160" spans="1:26" x14ac:dyDescent="0.3">
      <c r="A160" t="s">
        <v>91</v>
      </c>
      <c r="B160" t="s">
        <v>1046</v>
      </c>
      <c r="C160" t="s">
        <v>29</v>
      </c>
      <c r="D160" t="s">
        <v>28</v>
      </c>
      <c r="E160" t="s">
        <v>30</v>
      </c>
      <c r="F160" t="str">
        <f t="shared" si="7"/>
        <v>110</v>
      </c>
      <c r="G160" t="str">
        <f>"BCL2L2;BCL2L2-PABPN1"</f>
        <v>BCL2L2;BCL2L2-PABPN1</v>
      </c>
      <c r="H160" t="str">
        <f>""</f>
        <v/>
      </c>
      <c r="J160" t="s">
        <v>1047</v>
      </c>
      <c r="K160" t="str">
        <f>"100%"</f>
        <v>100%</v>
      </c>
      <c r="L160" t="str">
        <f>"0.04"</f>
        <v>0.04</v>
      </c>
      <c r="N160" t="s">
        <v>41</v>
      </c>
      <c r="O160" t="s">
        <v>1048</v>
      </c>
      <c r="P160" t="str">
        <f>"99.7900%"</f>
        <v>99.7900%</v>
      </c>
      <c r="Q160" t="str">
        <f>"99.7900%"</f>
        <v>99.7900%</v>
      </c>
      <c r="R160" t="str">
        <f>"99.7700%"</f>
        <v>99.7700%</v>
      </c>
      <c r="S160" t="str">
        <f>"99.9401%"</f>
        <v>99.9401%</v>
      </c>
      <c r="T160" t="s">
        <v>1049</v>
      </c>
      <c r="U160" t="str">
        <f>"99.7270%"</f>
        <v>99.7270%</v>
      </c>
      <c r="V160" t="str">
        <f>"99.6720%"</f>
        <v>99.6720%</v>
      </c>
      <c r="W160" t="s">
        <v>1050</v>
      </c>
      <c r="X160" t="s">
        <v>1051</v>
      </c>
      <c r="Z160" t="str">
        <f>"3.022"</f>
        <v>3.022</v>
      </c>
    </row>
    <row r="161" spans="1:26" x14ac:dyDescent="0.3">
      <c r="A161" t="s">
        <v>459</v>
      </c>
      <c r="B161" t="s">
        <v>1052</v>
      </c>
      <c r="C161" t="s">
        <v>28</v>
      </c>
      <c r="D161" t="s">
        <v>29</v>
      </c>
      <c r="E161" t="s">
        <v>30</v>
      </c>
      <c r="F161" t="str">
        <f t="shared" si="7"/>
        <v>110</v>
      </c>
      <c r="G161" t="str">
        <f>"GLI1 p.R637Q"</f>
        <v>GLI1 p.R637Q</v>
      </c>
      <c r="H161" t="str">
        <f>"NM_005269"</f>
        <v>NM_005269</v>
      </c>
      <c r="J161" t="s">
        <v>1053</v>
      </c>
      <c r="K161" t="str">
        <f>"45%"</f>
        <v>45%</v>
      </c>
      <c r="L161" t="str">
        <f>"-0.08"</f>
        <v>-0.08</v>
      </c>
      <c r="N161" t="s">
        <v>41</v>
      </c>
      <c r="O161" t="s">
        <v>1054</v>
      </c>
      <c r="P161" t="str">
        <f>"0.0075%"</f>
        <v>0.0075%</v>
      </c>
      <c r="Q161" t="str">
        <f>"0.0074%"</f>
        <v>0.0074%</v>
      </c>
      <c r="R161" t="str">
        <f>""</f>
        <v/>
      </c>
      <c r="S161" t="str">
        <f>"0.0200%"</f>
        <v>0.0200%</v>
      </c>
      <c r="T161" t="s">
        <v>1055</v>
      </c>
      <c r="U161" t="str">
        <f>""</f>
        <v/>
      </c>
      <c r="V161" t="str">
        <f>""</f>
        <v/>
      </c>
      <c r="W161" t="s">
        <v>1056</v>
      </c>
      <c r="X161" t="s">
        <v>1057</v>
      </c>
      <c r="Z161" t="str">
        <f>"20.6"</f>
        <v>20.6</v>
      </c>
    </row>
    <row r="162" spans="1:26" x14ac:dyDescent="0.3">
      <c r="A162" t="s">
        <v>83</v>
      </c>
      <c r="B162" t="s">
        <v>1058</v>
      </c>
      <c r="C162" t="s">
        <v>39</v>
      </c>
      <c r="D162" t="s">
        <v>38</v>
      </c>
      <c r="E162" t="s">
        <v>1041</v>
      </c>
      <c r="F162" t="str">
        <f t="shared" si="7"/>
        <v>110</v>
      </c>
      <c r="G162" t="str">
        <f>"LOC100505841"</f>
        <v>LOC100505841</v>
      </c>
      <c r="H162" t="str">
        <f>""</f>
        <v/>
      </c>
      <c r="J162" t="s">
        <v>1059</v>
      </c>
      <c r="K162" t="str">
        <f>"44%"</f>
        <v>44%</v>
      </c>
      <c r="L162" t="str">
        <f>"-0.06"</f>
        <v>-0.06</v>
      </c>
      <c r="M162" t="s">
        <v>1060</v>
      </c>
      <c r="P162" t="str">
        <f>"35.1200%"</f>
        <v>35.1200%</v>
      </c>
      <c r="Q162" t="str">
        <f>"27.1700%"</f>
        <v>27.1700%</v>
      </c>
      <c r="R162" t="str">
        <f>""</f>
        <v/>
      </c>
      <c r="S162" t="str">
        <f>"38.2188%"</f>
        <v>38.2188%</v>
      </c>
      <c r="T162" t="s">
        <v>1061</v>
      </c>
      <c r="U162" t="str">
        <f>"24.6310%"</f>
        <v>24.6310%</v>
      </c>
      <c r="V162" t="str">
        <f>"24.5770%"</f>
        <v>24.5770%</v>
      </c>
      <c r="W162" t="s">
        <v>1062</v>
      </c>
      <c r="Z162" t="str">
        <f>""</f>
        <v/>
      </c>
    </row>
    <row r="163" spans="1:26" x14ac:dyDescent="0.3">
      <c r="A163" t="s">
        <v>338</v>
      </c>
      <c r="B163" t="s">
        <v>1063</v>
      </c>
      <c r="C163" t="s">
        <v>38</v>
      </c>
      <c r="D163" t="s">
        <v>39</v>
      </c>
      <c r="E163" t="s">
        <v>30</v>
      </c>
      <c r="F163" t="str">
        <f t="shared" si="7"/>
        <v>110</v>
      </c>
      <c r="G163" t="str">
        <f>"KMT2B p.P1829L"</f>
        <v>KMT2B p.P1829L</v>
      </c>
      <c r="H163" t="str">
        <f>"NM_014727"</f>
        <v>NM_014727</v>
      </c>
      <c r="J163" t="s">
        <v>1059</v>
      </c>
      <c r="K163" t="str">
        <f>"48%"</f>
        <v>48%</v>
      </c>
      <c r="L163" t="str">
        <f>"0.10"</f>
        <v>0.10</v>
      </c>
      <c r="N163" t="s">
        <v>41</v>
      </c>
      <c r="O163" t="s">
        <v>1064</v>
      </c>
      <c r="P163" t="str">
        <f>"11.0000%"</f>
        <v>11.0000%</v>
      </c>
      <c r="Q163" t="str">
        <f>"10.9400%"</f>
        <v>10.9400%</v>
      </c>
      <c r="R163" t="str">
        <f>"8.9900%"</f>
        <v>8.9900%</v>
      </c>
      <c r="S163" t="str">
        <f>"10.0240%"</f>
        <v>10.0240%</v>
      </c>
      <c r="T163" t="s">
        <v>1065</v>
      </c>
      <c r="U163" t="str">
        <f>"9.4760%"</f>
        <v>9.4760%</v>
      </c>
      <c r="V163" t="str">
        <f>"9.4760%"</f>
        <v>9.4760%</v>
      </c>
      <c r="W163" t="s">
        <v>1066</v>
      </c>
      <c r="X163" t="s">
        <v>1067</v>
      </c>
      <c r="Z163" t="str">
        <f>"8.457"</f>
        <v>8.457</v>
      </c>
    </row>
    <row r="164" spans="1:26" x14ac:dyDescent="0.3">
      <c r="A164" t="s">
        <v>60</v>
      </c>
      <c r="B164" t="s">
        <v>1068</v>
      </c>
      <c r="C164" t="s">
        <v>39</v>
      </c>
      <c r="D164" t="s">
        <v>38</v>
      </c>
      <c r="E164" t="s">
        <v>30</v>
      </c>
      <c r="F164" t="str">
        <f t="shared" si="7"/>
        <v>110</v>
      </c>
      <c r="G164" t="str">
        <f>"SYNE1 p.S16G"</f>
        <v>SYNE1 p.S16G</v>
      </c>
      <c r="H164" t="str">
        <f>"NM_001347702"</f>
        <v>NM_001347702</v>
      </c>
      <c r="J164" t="s">
        <v>499</v>
      </c>
      <c r="K164" t="str">
        <f>"100%"</f>
        <v>100%</v>
      </c>
      <c r="L164" t="str">
        <f>"0.04"</f>
        <v>0.04</v>
      </c>
      <c r="N164" t="s">
        <v>41</v>
      </c>
      <c r="O164" t="s">
        <v>1069</v>
      </c>
      <c r="P164" t="str">
        <f>"82.7800%"</f>
        <v>82.7800%</v>
      </c>
      <c r="Q164" t="str">
        <f>"82.7100%"</f>
        <v>82.7100%</v>
      </c>
      <c r="R164" t="str">
        <f>"85.7200%"</f>
        <v>85.7200%</v>
      </c>
      <c r="S164" t="str">
        <f>"86.7013%"</f>
        <v>86.7013%</v>
      </c>
      <c r="T164" t="s">
        <v>1070</v>
      </c>
      <c r="U164" t="str">
        <f>"83.5610%"</f>
        <v>83.5610%</v>
      </c>
      <c r="V164" t="str">
        <f>"83.5610%"</f>
        <v>83.5610%</v>
      </c>
      <c r="W164" t="s">
        <v>1071</v>
      </c>
      <c r="Z164" t="str">
        <f>"1.881"</f>
        <v>1.881</v>
      </c>
    </row>
    <row r="165" spans="1:26" x14ac:dyDescent="0.3">
      <c r="A165" t="s">
        <v>91</v>
      </c>
      <c r="B165" t="s">
        <v>1072</v>
      </c>
      <c r="C165" t="s">
        <v>38</v>
      </c>
      <c r="D165" t="s">
        <v>29</v>
      </c>
      <c r="E165" t="s">
        <v>30</v>
      </c>
      <c r="F165" t="str">
        <f t="shared" si="7"/>
        <v>110</v>
      </c>
      <c r="G165" t="str">
        <f>"TSHR"</f>
        <v>TSHR</v>
      </c>
      <c r="H165" t="str">
        <f>""</f>
        <v/>
      </c>
      <c r="J165" t="s">
        <v>1073</v>
      </c>
      <c r="K165" t="str">
        <f>"100%"</f>
        <v>100%</v>
      </c>
      <c r="L165" t="str">
        <f>"0.04"</f>
        <v>0.04</v>
      </c>
      <c r="N165" t="s">
        <v>41</v>
      </c>
      <c r="O165" t="s">
        <v>1074</v>
      </c>
      <c r="P165" t="str">
        <f>"64.6500%"</f>
        <v>64.6500%</v>
      </c>
      <c r="Q165" t="str">
        <f>"64.6000%"</f>
        <v>64.6000%</v>
      </c>
      <c r="R165" t="str">
        <f>"64.2500%"</f>
        <v>64.2500%</v>
      </c>
      <c r="S165" t="str">
        <f>"61.0224%"</f>
        <v>61.0224%</v>
      </c>
      <c r="T165" t="s">
        <v>1075</v>
      </c>
      <c r="U165" t="str">
        <f>"63.7080%"</f>
        <v>63.7080%</v>
      </c>
      <c r="V165" t="str">
        <f>"63.6810%"</f>
        <v>63.6810%</v>
      </c>
      <c r="W165" t="s">
        <v>1076</v>
      </c>
      <c r="Y165" t="s">
        <v>1077</v>
      </c>
      <c r="Z165" t="str">
        <f>"8.541"</f>
        <v>8.541</v>
      </c>
    </row>
    <row r="166" spans="1:26" x14ac:dyDescent="0.3">
      <c r="A166" t="s">
        <v>91</v>
      </c>
      <c r="B166" t="s">
        <v>1078</v>
      </c>
      <c r="C166" t="s">
        <v>38</v>
      </c>
      <c r="D166" t="s">
        <v>39</v>
      </c>
      <c r="E166" t="s">
        <v>30</v>
      </c>
      <c r="F166" t="str">
        <f t="shared" si="7"/>
        <v>110</v>
      </c>
      <c r="G166" t="str">
        <f>"FOXA1 p.A83T"</f>
        <v>FOXA1 p.A83T</v>
      </c>
      <c r="H166" t="str">
        <f>"NM_004496"</f>
        <v>NM_004496</v>
      </c>
      <c r="J166" t="s">
        <v>1079</v>
      </c>
      <c r="K166" t="str">
        <f>"100%"</f>
        <v>100%</v>
      </c>
      <c r="L166" t="str">
        <f>"0.04"</f>
        <v>0.04</v>
      </c>
      <c r="N166" t="s">
        <v>41</v>
      </c>
      <c r="O166" t="s">
        <v>1080</v>
      </c>
      <c r="P166" t="str">
        <f>"60.8400%"</f>
        <v>60.8400%</v>
      </c>
      <c r="Q166" t="str">
        <f>"61.6100%"</f>
        <v>61.6100%</v>
      </c>
      <c r="R166" t="str">
        <f>"53.8700%"</f>
        <v>53.8700%</v>
      </c>
      <c r="S166" t="str">
        <f>"58.3067%"</f>
        <v>58.3067%</v>
      </c>
      <c r="T166" t="s">
        <v>1081</v>
      </c>
      <c r="U166" t="str">
        <f>"63.0800%"</f>
        <v>63.0800%</v>
      </c>
      <c r="V166" t="str">
        <f>"63.1080%"</f>
        <v>63.1080%</v>
      </c>
      <c r="W166" t="s">
        <v>1082</v>
      </c>
      <c r="X166" t="s">
        <v>1083</v>
      </c>
      <c r="Z166" t="str">
        <f>"15.22"</f>
        <v>15.22</v>
      </c>
    </row>
    <row r="167" spans="1:26" x14ac:dyDescent="0.3">
      <c r="A167" t="s">
        <v>397</v>
      </c>
      <c r="B167" t="s">
        <v>1084</v>
      </c>
      <c r="C167" t="s">
        <v>28</v>
      </c>
      <c r="D167" t="s">
        <v>39</v>
      </c>
      <c r="E167" t="s">
        <v>30</v>
      </c>
      <c r="F167" t="str">
        <f t="shared" si="7"/>
        <v>110</v>
      </c>
      <c r="G167" t="str">
        <f>"FAT3 p.V3518L"</f>
        <v>FAT3 p.V3518L</v>
      </c>
      <c r="H167" t="str">
        <f>"NM_001008781"</f>
        <v>NM_001008781</v>
      </c>
      <c r="J167" t="s">
        <v>1085</v>
      </c>
      <c r="K167" t="str">
        <f>"100%"</f>
        <v>100%</v>
      </c>
      <c r="L167" t="str">
        <f>"-0.10"</f>
        <v>-0.10</v>
      </c>
      <c r="N167" t="s">
        <v>41</v>
      </c>
      <c r="O167" t="s">
        <v>1086</v>
      </c>
      <c r="P167" t="str">
        <f>"37.4000%"</f>
        <v>37.4000%</v>
      </c>
      <c r="Q167" t="str">
        <f>"37.2400%"</f>
        <v>37.2400%</v>
      </c>
      <c r="R167" t="str">
        <f>"34.0400%"</f>
        <v>34.0400%</v>
      </c>
      <c r="S167" t="str">
        <f>"32.3482%"</f>
        <v>32.3482%</v>
      </c>
      <c r="T167" t="s">
        <v>1087</v>
      </c>
      <c r="U167" t="str">
        <f>"36.2640%"</f>
        <v>36.2640%</v>
      </c>
      <c r="V167" t="str">
        <f>"36.2640%"</f>
        <v>36.2640%</v>
      </c>
      <c r="W167" t="s">
        <v>1088</v>
      </c>
      <c r="Z167" t="str">
        <f>"1.037"</f>
        <v>1.037</v>
      </c>
    </row>
    <row r="168" spans="1:26" x14ac:dyDescent="0.3">
      <c r="A168" t="s">
        <v>241</v>
      </c>
      <c r="B168" t="s">
        <v>1089</v>
      </c>
      <c r="C168" t="s">
        <v>28</v>
      </c>
      <c r="D168" t="s">
        <v>39</v>
      </c>
      <c r="E168" t="s">
        <v>30</v>
      </c>
      <c r="F168" t="str">
        <f t="shared" si="7"/>
        <v>110</v>
      </c>
      <c r="G168" t="str">
        <f>"GLI2 p.A1156S"</f>
        <v>GLI2 p.A1156S</v>
      </c>
      <c r="H168" t="str">
        <f>"NM_005270"</f>
        <v>NM_005270</v>
      </c>
      <c r="J168" t="s">
        <v>1090</v>
      </c>
      <c r="K168" t="str">
        <f>"100%"</f>
        <v>100%</v>
      </c>
      <c r="L168" t="str">
        <f>"0.00"</f>
        <v>0.00</v>
      </c>
      <c r="N168" t="s">
        <v>41</v>
      </c>
      <c r="O168" t="s">
        <v>1091</v>
      </c>
      <c r="P168" t="str">
        <f>"62.9600%"</f>
        <v>62.9600%</v>
      </c>
      <c r="Q168" t="str">
        <f>"63.2300%"</f>
        <v>63.2300%</v>
      </c>
      <c r="R168" t="str">
        <f>"62.3400%"</f>
        <v>62.3400%</v>
      </c>
      <c r="S168" t="str">
        <f>"50.8986%"</f>
        <v>50.8986%</v>
      </c>
      <c r="T168" t="s">
        <v>1092</v>
      </c>
      <c r="U168" t="str">
        <f>"65.2920%"</f>
        <v>65.2920%</v>
      </c>
      <c r="V168" t="str">
        <f>"65.2650%"</f>
        <v>65.2650%</v>
      </c>
      <c r="W168" t="s">
        <v>1093</v>
      </c>
      <c r="X168" t="s">
        <v>1094</v>
      </c>
      <c r="Y168" t="s">
        <v>1095</v>
      </c>
      <c r="Z168" t="str">
        <f>"2.076"</f>
        <v>2.076</v>
      </c>
    </row>
    <row r="169" spans="1:26" x14ac:dyDescent="0.3">
      <c r="A169" t="s">
        <v>459</v>
      </c>
      <c r="B169" t="s">
        <v>1096</v>
      </c>
      <c r="C169" t="s">
        <v>38</v>
      </c>
      <c r="D169" t="s">
        <v>39</v>
      </c>
      <c r="E169" t="s">
        <v>30</v>
      </c>
      <c r="F169" t="str">
        <f t="shared" si="7"/>
        <v>110</v>
      </c>
      <c r="G169" t="str">
        <f>"HNF1A p.A98V"</f>
        <v>HNF1A p.A98V</v>
      </c>
      <c r="H169" t="str">
        <f>"NM_000545"</f>
        <v>NM_000545</v>
      </c>
      <c r="J169" t="s">
        <v>1090</v>
      </c>
      <c r="K169" t="str">
        <f>"46%"</f>
        <v>46%</v>
      </c>
      <c r="L169" t="str">
        <f>"-0.08"</f>
        <v>-0.08</v>
      </c>
      <c r="N169" t="s">
        <v>41</v>
      </c>
      <c r="O169" t="s">
        <v>1097</v>
      </c>
      <c r="P169" t="str">
        <f>"3.6700%"</f>
        <v>3.6700%</v>
      </c>
      <c r="Q169" t="str">
        <f>"2.9400%"</f>
        <v>2.9400%</v>
      </c>
      <c r="R169" t="str">
        <f>"1.8600%"</f>
        <v>1.8600%</v>
      </c>
      <c r="S169" t="str">
        <f>"1.9968%"</f>
        <v>1.9968%</v>
      </c>
      <c r="T169" t="s">
        <v>1098</v>
      </c>
      <c r="U169" t="str">
        <f>"2.0480%"</f>
        <v>2.0480%</v>
      </c>
      <c r="V169" t="str">
        <f>"2.0210%"</f>
        <v>2.0210%</v>
      </c>
      <c r="W169" t="s">
        <v>1099</v>
      </c>
      <c r="Y169" t="s">
        <v>1100</v>
      </c>
      <c r="Z169" t="str">
        <f>"18.32"</f>
        <v>18.32</v>
      </c>
    </row>
    <row r="170" spans="1:26" x14ac:dyDescent="0.3">
      <c r="A170" t="s">
        <v>26</v>
      </c>
      <c r="B170" t="s">
        <v>1101</v>
      </c>
      <c r="C170" t="s">
        <v>38</v>
      </c>
      <c r="D170" t="s">
        <v>39</v>
      </c>
      <c r="E170" t="s">
        <v>30</v>
      </c>
      <c r="F170" t="str">
        <f t="shared" si="7"/>
        <v>110</v>
      </c>
      <c r="G170" t="str">
        <f>"ARSG p.T444M"</f>
        <v>ARSG p.T444M</v>
      </c>
      <c r="H170" t="str">
        <f>"NM_014960"</f>
        <v>NM_014960</v>
      </c>
      <c r="J170" t="s">
        <v>1090</v>
      </c>
      <c r="K170" t="str">
        <f>"100%"</f>
        <v>100%</v>
      </c>
      <c r="L170" t="str">
        <f>"-0.06"</f>
        <v>-0.06</v>
      </c>
      <c r="N170" t="s">
        <v>41</v>
      </c>
      <c r="O170" t="s">
        <v>1102</v>
      </c>
      <c r="P170" t="str">
        <f>"12.3900%"</f>
        <v>12.3900%</v>
      </c>
      <c r="Q170" t="str">
        <f>"12.9800%"</f>
        <v>12.9800%</v>
      </c>
      <c r="R170" t="str">
        <f>"11.1200%"</f>
        <v>11.1200%</v>
      </c>
      <c r="S170" t="str">
        <f>"7.5080%"</f>
        <v>7.5080%</v>
      </c>
      <c r="T170" t="s">
        <v>1103</v>
      </c>
      <c r="U170" t="str">
        <f>"12.6160%"</f>
        <v>12.6160%</v>
      </c>
      <c r="V170" t="str">
        <f>"12.6160%"</f>
        <v>12.6160%</v>
      </c>
      <c r="W170" t="s">
        <v>1104</v>
      </c>
      <c r="Z170" t="str">
        <f>"10.34"</f>
        <v>10.34</v>
      </c>
    </row>
    <row r="171" spans="1:26" x14ac:dyDescent="0.3">
      <c r="A171" t="s">
        <v>451</v>
      </c>
      <c r="B171" t="s">
        <v>1105</v>
      </c>
      <c r="C171" t="s">
        <v>29</v>
      </c>
      <c r="D171" t="s">
        <v>38</v>
      </c>
      <c r="E171" t="s">
        <v>30</v>
      </c>
      <c r="F171" t="str">
        <f t="shared" si="7"/>
        <v>110</v>
      </c>
      <c r="G171" t="str">
        <f>"PTK2B p.K838T"</f>
        <v>PTK2B p.K838T</v>
      </c>
      <c r="H171" t="str">
        <f>"NM_173174"</f>
        <v>NM_173174</v>
      </c>
      <c r="J171" t="s">
        <v>1106</v>
      </c>
      <c r="K171" t="str">
        <f>"49%"</f>
        <v>49%</v>
      </c>
      <c r="L171" t="str">
        <f>"-0.01"</f>
        <v>-0.01</v>
      </c>
      <c r="N171" t="s">
        <v>41</v>
      </c>
      <c r="O171" t="s">
        <v>1107</v>
      </c>
      <c r="P171" t="str">
        <f>"43.7000%"</f>
        <v>43.7000%</v>
      </c>
      <c r="Q171" t="str">
        <f>"44.0600%"</f>
        <v>44.0600%</v>
      </c>
      <c r="R171" t="str">
        <f>"40.2400%"</f>
        <v>40.2400%</v>
      </c>
      <c r="S171" t="str">
        <f>"36.4617%"</f>
        <v>36.4617%</v>
      </c>
      <c r="T171" t="s">
        <v>1108</v>
      </c>
      <c r="U171" t="str">
        <f>"45.3030%"</f>
        <v>45.3030%</v>
      </c>
      <c r="V171" t="str">
        <f>"45.3030%"</f>
        <v>45.3030%</v>
      </c>
      <c r="W171" t="s">
        <v>1109</v>
      </c>
      <c r="Z171" t="str">
        <f>"8.485"</f>
        <v>8.485</v>
      </c>
    </row>
    <row r="172" spans="1:26" x14ac:dyDescent="0.3">
      <c r="A172" t="s">
        <v>241</v>
      </c>
      <c r="B172" t="s">
        <v>1110</v>
      </c>
      <c r="C172" t="s">
        <v>28</v>
      </c>
      <c r="D172" t="s">
        <v>29</v>
      </c>
      <c r="E172" t="s">
        <v>30</v>
      </c>
      <c r="F172" t="str">
        <f t="shared" si="7"/>
        <v>110</v>
      </c>
      <c r="G172" t="str">
        <f>"GLI2 p.D1306N"</f>
        <v>GLI2 p.D1306N</v>
      </c>
      <c r="H172" t="str">
        <f>"NM_005270"</f>
        <v>NM_005270</v>
      </c>
      <c r="J172" t="s">
        <v>1111</v>
      </c>
      <c r="K172" t="str">
        <f>"100%"</f>
        <v>100%</v>
      </c>
      <c r="L172" t="str">
        <f>"0.00"</f>
        <v>0.00</v>
      </c>
      <c r="N172" t="s">
        <v>41</v>
      </c>
      <c r="O172" t="s">
        <v>1112</v>
      </c>
      <c r="P172" t="str">
        <f>"64.6400%"</f>
        <v>64.6400%</v>
      </c>
      <c r="Q172" t="str">
        <f>"64.5000%"</f>
        <v>64.5000%</v>
      </c>
      <c r="R172" t="str">
        <f>"67.6900%"</f>
        <v>67.6900%</v>
      </c>
      <c r="S172" t="str">
        <f>"56.7093%"</f>
        <v>56.7093%</v>
      </c>
      <c r="T172" t="s">
        <v>1113</v>
      </c>
      <c r="U172" t="str">
        <f>"66.6850%"</f>
        <v>66.6850%</v>
      </c>
      <c r="V172" t="str">
        <f>"66.7390%"</f>
        <v>66.7390%</v>
      </c>
      <c r="W172" t="s">
        <v>1114</v>
      </c>
      <c r="X172" t="s">
        <v>1115</v>
      </c>
      <c r="Y172" t="s">
        <v>1116</v>
      </c>
      <c r="Z172" t="str">
        <f>"0.017"</f>
        <v>0.017</v>
      </c>
    </row>
    <row r="173" spans="1:26" x14ac:dyDescent="0.3">
      <c r="A173" t="s">
        <v>52</v>
      </c>
      <c r="B173" t="s">
        <v>1117</v>
      </c>
      <c r="C173" t="s">
        <v>29</v>
      </c>
      <c r="D173" t="s">
        <v>38</v>
      </c>
      <c r="E173" t="s">
        <v>30</v>
      </c>
      <c r="F173" t="str">
        <f t="shared" si="7"/>
        <v>110</v>
      </c>
      <c r="G173" t="str">
        <f>"ZFHX3 p.S72A"</f>
        <v>ZFHX3 p.S72A</v>
      </c>
      <c r="H173" t="str">
        <f>"NM_006885"</f>
        <v>NM_006885</v>
      </c>
      <c r="J173" t="s">
        <v>1118</v>
      </c>
      <c r="K173" t="str">
        <f>"100%"</f>
        <v>100%</v>
      </c>
      <c r="L173" t="str">
        <f>"-0.19"</f>
        <v>-0.19</v>
      </c>
      <c r="N173" t="s">
        <v>41</v>
      </c>
      <c r="O173" t="s">
        <v>1119</v>
      </c>
      <c r="P173" t="str">
        <f>"40.1400%"</f>
        <v>40.1400%</v>
      </c>
      <c r="Q173" t="str">
        <f>"38.6800%"</f>
        <v>38.6800%</v>
      </c>
      <c r="R173" t="str">
        <f>"47.3900%"</f>
        <v>47.3900%</v>
      </c>
      <c r="S173" t="str">
        <f>"47.0447%"</f>
        <v>47.0447%</v>
      </c>
      <c r="T173" t="s">
        <v>1120</v>
      </c>
      <c r="U173" t="str">
        <f>"36.7010%"</f>
        <v>36.7010%</v>
      </c>
      <c r="V173" t="str">
        <f>"36.7290%"</f>
        <v>36.7290%</v>
      </c>
      <c r="W173" t="s">
        <v>1121</v>
      </c>
      <c r="X173" t="s">
        <v>1122</v>
      </c>
      <c r="Z173" t="str">
        <f>"5.272"</f>
        <v>5.272</v>
      </c>
    </row>
    <row r="174" spans="1:26" x14ac:dyDescent="0.3">
      <c r="A174" t="s">
        <v>26</v>
      </c>
      <c r="B174" t="s">
        <v>1123</v>
      </c>
      <c r="C174" t="s">
        <v>29</v>
      </c>
      <c r="D174" t="s">
        <v>28</v>
      </c>
      <c r="E174" t="s">
        <v>30</v>
      </c>
      <c r="F174" t="str">
        <f t="shared" si="7"/>
        <v>110</v>
      </c>
      <c r="G174" t="str">
        <f>"AURKB p.M298T"</f>
        <v>AURKB p.M298T</v>
      </c>
      <c r="H174" t="str">
        <f>"NM_004217"</f>
        <v>NM_004217</v>
      </c>
      <c r="J174" t="s">
        <v>720</v>
      </c>
      <c r="K174" t="str">
        <f>"100%"</f>
        <v>100%</v>
      </c>
      <c r="L174" t="str">
        <f>"-0.07"</f>
        <v>-0.07</v>
      </c>
      <c r="N174" t="s">
        <v>41</v>
      </c>
      <c r="O174" t="s">
        <v>1124</v>
      </c>
      <c r="P174" t="str">
        <f>"83.0600%"</f>
        <v>83.0600%</v>
      </c>
      <c r="Q174" t="str">
        <f>"83.2200%"</f>
        <v>83.2200%</v>
      </c>
      <c r="R174" t="str">
        <f>"82.1900%"</f>
        <v>82.1900%</v>
      </c>
      <c r="S174" t="str">
        <f>"73.6022%"</f>
        <v>73.6022%</v>
      </c>
      <c r="T174" t="s">
        <v>1125</v>
      </c>
      <c r="U174" t="str">
        <f>"79.6290%"</f>
        <v>79.6290%</v>
      </c>
      <c r="V174" t="str">
        <f>"79.6290%"</f>
        <v>79.6290%</v>
      </c>
      <c r="W174" t="s">
        <v>1126</v>
      </c>
      <c r="X174" t="s">
        <v>1127</v>
      </c>
      <c r="Z174" t="str">
        <f>"0.092"</f>
        <v>0.092</v>
      </c>
    </row>
    <row r="175" spans="1:26" x14ac:dyDescent="0.3">
      <c r="A175" t="s">
        <v>139</v>
      </c>
      <c r="B175" t="s">
        <v>1128</v>
      </c>
      <c r="C175" t="s">
        <v>29</v>
      </c>
      <c r="D175" t="s">
        <v>28</v>
      </c>
      <c r="E175" t="s">
        <v>30</v>
      </c>
      <c r="F175" t="str">
        <f t="shared" si="7"/>
        <v>110</v>
      </c>
      <c r="G175" t="str">
        <f>"CHD5 p.S1539P"</f>
        <v>CHD5 p.S1539P</v>
      </c>
      <c r="H175" t="str">
        <f>"NM_015557"</f>
        <v>NM_015557</v>
      </c>
      <c r="J175" t="s">
        <v>1129</v>
      </c>
      <c r="K175" t="str">
        <f>"43%"</f>
        <v>43%</v>
      </c>
      <c r="L175" t="str">
        <f>"0.05"</f>
        <v>0.05</v>
      </c>
      <c r="N175" t="s">
        <v>41</v>
      </c>
      <c r="O175" t="s">
        <v>1130</v>
      </c>
      <c r="P175" t="str">
        <f>"65.7000%"</f>
        <v>65.7000%</v>
      </c>
      <c r="Q175" t="str">
        <f>"65.0900%"</f>
        <v>65.0900%</v>
      </c>
      <c r="R175" t="str">
        <f>"58.8000%"</f>
        <v>58.8000%</v>
      </c>
      <c r="S175" t="str">
        <f>"72.7636%"</f>
        <v>72.7636%</v>
      </c>
      <c r="T175" t="s">
        <v>1131</v>
      </c>
      <c r="U175" t="str">
        <f>"64.2000%"</f>
        <v>64.2000%</v>
      </c>
      <c r="V175" t="str">
        <f>"64.2000%"</f>
        <v>64.2000%</v>
      </c>
      <c r="W175" t="s">
        <v>1132</v>
      </c>
      <c r="X175" t="s">
        <v>1133</v>
      </c>
      <c r="Z175" t="str">
        <f>"11.10"</f>
        <v>11.10</v>
      </c>
    </row>
    <row r="176" spans="1:26" x14ac:dyDescent="0.3">
      <c r="A176" t="s">
        <v>338</v>
      </c>
      <c r="B176" t="s">
        <v>1134</v>
      </c>
      <c r="C176" t="s">
        <v>39</v>
      </c>
      <c r="D176" t="s">
        <v>38</v>
      </c>
      <c r="E176" t="s">
        <v>30</v>
      </c>
      <c r="F176" t="str">
        <f>"010"</f>
        <v>010</v>
      </c>
      <c r="G176" t="str">
        <f>"KMT2B p.S632P"</f>
        <v>KMT2B p.S632P</v>
      </c>
      <c r="H176" t="str">
        <f>"NM_014727"</f>
        <v>NM_014727</v>
      </c>
      <c r="J176" t="s">
        <v>1135</v>
      </c>
      <c r="K176" t="str">
        <f>"18%"</f>
        <v>18%</v>
      </c>
      <c r="L176" t="str">
        <f>"0.10"</f>
        <v>0.10</v>
      </c>
      <c r="N176" t="s">
        <v>41</v>
      </c>
      <c r="O176" t="s">
        <v>1136</v>
      </c>
      <c r="P176" t="str">
        <f>"0.0400%"</f>
        <v>0.0400%</v>
      </c>
      <c r="Q176" t="str">
        <f>"4.2700%"</f>
        <v>4.2700%</v>
      </c>
      <c r="R176" t="str">
        <f>""</f>
        <v/>
      </c>
      <c r="S176" t="str">
        <f>""</f>
        <v/>
      </c>
      <c r="T176" t="s">
        <v>1137</v>
      </c>
      <c r="U176" t="str">
        <f>"27.9360%"</f>
        <v>27.9360%</v>
      </c>
      <c r="V176" t="str">
        <f>"9.8310%"</f>
        <v>9.8310%</v>
      </c>
      <c r="W176" t="s">
        <v>1138</v>
      </c>
      <c r="Z176" t="str">
        <f>"0.137"</f>
        <v>0.137</v>
      </c>
    </row>
    <row r="177" spans="1:26" x14ac:dyDescent="0.3">
      <c r="A177" t="s">
        <v>397</v>
      </c>
      <c r="B177" t="s">
        <v>590</v>
      </c>
      <c r="C177" t="s">
        <v>1139</v>
      </c>
      <c r="D177" t="s">
        <v>39</v>
      </c>
      <c r="E177" t="s">
        <v>30</v>
      </c>
      <c r="F177" t="str">
        <f>"010"</f>
        <v>010</v>
      </c>
      <c r="G177" t="str">
        <f>"MAML2 p.603_607del"</f>
        <v>MAML2 p.603_607del</v>
      </c>
      <c r="H177" t="str">
        <f>"NM_032427"</f>
        <v>NM_032427</v>
      </c>
      <c r="J177" t="s">
        <v>1140</v>
      </c>
      <c r="K177" t="str">
        <f>"9%"</f>
        <v>9%</v>
      </c>
      <c r="L177" t="str">
        <f>"-0.10"</f>
        <v>-0.10</v>
      </c>
      <c r="N177" t="s">
        <v>222</v>
      </c>
      <c r="O177" t="s">
        <v>1141</v>
      </c>
      <c r="P177" t="str">
        <f>"10.5900%"</f>
        <v>10.5900%</v>
      </c>
      <c r="Q177" t="str">
        <f>"2.8100%"</f>
        <v>2.8100%</v>
      </c>
      <c r="R177" t="str">
        <f>"7.8400%"</f>
        <v>7.8400%</v>
      </c>
      <c r="S177" t="str">
        <f>""</f>
        <v/>
      </c>
      <c r="T177" t="s">
        <v>1142</v>
      </c>
      <c r="U177" t="str">
        <f>"32.3590%"</f>
        <v>32.3590%</v>
      </c>
      <c r="V177" t="str">
        <f>"19.1430%"</f>
        <v>19.1430%</v>
      </c>
      <c r="W177" t="s">
        <v>1143</v>
      </c>
      <c r="X177" t="s">
        <v>1144</v>
      </c>
      <c r="Z177" t="str">
        <f>""</f>
        <v/>
      </c>
    </row>
    <row r="178" spans="1:26" x14ac:dyDescent="0.3">
      <c r="A178" t="s">
        <v>459</v>
      </c>
      <c r="B178" t="s">
        <v>1145</v>
      </c>
      <c r="C178" t="s">
        <v>38</v>
      </c>
      <c r="D178" t="s">
        <v>29</v>
      </c>
      <c r="E178" t="s">
        <v>30</v>
      </c>
      <c r="F178" t="str">
        <f t="shared" ref="F178:F186" si="8">"110"</f>
        <v>110</v>
      </c>
      <c r="G178" t="str">
        <f>"ESPL1 p.S614R"</f>
        <v>ESPL1 p.S614R</v>
      </c>
      <c r="H178" t="str">
        <f>"NM_012291"</f>
        <v>NM_012291</v>
      </c>
      <c r="J178" t="s">
        <v>1146</v>
      </c>
      <c r="K178" t="str">
        <f>"100%"</f>
        <v>100%</v>
      </c>
      <c r="L178" t="str">
        <f>"-0.08"</f>
        <v>-0.08</v>
      </c>
      <c r="N178" t="s">
        <v>41</v>
      </c>
      <c r="O178" t="s">
        <v>1147</v>
      </c>
      <c r="P178" t="str">
        <f>"65.6100%"</f>
        <v>65.6100%</v>
      </c>
      <c r="Q178" t="str">
        <f>"65.7500%"</f>
        <v>65.7500%</v>
      </c>
      <c r="R178" t="str">
        <f>"56.7500%"</f>
        <v>56.7500%</v>
      </c>
      <c r="S178" t="str">
        <f>"63.3187%"</f>
        <v>63.3187%</v>
      </c>
      <c r="T178" t="s">
        <v>1148</v>
      </c>
      <c r="U178" t="str">
        <f>"67.0400%"</f>
        <v>67.0400%</v>
      </c>
      <c r="V178" t="str">
        <f>"67.0670%"</f>
        <v>67.0670%</v>
      </c>
      <c r="W178" t="s">
        <v>1149</v>
      </c>
      <c r="X178" t="s">
        <v>1150</v>
      </c>
      <c r="Z178" t="str">
        <f>"16.80"</f>
        <v>16.80</v>
      </c>
    </row>
    <row r="179" spans="1:26" x14ac:dyDescent="0.3">
      <c r="A179" t="s">
        <v>484</v>
      </c>
      <c r="B179" t="s">
        <v>1151</v>
      </c>
      <c r="C179" t="s">
        <v>39</v>
      </c>
      <c r="D179" t="s">
        <v>38</v>
      </c>
      <c r="E179" t="s">
        <v>30</v>
      </c>
      <c r="F179" t="str">
        <f t="shared" si="8"/>
        <v>110</v>
      </c>
      <c r="G179" t="str">
        <f>"BTK p.E24G"</f>
        <v>BTK p.E24G</v>
      </c>
      <c r="H179" t="str">
        <f>"NM_001287344"</f>
        <v>NM_001287344</v>
      </c>
      <c r="J179" t="s">
        <v>1152</v>
      </c>
      <c r="K179" t="str">
        <f>"100%"</f>
        <v>100%</v>
      </c>
      <c r="L179" t="str">
        <f>"0.01"</f>
        <v>0.01</v>
      </c>
      <c r="N179" t="s">
        <v>41</v>
      </c>
      <c r="O179" t="s">
        <v>1153</v>
      </c>
      <c r="P179" t="str">
        <f>"33.8700%"</f>
        <v>33.8700%</v>
      </c>
      <c r="Q179" t="str">
        <f>"25.1800%"</f>
        <v>25.1800%</v>
      </c>
      <c r="R179" t="str">
        <f>""</f>
        <v/>
      </c>
      <c r="S179" t="str">
        <f>"39.9205%"</f>
        <v>39.9205%</v>
      </c>
      <c r="T179" t="s">
        <v>1154</v>
      </c>
      <c r="U179" t="str">
        <f>"20.8580%"</f>
        <v>20.8580%</v>
      </c>
      <c r="V179" t="str">
        <f>"20.8580%"</f>
        <v>20.8580%</v>
      </c>
      <c r="W179" t="s">
        <v>1155</v>
      </c>
      <c r="Y179" t="s">
        <v>1156</v>
      </c>
      <c r="Z179" t="str">
        <f>""</f>
        <v/>
      </c>
    </row>
    <row r="180" spans="1:26" x14ac:dyDescent="0.3">
      <c r="A180" t="s">
        <v>338</v>
      </c>
      <c r="B180" t="s">
        <v>1157</v>
      </c>
      <c r="C180" t="s">
        <v>28</v>
      </c>
      <c r="D180" t="s">
        <v>29</v>
      </c>
      <c r="E180" t="s">
        <v>30</v>
      </c>
      <c r="F180" t="str">
        <f t="shared" si="8"/>
        <v>110</v>
      </c>
      <c r="G180" t="str">
        <f>"NOTCH3 p.S497L"</f>
        <v>NOTCH3 p.S497L</v>
      </c>
      <c r="H180" t="str">
        <f>"NM_000435"</f>
        <v>NM_000435</v>
      </c>
      <c r="J180" t="s">
        <v>1158</v>
      </c>
      <c r="K180" t="str">
        <f>"50%"</f>
        <v>50%</v>
      </c>
      <c r="L180" t="str">
        <f>"0.15"</f>
        <v>0.15</v>
      </c>
      <c r="N180" t="s">
        <v>41</v>
      </c>
      <c r="O180" t="s">
        <v>1159</v>
      </c>
      <c r="P180" t="str">
        <f>"1.2300%"</f>
        <v>1.2300%</v>
      </c>
      <c r="Q180" t="str">
        <f>"0.6700%"</f>
        <v>0.6700%</v>
      </c>
      <c r="R180" t="str">
        <f>"0.7500%"</f>
        <v>0.7500%</v>
      </c>
      <c r="S180" t="str">
        <f>"0.7388%"</f>
        <v>0.7388%</v>
      </c>
      <c r="T180" t="s">
        <v>1160</v>
      </c>
      <c r="U180" t="str">
        <f>"0.4370%"</f>
        <v>0.4370%</v>
      </c>
      <c r="V180" t="str">
        <f>"0.4370%"</f>
        <v>0.4370%</v>
      </c>
      <c r="W180" t="s">
        <v>1161</v>
      </c>
      <c r="X180" t="s">
        <v>1162</v>
      </c>
      <c r="Y180" t="s">
        <v>1163</v>
      </c>
      <c r="Z180" t="str">
        <f>"13.27"</f>
        <v>13.27</v>
      </c>
    </row>
    <row r="181" spans="1:26" x14ac:dyDescent="0.3">
      <c r="A181" t="s">
        <v>139</v>
      </c>
      <c r="B181" t="s">
        <v>1164</v>
      </c>
      <c r="C181" t="s">
        <v>29</v>
      </c>
      <c r="D181" t="s">
        <v>28</v>
      </c>
      <c r="E181" t="s">
        <v>30</v>
      </c>
      <c r="F181" t="str">
        <f t="shared" si="8"/>
        <v>110</v>
      </c>
      <c r="G181" t="str">
        <f>"TNFRSF14 p.K17R"</f>
        <v>TNFRSF14 p.K17R</v>
      </c>
      <c r="H181" t="str">
        <f>"NM_003820"</f>
        <v>NM_003820</v>
      </c>
      <c r="J181" t="s">
        <v>1165</v>
      </c>
      <c r="K181" t="str">
        <f>"46%"</f>
        <v>46%</v>
      </c>
      <c r="L181" t="str">
        <f>"0.05"</f>
        <v>0.05</v>
      </c>
      <c r="N181" t="s">
        <v>41</v>
      </c>
      <c r="O181" t="s">
        <v>1166</v>
      </c>
      <c r="P181" t="str">
        <f>"54.4300%"</f>
        <v>54.4300%</v>
      </c>
      <c r="Q181" t="str">
        <f>"51.2900%"</f>
        <v>51.2900%</v>
      </c>
      <c r="R181" t="str">
        <f>"55.8000%"</f>
        <v>55.8000%</v>
      </c>
      <c r="S181" t="str">
        <f>"61.4816%"</f>
        <v>61.4816%</v>
      </c>
      <c r="T181" t="s">
        <v>1167</v>
      </c>
      <c r="U181" t="str">
        <f>"48.0880%"</f>
        <v>48.0880%</v>
      </c>
      <c r="V181" t="str">
        <f>"48.0880%"</f>
        <v>48.0880%</v>
      </c>
      <c r="W181" t="s">
        <v>1168</v>
      </c>
      <c r="X181" t="s">
        <v>1169</v>
      </c>
      <c r="Y181" t="s">
        <v>1170</v>
      </c>
      <c r="Z181" t="str">
        <f>"10.75"</f>
        <v>10.75</v>
      </c>
    </row>
    <row r="182" spans="1:26" x14ac:dyDescent="0.3">
      <c r="A182" t="s">
        <v>459</v>
      </c>
      <c r="B182" t="s">
        <v>1171</v>
      </c>
      <c r="C182" t="s">
        <v>39</v>
      </c>
      <c r="D182" t="s">
        <v>1172</v>
      </c>
      <c r="E182" t="s">
        <v>30</v>
      </c>
      <c r="F182" t="str">
        <f t="shared" si="8"/>
        <v>110</v>
      </c>
      <c r="G182" t="str">
        <f>"KMT2D p.Q3741delinsQQ"</f>
        <v>KMT2D p.Q3741delinsQQ</v>
      </c>
      <c r="H182" t="str">
        <f>"NM_003482"</f>
        <v>NM_003482</v>
      </c>
      <c r="J182" t="s">
        <v>1173</v>
      </c>
      <c r="K182" t="str">
        <f>"49%"</f>
        <v>49%</v>
      </c>
      <c r="L182" t="str">
        <f>"-0.08"</f>
        <v>-0.08</v>
      </c>
      <c r="N182" t="s">
        <v>640</v>
      </c>
      <c r="O182" t="s">
        <v>1174</v>
      </c>
      <c r="P182" t="str">
        <f>"0.1900%"</f>
        <v>0.1900%</v>
      </c>
      <c r="Q182" t="str">
        <f>"0.1600%"</f>
        <v>0.1600%</v>
      </c>
      <c r="R182" t="str">
        <f>"0.1800%"</f>
        <v>0.1800%</v>
      </c>
      <c r="S182" t="str">
        <f>""</f>
        <v/>
      </c>
      <c r="T182" t="s">
        <v>1175</v>
      </c>
      <c r="U182" t="str">
        <f>"0.1640%"</f>
        <v>0.1640%</v>
      </c>
      <c r="V182" t="str">
        <f>"0.1640%"</f>
        <v>0.1640%</v>
      </c>
      <c r="W182" t="s">
        <v>1176</v>
      </c>
      <c r="Y182" t="s">
        <v>1177</v>
      </c>
      <c r="Z182" t="str">
        <f>""</f>
        <v/>
      </c>
    </row>
    <row r="183" spans="1:26" x14ac:dyDescent="0.3">
      <c r="A183" t="s">
        <v>338</v>
      </c>
      <c r="B183" t="s">
        <v>1178</v>
      </c>
      <c r="C183" t="s">
        <v>28</v>
      </c>
      <c r="D183" t="s">
        <v>29</v>
      </c>
      <c r="E183" t="s">
        <v>30</v>
      </c>
      <c r="F183" t="str">
        <f t="shared" si="8"/>
        <v>110</v>
      </c>
      <c r="G183" t="str">
        <f>"NOTCH3 p.A2223V"</f>
        <v>NOTCH3 p.A2223V</v>
      </c>
      <c r="H183" t="str">
        <f>"NM_000435"</f>
        <v>NM_000435</v>
      </c>
      <c r="J183" t="s">
        <v>604</v>
      </c>
      <c r="K183" t="str">
        <f>"55%"</f>
        <v>55%</v>
      </c>
      <c r="L183" t="str">
        <f>"0.15"</f>
        <v>0.15</v>
      </c>
      <c r="N183" t="s">
        <v>41</v>
      </c>
      <c r="O183" t="s">
        <v>1179</v>
      </c>
      <c r="P183" t="str">
        <f>"75.9100%"</f>
        <v>75.9100%</v>
      </c>
      <c r="Q183" t="str">
        <f>"71.5400%"</f>
        <v>71.5400%</v>
      </c>
      <c r="R183" t="str">
        <f>"73.4900%"</f>
        <v>73.4900%</v>
      </c>
      <c r="S183" t="str">
        <f>"62.9393%"</f>
        <v>62.9393%</v>
      </c>
      <c r="T183" t="s">
        <v>1180</v>
      </c>
      <c r="U183" t="str">
        <f>"70.4530%"</f>
        <v>70.4530%</v>
      </c>
      <c r="V183" t="str">
        <f>"70.5080%"</f>
        <v>70.5080%</v>
      </c>
      <c r="W183" t="s">
        <v>1181</v>
      </c>
      <c r="X183" t="s">
        <v>1182</v>
      </c>
      <c r="Y183" t="s">
        <v>1183</v>
      </c>
      <c r="Z183" t="str">
        <f>"7.163"</f>
        <v>7.163</v>
      </c>
    </row>
    <row r="184" spans="1:26" x14ac:dyDescent="0.3">
      <c r="A184" t="s">
        <v>60</v>
      </c>
      <c r="B184" t="s">
        <v>1184</v>
      </c>
      <c r="C184" t="s">
        <v>28</v>
      </c>
      <c r="D184" t="s">
        <v>29</v>
      </c>
      <c r="E184" t="s">
        <v>30</v>
      </c>
      <c r="F184" t="str">
        <f t="shared" si="8"/>
        <v>110</v>
      </c>
      <c r="G184" t="str">
        <f>"FANCE p.A502T"</f>
        <v>FANCE p.A502T</v>
      </c>
      <c r="H184" t="str">
        <f>"NM_021922"</f>
        <v>NM_021922</v>
      </c>
      <c r="J184" t="s">
        <v>1185</v>
      </c>
      <c r="K184" t="str">
        <f>"43%"</f>
        <v>43%</v>
      </c>
      <c r="L184" t="str">
        <f>"-0.03"</f>
        <v>-0.03</v>
      </c>
      <c r="N184" t="s">
        <v>41</v>
      </c>
      <c r="O184" t="s">
        <v>1186</v>
      </c>
      <c r="P184" t="str">
        <f>"9.7900%"</f>
        <v>9.7900%</v>
      </c>
      <c r="Q184" t="str">
        <f>"9.0000%"</f>
        <v>9.0000%</v>
      </c>
      <c r="R184" t="str">
        <f>"15.1000%"</f>
        <v>15.1000%</v>
      </c>
      <c r="S184" t="str">
        <f>"18.9497%"</f>
        <v>18.9497%</v>
      </c>
      <c r="T184" t="s">
        <v>1187</v>
      </c>
      <c r="U184" t="str">
        <f>"7.7280%"</f>
        <v>7.7280%</v>
      </c>
      <c r="V184" t="str">
        <f>"7.7280%"</f>
        <v>7.7280%</v>
      </c>
      <c r="W184" t="s">
        <v>1188</v>
      </c>
      <c r="X184" t="s">
        <v>1189</v>
      </c>
      <c r="Y184" t="s">
        <v>1190</v>
      </c>
      <c r="Z184" t="str">
        <f>"6.940"</f>
        <v>6.940</v>
      </c>
    </row>
    <row r="185" spans="1:26" x14ac:dyDescent="0.3">
      <c r="A185" t="s">
        <v>83</v>
      </c>
      <c r="B185" t="s">
        <v>1191</v>
      </c>
      <c r="C185" t="s">
        <v>38</v>
      </c>
      <c r="D185" t="s">
        <v>29</v>
      </c>
      <c r="E185" t="s">
        <v>30</v>
      </c>
      <c r="F185" t="str">
        <f t="shared" si="8"/>
        <v>110</v>
      </c>
      <c r="G185" t="str">
        <f>"FLT4 p.R1324L"</f>
        <v>FLT4 p.R1324L</v>
      </c>
      <c r="H185" t="str">
        <f>"NM_182925"</f>
        <v>NM_182925</v>
      </c>
      <c r="J185" t="s">
        <v>1192</v>
      </c>
      <c r="K185" t="str">
        <f>"45%"</f>
        <v>45%</v>
      </c>
      <c r="L185" t="str">
        <f>"-0.06"</f>
        <v>-0.06</v>
      </c>
      <c r="N185" t="s">
        <v>41</v>
      </c>
      <c r="O185" t="s">
        <v>1193</v>
      </c>
      <c r="P185" t="str">
        <f>"8.2800%"</f>
        <v>8.2800%</v>
      </c>
      <c r="Q185" t="str">
        <f>"7.8700%"</f>
        <v>7.8700%</v>
      </c>
      <c r="R185" t="str">
        <f>"8.9500%"</f>
        <v>8.9500%</v>
      </c>
      <c r="S185" t="str">
        <f>""</f>
        <v/>
      </c>
      <c r="T185" t="s">
        <v>1194</v>
      </c>
      <c r="U185" t="str">
        <f>"7.3460%"</f>
        <v>7.3460%</v>
      </c>
      <c r="V185" t="str">
        <f>"7.3460%"</f>
        <v>7.3460%</v>
      </c>
      <c r="W185" t="s">
        <v>1195</v>
      </c>
      <c r="X185" t="s">
        <v>1196</v>
      </c>
      <c r="Y185" t="s">
        <v>1197</v>
      </c>
      <c r="Z185" t="str">
        <f>"6.173"</f>
        <v>6.173</v>
      </c>
    </row>
    <row r="186" spans="1:26" x14ac:dyDescent="0.3">
      <c r="A186" t="s">
        <v>83</v>
      </c>
      <c r="B186" t="s">
        <v>1198</v>
      </c>
      <c r="C186" t="s">
        <v>39</v>
      </c>
      <c r="D186" t="s">
        <v>38</v>
      </c>
      <c r="E186" t="s">
        <v>30</v>
      </c>
      <c r="F186" t="str">
        <f t="shared" si="8"/>
        <v>110</v>
      </c>
      <c r="G186" t="str">
        <f>"FLT4 p.T494A"</f>
        <v>FLT4 p.T494A</v>
      </c>
      <c r="H186" t="str">
        <f>"NM_002020"</f>
        <v>NM_002020</v>
      </c>
      <c r="J186" t="s">
        <v>1199</v>
      </c>
      <c r="K186" t="str">
        <f>"42%"</f>
        <v>42%</v>
      </c>
      <c r="L186" t="str">
        <f>"-0.06"</f>
        <v>-0.06</v>
      </c>
      <c r="N186" t="s">
        <v>41</v>
      </c>
      <c r="O186" t="s">
        <v>1200</v>
      </c>
      <c r="P186" t="str">
        <f>"9.0200%"</f>
        <v>9.0200%</v>
      </c>
      <c r="Q186" t="str">
        <f>"8.9200%"</f>
        <v>8.9200%</v>
      </c>
      <c r="R186" t="str">
        <f>"9.1300%"</f>
        <v>9.1300%</v>
      </c>
      <c r="S186" t="str">
        <f>"5.2915%"</f>
        <v>5.2915%</v>
      </c>
      <c r="T186" t="s">
        <v>1201</v>
      </c>
      <c r="U186" t="str">
        <f>"8.4110%"</f>
        <v>8.4110%</v>
      </c>
      <c r="V186" t="str">
        <f>"8.3830%"</f>
        <v>8.3830%</v>
      </c>
      <c r="W186" t="s">
        <v>1202</v>
      </c>
      <c r="X186" t="s">
        <v>1203</v>
      </c>
      <c r="Y186" t="s">
        <v>1204</v>
      </c>
      <c r="Z186" t="str">
        <f>"5.503"</f>
        <v>5.503</v>
      </c>
    </row>
    <row r="187" spans="1:26" x14ac:dyDescent="0.3">
      <c r="A187" t="s">
        <v>459</v>
      </c>
      <c r="B187" t="s">
        <v>1205</v>
      </c>
      <c r="C187" t="s">
        <v>38</v>
      </c>
      <c r="D187" t="s">
        <v>1206</v>
      </c>
      <c r="E187" t="s">
        <v>526</v>
      </c>
      <c r="F187" t="str">
        <f>"111"</f>
        <v>111</v>
      </c>
      <c r="G187" t="str">
        <f>"RAP1B"</f>
        <v>RAP1B</v>
      </c>
      <c r="H187" t="str">
        <f>""</f>
        <v/>
      </c>
      <c r="J187" t="s">
        <v>1207</v>
      </c>
      <c r="K187" t="str">
        <f>"100%"</f>
        <v>100%</v>
      </c>
      <c r="L187" t="str">
        <f>"-0.08"</f>
        <v>-0.08</v>
      </c>
      <c r="M187" t="s">
        <v>1208</v>
      </c>
      <c r="P187" t="str">
        <f>""</f>
        <v/>
      </c>
      <c r="Q187" t="str">
        <f>""</f>
        <v/>
      </c>
      <c r="R187" t="str">
        <f>""</f>
        <v/>
      </c>
      <c r="S187" t="str">
        <f>""</f>
        <v/>
      </c>
      <c r="T187" t="s">
        <v>1209</v>
      </c>
      <c r="U187" t="str">
        <f>"67.6950%"</f>
        <v>67.6950%</v>
      </c>
      <c r="V187" t="str">
        <f>"67.7770%"</f>
        <v>67.7770%</v>
      </c>
      <c r="W187" t="s">
        <v>1210</v>
      </c>
      <c r="Z187" t="str">
        <f>""</f>
        <v/>
      </c>
    </row>
    <row r="188" spans="1:26" x14ac:dyDescent="0.3">
      <c r="A188" t="s">
        <v>338</v>
      </c>
      <c r="B188" t="s">
        <v>1211</v>
      </c>
      <c r="C188" t="s">
        <v>38</v>
      </c>
      <c r="D188" t="s">
        <v>39</v>
      </c>
      <c r="E188" t="s">
        <v>30</v>
      </c>
      <c r="F188" t="str">
        <f>"110"</f>
        <v>110</v>
      </c>
      <c r="G188" t="str">
        <f>"HIPK4 p.R302Q"</f>
        <v>HIPK4 p.R302Q</v>
      </c>
      <c r="H188" t="str">
        <f>"NM_144685"</f>
        <v>NM_144685</v>
      </c>
      <c r="J188" t="s">
        <v>611</v>
      </c>
      <c r="K188" t="str">
        <f>"48%"</f>
        <v>48%</v>
      </c>
      <c r="L188" t="str">
        <f>"0.10"</f>
        <v>0.10</v>
      </c>
      <c r="N188" t="s">
        <v>41</v>
      </c>
      <c r="O188" t="s">
        <v>1212</v>
      </c>
      <c r="P188" t="str">
        <f>"9.3200%"</f>
        <v>9.3200%</v>
      </c>
      <c r="Q188" t="str">
        <f>"9.0900%"</f>
        <v>9.0900%</v>
      </c>
      <c r="R188" t="str">
        <f>"7.1700%"</f>
        <v>7.1700%</v>
      </c>
      <c r="S188" t="str">
        <f>"7.4081%"</f>
        <v>7.4081%</v>
      </c>
      <c r="T188" t="s">
        <v>1213</v>
      </c>
      <c r="U188" t="str">
        <f>"8.4380%"</f>
        <v>8.4380%</v>
      </c>
      <c r="V188" t="str">
        <f>"8.4380%"</f>
        <v>8.4380%</v>
      </c>
      <c r="W188" t="s">
        <v>1214</v>
      </c>
      <c r="Z188" t="str">
        <f>"11.64"</f>
        <v>11.64</v>
      </c>
    </row>
    <row r="189" spans="1:26" x14ac:dyDescent="0.3">
      <c r="A189" t="s">
        <v>131</v>
      </c>
      <c r="B189" t="s">
        <v>1215</v>
      </c>
      <c r="C189" t="s">
        <v>1216</v>
      </c>
      <c r="D189" t="s">
        <v>29</v>
      </c>
      <c r="E189" t="s">
        <v>30</v>
      </c>
      <c r="F189" t="str">
        <f>"010"</f>
        <v>010</v>
      </c>
      <c r="G189" t="str">
        <f>"NCOA3 p.1255_1255del"</f>
        <v>NCOA3 p.1255_1255del</v>
      </c>
      <c r="H189" t="str">
        <f>"NM_181659"</f>
        <v>NM_181659</v>
      </c>
      <c r="J189" t="s">
        <v>1217</v>
      </c>
      <c r="K189" t="str">
        <f>"51%"</f>
        <v>51%</v>
      </c>
      <c r="L189" t="str">
        <f>"-0.02"</f>
        <v>-0.02</v>
      </c>
      <c r="N189" t="s">
        <v>222</v>
      </c>
      <c r="O189" t="s">
        <v>1218</v>
      </c>
      <c r="P189" t="str">
        <f>"27.9800%"</f>
        <v>27.9800%</v>
      </c>
      <c r="Q189" t="str">
        <f>""</f>
        <v/>
      </c>
      <c r="R189" t="str">
        <f>"35.5300%"</f>
        <v>35.5300%</v>
      </c>
      <c r="S189" t="str">
        <f>""</f>
        <v/>
      </c>
      <c r="T189" t="s">
        <v>1219</v>
      </c>
      <c r="U189" t="str">
        <f>"31.7040%"</f>
        <v>31.7040%</v>
      </c>
      <c r="V189" t="str">
        <f>"32.5780%"</f>
        <v>32.5780%</v>
      </c>
      <c r="W189" t="s">
        <v>1220</v>
      </c>
      <c r="X189" t="s">
        <v>1221</v>
      </c>
      <c r="Z189" t="str">
        <f>""</f>
        <v/>
      </c>
    </row>
    <row r="190" spans="1:26" x14ac:dyDescent="0.3">
      <c r="A190" t="s">
        <v>459</v>
      </c>
      <c r="B190" t="s">
        <v>1222</v>
      </c>
      <c r="C190" t="s">
        <v>29</v>
      </c>
      <c r="D190" t="s">
        <v>28</v>
      </c>
      <c r="E190" t="s">
        <v>30</v>
      </c>
      <c r="F190" t="str">
        <f t="shared" ref="F190:F198" si="9">"110"</f>
        <v>110</v>
      </c>
      <c r="G190" t="str">
        <f>"HNF1A p.S574G"</f>
        <v>HNF1A p.S574G</v>
      </c>
      <c r="H190" t="str">
        <f>"NM_000545"</f>
        <v>NM_000545</v>
      </c>
      <c r="J190" t="s">
        <v>1223</v>
      </c>
      <c r="K190" t="str">
        <f>"100%"</f>
        <v>100%</v>
      </c>
      <c r="L190" t="str">
        <f>"-0.08"</f>
        <v>-0.08</v>
      </c>
      <c r="N190" t="s">
        <v>41</v>
      </c>
      <c r="O190" t="s">
        <v>1224</v>
      </c>
      <c r="P190" t="str">
        <f>"99.5800%"</f>
        <v>99.5800%</v>
      </c>
      <c r="Q190" t="str">
        <f>"99.6600%"</f>
        <v>99.6600%</v>
      </c>
      <c r="R190" t="str">
        <f>"98.6900%"</f>
        <v>98.6900%</v>
      </c>
      <c r="S190" t="str">
        <f>"98.5224%"</f>
        <v>98.5224%</v>
      </c>
      <c r="T190" t="s">
        <v>1225</v>
      </c>
      <c r="U190" t="str">
        <f>"99.5080%"</f>
        <v>99.5080%</v>
      </c>
      <c r="V190" t="str">
        <f>"99.5900%"</f>
        <v>99.5900%</v>
      </c>
      <c r="W190" t="s">
        <v>1226</v>
      </c>
      <c r="X190" t="s">
        <v>1227</v>
      </c>
      <c r="Y190" t="s">
        <v>1228</v>
      </c>
      <c r="Z190" t="str">
        <f>"1.220"</f>
        <v>1.220</v>
      </c>
    </row>
    <row r="191" spans="1:26" x14ac:dyDescent="0.3">
      <c r="A191" t="s">
        <v>26</v>
      </c>
      <c r="B191" t="s">
        <v>1229</v>
      </c>
      <c r="C191" t="s">
        <v>39</v>
      </c>
      <c r="D191" t="s">
        <v>38</v>
      </c>
      <c r="E191" t="s">
        <v>30</v>
      </c>
      <c r="F191" t="str">
        <f t="shared" si="9"/>
        <v>110</v>
      </c>
      <c r="G191" t="str">
        <f>"COL1A1 p.T1075A"</f>
        <v>COL1A1 p.T1075A</v>
      </c>
      <c r="H191" t="str">
        <f>"NM_000088"</f>
        <v>NM_000088</v>
      </c>
      <c r="J191" t="s">
        <v>1230</v>
      </c>
      <c r="K191" t="str">
        <f>"99%"</f>
        <v>99%</v>
      </c>
      <c r="L191" t="str">
        <f>"-0.06"</f>
        <v>-0.06</v>
      </c>
      <c r="N191" t="s">
        <v>41</v>
      </c>
      <c r="O191" t="s">
        <v>1231</v>
      </c>
      <c r="P191" t="str">
        <f>"98.4800%"</f>
        <v>98.4800%</v>
      </c>
      <c r="Q191" t="str">
        <f>"98.5100%"</f>
        <v>98.5100%</v>
      </c>
      <c r="R191" t="str">
        <f>"97.1000%"</f>
        <v>97.1000%</v>
      </c>
      <c r="S191" t="str">
        <f>"97.8834%"</f>
        <v>97.8834%</v>
      </c>
      <c r="T191" t="s">
        <v>1232</v>
      </c>
      <c r="U191" t="str">
        <f>"98.3620%"</f>
        <v>98.3620%</v>
      </c>
      <c r="V191" t="str">
        <f>"98.4980%"</f>
        <v>98.4980%</v>
      </c>
      <c r="W191" t="s">
        <v>1233</v>
      </c>
      <c r="X191" t="s">
        <v>1234</v>
      </c>
      <c r="Y191" t="s">
        <v>1235</v>
      </c>
      <c r="Z191" t="str">
        <f>"0.130"</f>
        <v>0.130</v>
      </c>
    </row>
    <row r="192" spans="1:26" x14ac:dyDescent="0.3">
      <c r="A192" t="s">
        <v>338</v>
      </c>
      <c r="B192" t="s">
        <v>1236</v>
      </c>
      <c r="C192" t="s">
        <v>38</v>
      </c>
      <c r="D192" t="s">
        <v>28</v>
      </c>
      <c r="E192" t="s">
        <v>1041</v>
      </c>
      <c r="F192" t="str">
        <f t="shared" si="9"/>
        <v>110</v>
      </c>
      <c r="G192" t="str">
        <f>"MIR523;MIR525"</f>
        <v>MIR523;MIR525</v>
      </c>
      <c r="H192" t="str">
        <f>""</f>
        <v/>
      </c>
      <c r="J192" t="s">
        <v>1237</v>
      </c>
      <c r="K192" t="str">
        <f>"99%"</f>
        <v>99%</v>
      </c>
      <c r="L192" t="str">
        <f>"0.10"</f>
        <v>0.10</v>
      </c>
      <c r="M192" t="s">
        <v>1238</v>
      </c>
      <c r="P192" t="str">
        <f>"16.1700%"</f>
        <v>16.1700%</v>
      </c>
      <c r="Q192" t="str">
        <f>"16.1400%"</f>
        <v>16.1400%</v>
      </c>
      <c r="R192" t="str">
        <f>"12.7100%"</f>
        <v>12.7100%</v>
      </c>
      <c r="S192" t="str">
        <f>"17.8914%"</f>
        <v>17.8914%</v>
      </c>
      <c r="T192" t="s">
        <v>1239</v>
      </c>
      <c r="U192" t="str">
        <f>"16.9310%"</f>
        <v>16.9310%</v>
      </c>
      <c r="V192" t="str">
        <f>"16.9310%"</f>
        <v>16.9310%</v>
      </c>
      <c r="W192" t="s">
        <v>1240</v>
      </c>
      <c r="Z192" t="str">
        <f>""</f>
        <v/>
      </c>
    </row>
    <row r="193" spans="1:26" x14ac:dyDescent="0.3">
      <c r="A193" t="s">
        <v>459</v>
      </c>
      <c r="B193" t="s">
        <v>1241</v>
      </c>
      <c r="C193" t="s">
        <v>39</v>
      </c>
      <c r="D193" t="s">
        <v>29</v>
      </c>
      <c r="E193" t="s">
        <v>30</v>
      </c>
      <c r="F193" t="str">
        <f t="shared" si="9"/>
        <v>110</v>
      </c>
      <c r="G193" t="str">
        <f>"COL2A1 p.T9S"</f>
        <v>COL2A1 p.T9S</v>
      </c>
      <c r="H193" t="str">
        <f>"NM_033150"</f>
        <v>NM_033150</v>
      </c>
      <c r="J193" t="s">
        <v>1242</v>
      </c>
      <c r="K193" t="str">
        <f>"43%"</f>
        <v>43%</v>
      </c>
      <c r="L193" t="str">
        <f>"-0.08"</f>
        <v>-0.08</v>
      </c>
      <c r="N193" t="s">
        <v>41</v>
      </c>
      <c r="O193" t="s">
        <v>1243</v>
      </c>
      <c r="P193" t="str">
        <f>"77.2600%"</f>
        <v>77.2600%</v>
      </c>
      <c r="Q193" t="str">
        <f>"74.1100%"</f>
        <v>74.1100%</v>
      </c>
      <c r="R193" t="str">
        <f>"78.9100%"</f>
        <v>78.9100%</v>
      </c>
      <c r="S193" t="str">
        <f>"68.5304%"</f>
        <v>68.5304%</v>
      </c>
      <c r="T193" t="s">
        <v>1244</v>
      </c>
      <c r="U193" t="str">
        <f>"75.2320%"</f>
        <v>75.2320%</v>
      </c>
      <c r="V193" t="str">
        <f>"75.2050%"</f>
        <v>75.2050%</v>
      </c>
      <c r="W193" t="s">
        <v>1245</v>
      </c>
      <c r="X193" t="s">
        <v>1246</v>
      </c>
      <c r="Y193" t="s">
        <v>1247</v>
      </c>
      <c r="Z193" t="str">
        <f>"13.97"</f>
        <v>13.97</v>
      </c>
    </row>
    <row r="194" spans="1:26" x14ac:dyDescent="0.3">
      <c r="A194" t="s">
        <v>110</v>
      </c>
      <c r="B194" t="s">
        <v>1248</v>
      </c>
      <c r="C194" t="s">
        <v>28</v>
      </c>
      <c r="D194" t="s">
        <v>29</v>
      </c>
      <c r="E194" t="s">
        <v>30</v>
      </c>
      <c r="F194" t="str">
        <f t="shared" si="9"/>
        <v>110</v>
      </c>
      <c r="G194" t="str">
        <f>"PAX5"</f>
        <v>PAX5</v>
      </c>
      <c r="H194" t="str">
        <f>""</f>
        <v/>
      </c>
      <c r="J194" t="s">
        <v>1249</v>
      </c>
      <c r="K194" t="str">
        <f>"100%"</f>
        <v>100%</v>
      </c>
      <c r="L194" t="str">
        <f>"-0.24"</f>
        <v>-0.24</v>
      </c>
      <c r="N194" t="s">
        <v>41</v>
      </c>
      <c r="O194" t="s">
        <v>1250</v>
      </c>
      <c r="P194" t="str">
        <f>"86.8700%"</f>
        <v>86.8700%</v>
      </c>
      <c r="Q194" t="str">
        <f>"87.9900%"</f>
        <v>87.9900%</v>
      </c>
      <c r="R194" t="str">
        <f>"76.3100%"</f>
        <v>76.3100%</v>
      </c>
      <c r="S194" t="str">
        <f>"74.2013%"</f>
        <v>74.2013%</v>
      </c>
      <c r="T194" t="s">
        <v>1251</v>
      </c>
      <c r="U194" t="str">
        <f>"88.6950%"</f>
        <v>88.6950%</v>
      </c>
      <c r="V194" t="str">
        <f>"88.6950%"</f>
        <v>88.6950%</v>
      </c>
      <c r="W194" t="s">
        <v>1252</v>
      </c>
      <c r="Y194" t="s">
        <v>1253</v>
      </c>
      <c r="Z194" t="str">
        <f>"12.18"</f>
        <v>12.18</v>
      </c>
    </row>
    <row r="195" spans="1:26" x14ac:dyDescent="0.3">
      <c r="A195" t="s">
        <v>241</v>
      </c>
      <c r="B195" t="s">
        <v>1254</v>
      </c>
      <c r="C195" t="s">
        <v>28</v>
      </c>
      <c r="D195" t="s">
        <v>29</v>
      </c>
      <c r="E195" t="s">
        <v>30</v>
      </c>
      <c r="F195" t="str">
        <f t="shared" si="9"/>
        <v>110</v>
      </c>
      <c r="G195" t="str">
        <f>"BARD1 p.P24S"</f>
        <v>BARD1 p.P24S</v>
      </c>
      <c r="H195" t="str">
        <f>"NM_000465"</f>
        <v>NM_000465</v>
      </c>
      <c r="J195" t="s">
        <v>1255</v>
      </c>
      <c r="K195" t="str">
        <f>"49%"</f>
        <v>49%</v>
      </c>
      <c r="L195" t="str">
        <f>"0.00"</f>
        <v>0.00</v>
      </c>
      <c r="N195" t="s">
        <v>41</v>
      </c>
      <c r="O195" t="s">
        <v>1256</v>
      </c>
      <c r="P195" t="str">
        <f>"43.7700%"</f>
        <v>43.7700%</v>
      </c>
      <c r="Q195" t="str">
        <f>"38.4200%"</f>
        <v>38.4200%</v>
      </c>
      <c r="R195" t="str">
        <f>"30.3100%"</f>
        <v>30.3100%</v>
      </c>
      <c r="S195" t="str">
        <f>"33.1270%"</f>
        <v>33.1270%</v>
      </c>
      <c r="T195" t="s">
        <v>1257</v>
      </c>
      <c r="U195" t="str">
        <f>"36.7290%"</f>
        <v>36.7290%</v>
      </c>
      <c r="V195" t="str">
        <f>"36.6740%"</f>
        <v>36.6740%</v>
      </c>
      <c r="W195" t="s">
        <v>1258</v>
      </c>
      <c r="X195" t="s">
        <v>1259</v>
      </c>
      <c r="Y195" t="s">
        <v>1260</v>
      </c>
      <c r="Z195" t="str">
        <f>"14.84"</f>
        <v>14.84</v>
      </c>
    </row>
    <row r="196" spans="1:26" x14ac:dyDescent="0.3">
      <c r="A196" t="s">
        <v>437</v>
      </c>
      <c r="B196" t="s">
        <v>1261</v>
      </c>
      <c r="C196" t="s">
        <v>28</v>
      </c>
      <c r="D196" t="s">
        <v>29</v>
      </c>
      <c r="E196" t="s">
        <v>30</v>
      </c>
      <c r="F196" t="str">
        <f t="shared" si="9"/>
        <v>110</v>
      </c>
      <c r="G196" t="str">
        <f>"XKR3 p.T143M"</f>
        <v>XKR3 p.T143M</v>
      </c>
      <c r="H196" t="str">
        <f>"NM_175878"</f>
        <v>NM_175878</v>
      </c>
      <c r="J196" t="s">
        <v>1262</v>
      </c>
      <c r="K196" t="str">
        <f>"56%"</f>
        <v>56%</v>
      </c>
      <c r="L196" t="str">
        <f>"0.18"</f>
        <v>0.18</v>
      </c>
      <c r="N196" t="s">
        <v>41</v>
      </c>
      <c r="O196" t="s">
        <v>1263</v>
      </c>
      <c r="P196" t="str">
        <f>"9.5100%"</f>
        <v>9.5100%</v>
      </c>
      <c r="Q196" t="str">
        <f>"9.5300%"</f>
        <v>9.5300%</v>
      </c>
      <c r="R196" t="str">
        <f>"10.0600%"</f>
        <v>10.0600%</v>
      </c>
      <c r="S196" t="str">
        <f>"14.2772%"</f>
        <v>14.2772%</v>
      </c>
      <c r="T196" t="s">
        <v>1264</v>
      </c>
      <c r="U196" t="str">
        <f>"9.5300%"</f>
        <v>9.5300%</v>
      </c>
      <c r="V196" t="str">
        <f>"9.5300%"</f>
        <v>9.5300%</v>
      </c>
      <c r="W196" t="s">
        <v>1265</v>
      </c>
      <c r="Z196" t="str">
        <f>"6.601"</f>
        <v>6.601</v>
      </c>
    </row>
    <row r="197" spans="1:26" x14ac:dyDescent="0.3">
      <c r="A197" t="s">
        <v>139</v>
      </c>
      <c r="B197" t="s">
        <v>1266</v>
      </c>
      <c r="C197" t="s">
        <v>29</v>
      </c>
      <c r="D197" t="s">
        <v>28</v>
      </c>
      <c r="E197" t="s">
        <v>1041</v>
      </c>
      <c r="F197" t="str">
        <f t="shared" si="9"/>
        <v>110</v>
      </c>
      <c r="G197" t="str">
        <f>"LOC110117498-PIK3R3;PIK3R3"</f>
        <v>LOC110117498-PIK3R3;PIK3R3</v>
      </c>
      <c r="H197" t="str">
        <f>""</f>
        <v/>
      </c>
      <c r="J197" t="s">
        <v>1267</v>
      </c>
      <c r="K197" t="str">
        <f>"100%"</f>
        <v>100%</v>
      </c>
      <c r="L197" t="str">
        <f>"0.05"</f>
        <v>0.05</v>
      </c>
      <c r="M197" t="s">
        <v>1268</v>
      </c>
      <c r="P197" t="str">
        <f>""</f>
        <v/>
      </c>
      <c r="Q197" t="str">
        <f>""</f>
        <v/>
      </c>
      <c r="R197" t="str">
        <f>""</f>
        <v/>
      </c>
      <c r="S197" t="str">
        <f>"64.8363%"</f>
        <v>64.8363%</v>
      </c>
      <c r="T197" t="s">
        <v>1269</v>
      </c>
      <c r="U197" t="str">
        <f>"66.8490%"</f>
        <v>66.8490%</v>
      </c>
      <c r="V197" t="str">
        <f>"66.9580%"</f>
        <v>66.9580%</v>
      </c>
      <c r="W197" t="s">
        <v>1270</v>
      </c>
      <c r="Z197" t="str">
        <f>""</f>
        <v/>
      </c>
    </row>
    <row r="198" spans="1:26" x14ac:dyDescent="0.3">
      <c r="A198" t="s">
        <v>280</v>
      </c>
      <c r="B198" t="s">
        <v>1271</v>
      </c>
      <c r="C198" t="s">
        <v>39</v>
      </c>
      <c r="D198" t="s">
        <v>38</v>
      </c>
      <c r="E198" t="s">
        <v>30</v>
      </c>
      <c r="F198" t="str">
        <f t="shared" si="9"/>
        <v>110</v>
      </c>
      <c r="G198" t="str">
        <f>"ADAMTS17 p.N1094S"</f>
        <v>ADAMTS17 p.N1094S</v>
      </c>
      <c r="H198" t="str">
        <f>"NM_139057"</f>
        <v>NM_139057</v>
      </c>
      <c r="J198" t="s">
        <v>700</v>
      </c>
      <c r="K198" t="str">
        <f>"100%"</f>
        <v>100%</v>
      </c>
      <c r="L198" t="str">
        <f>"-0.18"</f>
        <v>-0.18</v>
      </c>
      <c r="N198" t="s">
        <v>41</v>
      </c>
      <c r="O198" t="s">
        <v>1272</v>
      </c>
      <c r="P198" t="str">
        <f>"66.1700%"</f>
        <v>66.1700%</v>
      </c>
      <c r="Q198" t="str">
        <f>"65.7700%"</f>
        <v>65.7700%</v>
      </c>
      <c r="R198" t="str">
        <f>"71.4400%"</f>
        <v>71.4400%</v>
      </c>
      <c r="S198" t="str">
        <f>"67.9513%"</f>
        <v>67.9513%</v>
      </c>
      <c r="T198" t="s">
        <v>1273</v>
      </c>
      <c r="U198" t="str">
        <f>"63.2440%"</f>
        <v>63.2440%</v>
      </c>
      <c r="V198" t="str">
        <f>"63.2710%"</f>
        <v>63.2710%</v>
      </c>
      <c r="W198" t="s">
        <v>1274</v>
      </c>
      <c r="Y198" t="s">
        <v>1275</v>
      </c>
      <c r="Z198" t="str">
        <f>"0.048"</f>
        <v>0.048</v>
      </c>
    </row>
    <row r="199" spans="1:26" x14ac:dyDescent="0.3">
      <c r="A199" t="s">
        <v>484</v>
      </c>
      <c r="B199" t="s">
        <v>1276</v>
      </c>
      <c r="C199" t="s">
        <v>39</v>
      </c>
      <c r="D199" t="s">
        <v>1277</v>
      </c>
      <c r="E199" t="s">
        <v>30</v>
      </c>
      <c r="F199" t="str">
        <f>"000"</f>
        <v>000</v>
      </c>
      <c r="G199" t="str">
        <f>"AR p.L57delinsLQ"</f>
        <v>AR p.L57delinsLQ</v>
      </c>
      <c r="H199" t="str">
        <f>"NM_000044"</f>
        <v>NM_000044</v>
      </c>
      <c r="J199" t="s">
        <v>1278</v>
      </c>
      <c r="K199" t="str">
        <f>"9%"</f>
        <v>9%</v>
      </c>
      <c r="L199" t="str">
        <f>"0.01"</f>
        <v>0.01</v>
      </c>
      <c r="N199" t="s">
        <v>640</v>
      </c>
      <c r="O199" t="s">
        <v>1279</v>
      </c>
      <c r="P199" t="str">
        <f>"0.7600%"</f>
        <v>0.7600%</v>
      </c>
      <c r="Q199" t="str">
        <f>""</f>
        <v/>
      </c>
      <c r="R199" t="str">
        <f>""</f>
        <v/>
      </c>
      <c r="S199" t="str">
        <f>""</f>
        <v/>
      </c>
      <c r="T199" t="s">
        <v>1280</v>
      </c>
      <c r="U199" t="str">
        <f>"12.7640%"</f>
        <v>12.7640%</v>
      </c>
      <c r="V199" t="str">
        <f>"13.5250%"</f>
        <v>13.5250%</v>
      </c>
      <c r="W199" t="s">
        <v>1281</v>
      </c>
      <c r="Y199" t="s">
        <v>1282</v>
      </c>
      <c r="Z199" t="str">
        <f>""</f>
        <v/>
      </c>
    </row>
    <row r="200" spans="1:26" x14ac:dyDescent="0.3">
      <c r="A200" t="s">
        <v>484</v>
      </c>
      <c r="B200" t="s">
        <v>1276</v>
      </c>
      <c r="C200" t="s">
        <v>39</v>
      </c>
      <c r="D200" t="s">
        <v>1283</v>
      </c>
      <c r="E200" t="s">
        <v>30</v>
      </c>
      <c r="F200" t="str">
        <f>"100"</f>
        <v>100</v>
      </c>
      <c r="G200" t="str">
        <f>"AR p.L57delinsLQQ"</f>
        <v>AR p.L57delinsLQQ</v>
      </c>
      <c r="H200" t="str">
        <f>"NM_000044"</f>
        <v>NM_000044</v>
      </c>
      <c r="J200" t="s">
        <v>1278</v>
      </c>
      <c r="K200" t="str">
        <f>"82%"</f>
        <v>82%</v>
      </c>
      <c r="L200" t="str">
        <f>"0.01"</f>
        <v>0.01</v>
      </c>
      <c r="N200" t="s">
        <v>640</v>
      </c>
      <c r="O200" t="s">
        <v>1284</v>
      </c>
      <c r="P200" t="str">
        <f>""</f>
        <v/>
      </c>
      <c r="Q200" t="str">
        <f>""</f>
        <v/>
      </c>
      <c r="R200" t="str">
        <f>""</f>
        <v/>
      </c>
      <c r="S200" t="str">
        <f>""</f>
        <v/>
      </c>
      <c r="T200" t="s">
        <v>1280</v>
      </c>
      <c r="U200" t="str">
        <f>"9.1660%"</f>
        <v>9.1660%</v>
      </c>
      <c r="V200" t="str">
        <f>"12.9020%"</f>
        <v>12.9020%</v>
      </c>
      <c r="W200" t="s">
        <v>1285</v>
      </c>
      <c r="Y200" t="s">
        <v>1286</v>
      </c>
      <c r="Z200" t="str">
        <f>""</f>
        <v/>
      </c>
    </row>
    <row r="201" spans="1:26" x14ac:dyDescent="0.3">
      <c r="A201" t="s">
        <v>338</v>
      </c>
      <c r="B201" t="s">
        <v>1287</v>
      </c>
      <c r="C201" t="s">
        <v>29</v>
      </c>
      <c r="D201" t="s">
        <v>38</v>
      </c>
      <c r="E201" t="s">
        <v>30</v>
      </c>
      <c r="F201" t="str">
        <f>"110"</f>
        <v>110</v>
      </c>
      <c r="G201" t="str">
        <f>"PIK3R2 p.S234R"</f>
        <v>PIK3R2 p.S234R</v>
      </c>
      <c r="H201" t="str">
        <f>"NM_005027"</f>
        <v>NM_005027</v>
      </c>
      <c r="J201" t="s">
        <v>1288</v>
      </c>
      <c r="K201" t="str">
        <f>"100%"</f>
        <v>100%</v>
      </c>
      <c r="L201" t="str">
        <f>"0.15"</f>
        <v>0.15</v>
      </c>
      <c r="N201" t="s">
        <v>41</v>
      </c>
      <c r="O201" t="s">
        <v>1289</v>
      </c>
      <c r="P201" t="str">
        <f>"89.6100%"</f>
        <v>89.6100%</v>
      </c>
      <c r="Q201" t="str">
        <f>"88.4100%"</f>
        <v>88.4100%</v>
      </c>
      <c r="R201" t="str">
        <f>""</f>
        <v/>
      </c>
      <c r="S201" t="str">
        <f>"92.3922%"</f>
        <v>92.3922%</v>
      </c>
      <c r="T201" t="s">
        <v>1290</v>
      </c>
      <c r="U201" t="str">
        <f>"91.3440%"</f>
        <v>91.3440%</v>
      </c>
      <c r="V201" t="str">
        <f>"90.7430%"</f>
        <v>90.7430%</v>
      </c>
      <c r="W201" t="s">
        <v>1291</v>
      </c>
      <c r="X201" t="s">
        <v>1292</v>
      </c>
      <c r="Y201" t="s">
        <v>1293</v>
      </c>
      <c r="Z201" t="str">
        <f>"17.49"</f>
        <v>17.49</v>
      </c>
    </row>
    <row r="202" spans="1:26" x14ac:dyDescent="0.3">
      <c r="A202" t="s">
        <v>451</v>
      </c>
      <c r="B202" t="s">
        <v>1294</v>
      </c>
      <c r="C202" t="s">
        <v>1295</v>
      </c>
      <c r="D202" t="s">
        <v>1296</v>
      </c>
      <c r="E202" t="s">
        <v>30</v>
      </c>
      <c r="F202" t="str">
        <f>"001"</f>
        <v>001</v>
      </c>
      <c r="G202" t="str">
        <f>"HEY1 c.-34_1GGTATACGGGATTTTAAAAAAAAGGTGC"</f>
        <v>HEY1 c.-34_1GGTATACGGGATTTTAAAAAAAAGGTGC</v>
      </c>
      <c r="H202" t="str">
        <f>"NM_001282851"</f>
        <v>NM_001282851</v>
      </c>
      <c r="J202" t="s">
        <v>1297</v>
      </c>
      <c r="K202" t="str">
        <f>"50%"</f>
        <v>50%</v>
      </c>
      <c r="L202" t="str">
        <f>"0.22"</f>
        <v>0.22</v>
      </c>
      <c r="N202" t="s">
        <v>1298</v>
      </c>
      <c r="O202" t="s">
        <v>1299</v>
      </c>
      <c r="P202" t="str">
        <f>""</f>
        <v/>
      </c>
      <c r="Q202" t="str">
        <f>""</f>
        <v/>
      </c>
      <c r="R202" t="str">
        <f>""</f>
        <v/>
      </c>
      <c r="S202" t="str">
        <f>""</f>
        <v/>
      </c>
      <c r="U202" t="str">
        <f>"9.6940%"</f>
        <v>9.6940%</v>
      </c>
      <c r="V202" t="str">
        <f>"9.6940%"</f>
        <v>9.6940%</v>
      </c>
      <c r="Z202" t="str">
        <f>""</f>
        <v/>
      </c>
    </row>
    <row r="203" spans="1:26" x14ac:dyDescent="0.3">
      <c r="A203" t="s">
        <v>451</v>
      </c>
      <c r="B203" t="s">
        <v>1300</v>
      </c>
      <c r="C203" t="s">
        <v>1301</v>
      </c>
      <c r="D203" t="s">
        <v>29</v>
      </c>
      <c r="E203" t="s">
        <v>30</v>
      </c>
      <c r="F203" t="str">
        <f>"111"</f>
        <v>111</v>
      </c>
      <c r="G203" t="str">
        <f>"HEY1 p.0?"</f>
        <v>HEY1 p.0?</v>
      </c>
      <c r="H203" t="str">
        <f>"NM_001282851"</f>
        <v>NM_001282851</v>
      </c>
      <c r="J203" t="s">
        <v>1302</v>
      </c>
      <c r="K203" t="str">
        <f>"48%"</f>
        <v>48%</v>
      </c>
      <c r="L203" t="str">
        <f>"0.22"</f>
        <v>0.22</v>
      </c>
      <c r="N203" t="s">
        <v>709</v>
      </c>
      <c r="O203" t="s">
        <v>1303</v>
      </c>
      <c r="P203" t="str">
        <f>"20.8900%"</f>
        <v>20.8900%</v>
      </c>
      <c r="Q203" t="str">
        <f>"7.5100%"</f>
        <v>7.5100%</v>
      </c>
      <c r="R203" t="str">
        <f>""</f>
        <v/>
      </c>
      <c r="S203" t="str">
        <f>"13.9377%"</f>
        <v>13.9377%</v>
      </c>
      <c r="T203" t="s">
        <v>1304</v>
      </c>
      <c r="U203" t="str">
        <f>"10.2400%"</f>
        <v>10.2400%</v>
      </c>
      <c r="V203" t="str">
        <f>"10.2400%"</f>
        <v>10.2400%</v>
      </c>
      <c r="Z203" t="str">
        <f>""</f>
        <v/>
      </c>
    </row>
    <row r="204" spans="1:26" x14ac:dyDescent="0.3">
      <c r="A204" t="s">
        <v>484</v>
      </c>
      <c r="B204" t="s">
        <v>1305</v>
      </c>
      <c r="C204" t="s">
        <v>38</v>
      </c>
      <c r="D204" t="s">
        <v>1306</v>
      </c>
      <c r="E204" t="s">
        <v>30</v>
      </c>
      <c r="F204" t="str">
        <f>"111"</f>
        <v>111</v>
      </c>
      <c r="G204" t="str">
        <f>"ATRX p.L273fs"</f>
        <v>ATRX p.L273fs</v>
      </c>
      <c r="H204" t="str">
        <f>"NM_000489"</f>
        <v>NM_000489</v>
      </c>
      <c r="J204" t="s">
        <v>1307</v>
      </c>
      <c r="K204" t="str">
        <f>"45%"</f>
        <v>45%</v>
      </c>
      <c r="L204" t="str">
        <f>"0.01"</f>
        <v>0.01</v>
      </c>
      <c r="N204" t="s">
        <v>1308</v>
      </c>
      <c r="O204" t="s">
        <v>1309</v>
      </c>
      <c r="P204" t="str">
        <f>""</f>
        <v/>
      </c>
      <c r="Q204" t="str">
        <f>""</f>
        <v/>
      </c>
      <c r="R204" t="str">
        <f>""</f>
        <v/>
      </c>
      <c r="S204" t="str">
        <f>""</f>
        <v/>
      </c>
      <c r="U204" t="str">
        <f>""</f>
        <v/>
      </c>
      <c r="V204" t="str">
        <f>""</f>
        <v/>
      </c>
      <c r="Z204" t="str">
        <f>""</f>
        <v/>
      </c>
    </row>
    <row r="205" spans="1:26" x14ac:dyDescent="0.3">
      <c r="A205" t="s">
        <v>338</v>
      </c>
      <c r="B205" t="s">
        <v>1310</v>
      </c>
      <c r="C205" t="s">
        <v>29</v>
      </c>
      <c r="D205" t="s">
        <v>453</v>
      </c>
      <c r="E205" t="s">
        <v>719</v>
      </c>
      <c r="F205" t="str">
        <f>"111"</f>
        <v>111</v>
      </c>
      <c r="G205" t="str">
        <f>"KMT2B c.3059-1-&gt;G"</f>
        <v>KMT2B c.3059-1-&gt;G</v>
      </c>
      <c r="H205" t="str">
        <f>"NM_014727"</f>
        <v>NM_014727</v>
      </c>
      <c r="J205" t="s">
        <v>1311</v>
      </c>
      <c r="K205" t="str">
        <f>"100%"</f>
        <v>100%</v>
      </c>
      <c r="L205" t="str">
        <f>"0.10"</f>
        <v>0.10</v>
      </c>
      <c r="M205" t="s">
        <v>1312</v>
      </c>
      <c r="P205" t="str">
        <f>"100.0000%"</f>
        <v>100.0000%</v>
      </c>
      <c r="Q205" t="str">
        <f>"100.0000%"</f>
        <v>100.0000%</v>
      </c>
      <c r="R205" t="str">
        <f>"99.7400%"</f>
        <v>99.7400%</v>
      </c>
      <c r="S205" t="str">
        <f>"100.0000%"</f>
        <v>100.0000%</v>
      </c>
      <c r="T205" t="s">
        <v>1313</v>
      </c>
      <c r="U205" t="str">
        <f>"99.8630%"</f>
        <v>99.8630%</v>
      </c>
      <c r="V205" t="str">
        <f>"99.8630%"</f>
        <v>99.8630%</v>
      </c>
      <c r="Z205" t="str">
        <f>""</f>
        <v/>
      </c>
    </row>
    <row r="206" spans="1:26" x14ac:dyDescent="0.3">
      <c r="A206" t="s">
        <v>139</v>
      </c>
      <c r="B206" t="s">
        <v>1314</v>
      </c>
      <c r="C206" t="s">
        <v>39</v>
      </c>
      <c r="D206" t="s">
        <v>707</v>
      </c>
      <c r="E206" t="s">
        <v>719</v>
      </c>
      <c r="F206" t="str">
        <f>"100"</f>
        <v>100</v>
      </c>
      <c r="G206" t="str">
        <f>"FUBP1 c.121-2-&gt;T"</f>
        <v>FUBP1 c.121-2-&gt;T</v>
      </c>
      <c r="H206" t="str">
        <f>"NM_003902"</f>
        <v>NM_003902</v>
      </c>
      <c r="J206" t="s">
        <v>1315</v>
      </c>
      <c r="K206" t="str">
        <f>"8%"</f>
        <v>8%</v>
      </c>
      <c r="L206" t="str">
        <f>"0.05"</f>
        <v>0.05</v>
      </c>
      <c r="M206" t="s">
        <v>1316</v>
      </c>
      <c r="P206" t="str">
        <f>"1.0100%"</f>
        <v>1.0100%</v>
      </c>
      <c r="Q206" t="str">
        <f>"2.7200%"</f>
        <v>2.7200%</v>
      </c>
      <c r="R206" t="str">
        <f>"0.9400%"</f>
        <v>0.9400%</v>
      </c>
      <c r="S206" t="str">
        <f>""</f>
        <v/>
      </c>
      <c r="T206" t="s">
        <v>1317</v>
      </c>
      <c r="U206" t="str">
        <f>"43.0640%"</f>
        <v>43.0640%</v>
      </c>
      <c r="V206" t="str">
        <f>"0.0550%"</f>
        <v>0.0550%</v>
      </c>
      <c r="Z206" t="str">
        <f>""</f>
        <v/>
      </c>
    </row>
    <row r="207" spans="1:26" x14ac:dyDescent="0.3">
      <c r="A207" t="s">
        <v>60</v>
      </c>
      <c r="B207" t="s">
        <v>1318</v>
      </c>
      <c r="C207" t="s">
        <v>38</v>
      </c>
      <c r="D207" t="s">
        <v>28</v>
      </c>
      <c r="E207" t="s">
        <v>719</v>
      </c>
      <c r="F207" t="str">
        <f>"110"</f>
        <v>110</v>
      </c>
      <c r="G207" t="str">
        <f>"CYP39A1 c.1338+1G&gt;C"</f>
        <v>CYP39A1 c.1338+1G&gt;C</v>
      </c>
      <c r="H207" t="str">
        <f>"NM_016593"</f>
        <v>NM_016593</v>
      </c>
      <c r="J207" t="s">
        <v>1319</v>
      </c>
      <c r="K207" t="str">
        <f>"50%"</f>
        <v>50%</v>
      </c>
      <c r="L207" t="str">
        <f>"-0.03"</f>
        <v>-0.03</v>
      </c>
      <c r="M207" t="s">
        <v>1320</v>
      </c>
      <c r="P207" t="str">
        <f>"0.0300%"</f>
        <v>0.0300%</v>
      </c>
      <c r="Q207" t="str">
        <f>"0.0300%"</f>
        <v>0.0300%</v>
      </c>
      <c r="R207" t="str">
        <f>""</f>
        <v/>
      </c>
      <c r="S207" t="str">
        <f>"0.0200%"</f>
        <v>0.0200%</v>
      </c>
      <c r="T207" t="s">
        <v>1321</v>
      </c>
      <c r="U207" t="str">
        <f>""</f>
        <v/>
      </c>
      <c r="V207" t="str">
        <f>""</f>
        <v/>
      </c>
      <c r="Z207" t="str">
        <f>"8.523"</f>
        <v>8.523</v>
      </c>
    </row>
    <row r="208" spans="1:26" x14ac:dyDescent="0.3">
      <c r="A208" t="s">
        <v>241</v>
      </c>
      <c r="B208" t="s">
        <v>1322</v>
      </c>
      <c r="C208" t="s">
        <v>39</v>
      </c>
      <c r="D208" t="s">
        <v>707</v>
      </c>
      <c r="E208" t="s">
        <v>719</v>
      </c>
      <c r="F208" t="str">
        <f>"100"</f>
        <v>100</v>
      </c>
      <c r="G208" t="str">
        <f>"LRP1B c.4170-2-&gt;T"</f>
        <v>LRP1B c.4170-2-&gt;T</v>
      </c>
      <c r="H208" t="str">
        <f>"NM_018557"</f>
        <v>NM_018557</v>
      </c>
      <c r="J208" t="s">
        <v>700</v>
      </c>
      <c r="K208" t="str">
        <f>"11%"</f>
        <v>11%</v>
      </c>
      <c r="L208" t="str">
        <f>"0.00"</f>
        <v>0.00</v>
      </c>
      <c r="M208" t="s">
        <v>1323</v>
      </c>
      <c r="P208" t="str">
        <f>"3.1700%"</f>
        <v>3.1700%</v>
      </c>
      <c r="Q208" t="str">
        <f>"8.0000%"</f>
        <v>8.0000%</v>
      </c>
      <c r="R208" t="str">
        <f>""</f>
        <v/>
      </c>
      <c r="S208" t="str">
        <f>""</f>
        <v/>
      </c>
      <c r="T208" t="s">
        <v>1324</v>
      </c>
      <c r="U208" t="str">
        <f>"40.6610%"</f>
        <v>40.6610%</v>
      </c>
      <c r="V208" t="str">
        <f>"5.2980%"</f>
        <v>5.2980%</v>
      </c>
      <c r="Z208" t="str">
        <f>""</f>
        <v/>
      </c>
    </row>
    <row r="209" spans="1:26" x14ac:dyDescent="0.3">
      <c r="A209" t="s">
        <v>26</v>
      </c>
      <c r="B209" t="s">
        <v>1325</v>
      </c>
      <c r="C209" t="s">
        <v>39</v>
      </c>
      <c r="D209" t="s">
        <v>707</v>
      </c>
      <c r="E209" t="s">
        <v>719</v>
      </c>
      <c r="F209" t="str">
        <f>"100"</f>
        <v>100</v>
      </c>
      <c r="G209" t="str">
        <f>"YWHAE c.265-2-&gt;T"</f>
        <v>YWHAE c.265-2-&gt;T</v>
      </c>
      <c r="H209" t="str">
        <f>"NM_006761"</f>
        <v>NM_006761</v>
      </c>
      <c r="J209" t="s">
        <v>1326</v>
      </c>
      <c r="K209" t="str">
        <f>"9%"</f>
        <v>9%</v>
      </c>
      <c r="L209" t="str">
        <f>"-0.07"</f>
        <v>-0.07</v>
      </c>
      <c r="M209" t="s">
        <v>1327</v>
      </c>
      <c r="P209" t="str">
        <f>"4.7600%"</f>
        <v>4.7600%</v>
      </c>
      <c r="Q209" t="str">
        <f>"7.1400%"</f>
        <v>7.1400%</v>
      </c>
      <c r="R209" t="str">
        <f>"12.3500%"</f>
        <v>12.3500%</v>
      </c>
      <c r="S209" t="str">
        <f>"11.5415%"</f>
        <v>11.5415%</v>
      </c>
      <c r="T209" t="s">
        <v>1328</v>
      </c>
      <c r="U209" t="str">
        <f>"25.0960%"</f>
        <v>25.0960%</v>
      </c>
      <c r="V209" t="str">
        <f>"4.5330%"</f>
        <v>4.5330%</v>
      </c>
      <c r="Z209" t="str">
        <f>""</f>
        <v/>
      </c>
    </row>
    <row r="210" spans="1:26" x14ac:dyDescent="0.3">
      <c r="A210" t="s">
        <v>75</v>
      </c>
      <c r="B210" t="s">
        <v>1329</v>
      </c>
      <c r="C210" t="s">
        <v>1330</v>
      </c>
      <c r="D210" t="s">
        <v>1331</v>
      </c>
      <c r="E210" t="s">
        <v>719</v>
      </c>
      <c r="F210" t="str">
        <f>"100"</f>
        <v>100</v>
      </c>
      <c r="G210" t="str">
        <f>"MLH1 splicing"</f>
        <v>MLH1 splicing</v>
      </c>
      <c r="H210" t="str">
        <f>""</f>
        <v/>
      </c>
      <c r="J210" t="s">
        <v>1332</v>
      </c>
      <c r="K210" t="str">
        <f>"8%"</f>
        <v>8%</v>
      </c>
      <c r="L210" t="str">
        <f>"0.03"</f>
        <v>0.03</v>
      </c>
      <c r="P210" t="str">
        <f>""</f>
        <v/>
      </c>
      <c r="Q210" t="str">
        <f>""</f>
        <v/>
      </c>
      <c r="R210" t="str">
        <f>""</f>
        <v/>
      </c>
      <c r="S210" t="str">
        <f>""</f>
        <v/>
      </c>
      <c r="U210" t="str">
        <f>"0.0270%"</f>
        <v>0.0270%</v>
      </c>
      <c r="V210" t="str">
        <f>""</f>
        <v/>
      </c>
      <c r="Z210" t="str">
        <f>""</f>
        <v/>
      </c>
    </row>
    <row r="211" spans="1:26" x14ac:dyDescent="0.3">
      <c r="A211" t="s">
        <v>484</v>
      </c>
      <c r="B211" t="s">
        <v>1333</v>
      </c>
      <c r="C211" t="s">
        <v>1334</v>
      </c>
      <c r="D211" t="s">
        <v>39</v>
      </c>
      <c r="E211" t="s">
        <v>719</v>
      </c>
      <c r="F211" t="str">
        <f>"100"</f>
        <v>100</v>
      </c>
      <c r="G211" t="str">
        <f>"STAG2"</f>
        <v>STAG2</v>
      </c>
      <c r="H211" t="str">
        <f>"NM_001042751"</f>
        <v>NM_001042751</v>
      </c>
      <c r="J211" t="s">
        <v>725</v>
      </c>
      <c r="K211" t="str">
        <f>"9%"</f>
        <v>9%</v>
      </c>
      <c r="L211" t="str">
        <f>"0.01"</f>
        <v>0.01</v>
      </c>
      <c r="M211" t="s">
        <v>1335</v>
      </c>
      <c r="P211" t="str">
        <f>""</f>
        <v/>
      </c>
      <c r="Q211" t="str">
        <f>""</f>
        <v/>
      </c>
      <c r="R211" t="str">
        <f>""</f>
        <v/>
      </c>
      <c r="S211" t="str">
        <f>""</f>
        <v/>
      </c>
      <c r="U211" t="str">
        <f>"0.0690%"</f>
        <v>0.0690%</v>
      </c>
      <c r="V211" t="str">
        <f>""</f>
        <v/>
      </c>
      <c r="Z211" t="str">
        <f>""</f>
        <v/>
      </c>
    </row>
    <row r="212" spans="1:26" x14ac:dyDescent="0.3">
      <c r="A212" t="s">
        <v>91</v>
      </c>
      <c r="B212" t="s">
        <v>1336</v>
      </c>
      <c r="C212" t="s">
        <v>39</v>
      </c>
      <c r="D212" t="s">
        <v>38</v>
      </c>
      <c r="E212" t="s">
        <v>30</v>
      </c>
      <c r="F212" t="str">
        <f t="shared" ref="F212:F221" si="10">"110"</f>
        <v>110</v>
      </c>
      <c r="G212" t="str">
        <f>"MLH3"</f>
        <v>MLH3</v>
      </c>
      <c r="H212" t="str">
        <f>""</f>
        <v/>
      </c>
      <c r="J212" t="s">
        <v>1337</v>
      </c>
      <c r="K212" t="str">
        <f>"100%"</f>
        <v>100%</v>
      </c>
      <c r="L212" t="str">
        <f>"0.04"</f>
        <v>0.04</v>
      </c>
      <c r="N212" t="s">
        <v>41</v>
      </c>
      <c r="O212" t="s">
        <v>1338</v>
      </c>
      <c r="P212" t="str">
        <f>"99.6800%"</f>
        <v>99.6800%</v>
      </c>
      <c r="Q212" t="str">
        <f>"99.7400%"</f>
        <v>99.7400%</v>
      </c>
      <c r="R212" t="str">
        <f>"98.8800%"</f>
        <v>98.8800%</v>
      </c>
      <c r="S212" t="str">
        <f>"99.0415%"</f>
        <v>99.0415%</v>
      </c>
      <c r="T212" t="s">
        <v>1339</v>
      </c>
      <c r="U212" t="str">
        <f>"99.7540%"</f>
        <v>99.7540%</v>
      </c>
      <c r="V212" t="str">
        <f>"99.7540%"</f>
        <v>99.7540%</v>
      </c>
      <c r="X212" t="s">
        <v>1340</v>
      </c>
      <c r="Y212" t="s">
        <v>1341</v>
      </c>
      <c r="Z212" t="str">
        <f>"0.378"</f>
        <v>0.378</v>
      </c>
    </row>
    <row r="213" spans="1:26" x14ac:dyDescent="0.3">
      <c r="A213" t="s">
        <v>68</v>
      </c>
      <c r="B213" t="s">
        <v>1342</v>
      </c>
      <c r="C213" t="s">
        <v>38</v>
      </c>
      <c r="D213" t="s">
        <v>39</v>
      </c>
      <c r="E213" t="s">
        <v>30</v>
      </c>
      <c r="F213" t="str">
        <f t="shared" si="10"/>
        <v>110</v>
      </c>
      <c r="G213" t="str">
        <f>"FAT1 p.V591I"</f>
        <v>FAT1 p.V591I</v>
      </c>
      <c r="H213" t="str">
        <f>"NM_005245"</f>
        <v>NM_005245</v>
      </c>
      <c r="J213" t="s">
        <v>1343</v>
      </c>
      <c r="K213" t="str">
        <f>"47%"</f>
        <v>47%</v>
      </c>
      <c r="L213" t="str">
        <f>"-0.04"</f>
        <v>-0.04</v>
      </c>
      <c r="N213" t="s">
        <v>41</v>
      </c>
      <c r="O213" t="s">
        <v>1344</v>
      </c>
      <c r="P213" t="str">
        <f>"0.0200%"</f>
        <v>0.0200%</v>
      </c>
      <c r="Q213" t="str">
        <f>"0.0100%"</f>
        <v>0.0100%</v>
      </c>
      <c r="R213" t="str">
        <f>""</f>
        <v/>
      </c>
      <c r="S213" t="str">
        <f>"0.0399%"</f>
        <v>0.0399%</v>
      </c>
      <c r="T213" t="s">
        <v>1345</v>
      </c>
      <c r="U213" t="str">
        <f>"0.0270%"</f>
        <v>0.0270%</v>
      </c>
      <c r="V213" t="str">
        <f>"0.0270%"</f>
        <v>0.0270%</v>
      </c>
      <c r="Z213" t="str">
        <f>"14.20"</f>
        <v>14.20</v>
      </c>
    </row>
    <row r="214" spans="1:26" x14ac:dyDescent="0.3">
      <c r="A214" t="s">
        <v>91</v>
      </c>
      <c r="B214" t="s">
        <v>1346</v>
      </c>
      <c r="C214" t="s">
        <v>28</v>
      </c>
      <c r="D214" t="s">
        <v>38</v>
      </c>
      <c r="E214" t="s">
        <v>30</v>
      </c>
      <c r="F214" t="str">
        <f t="shared" si="10"/>
        <v>110</v>
      </c>
      <c r="G214" t="str">
        <f>"TSHR p.E727D"</f>
        <v>TSHR p.E727D</v>
      </c>
      <c r="H214" t="str">
        <f>"NM_000369"</f>
        <v>NM_000369</v>
      </c>
      <c r="J214" t="s">
        <v>790</v>
      </c>
      <c r="K214" t="str">
        <f>"100%"</f>
        <v>100%</v>
      </c>
      <c r="L214" t="str">
        <f>"0.04"</f>
        <v>0.04</v>
      </c>
      <c r="N214" t="s">
        <v>41</v>
      </c>
      <c r="O214" t="s">
        <v>1347</v>
      </c>
      <c r="P214" t="str">
        <f>"90.0400%"</f>
        <v>90.0400%</v>
      </c>
      <c r="Q214" t="str">
        <f>"89.5800%"</f>
        <v>89.5800%</v>
      </c>
      <c r="R214" t="str">
        <f>"92.3300%"</f>
        <v>92.3300%</v>
      </c>
      <c r="S214" t="str">
        <f>"89.6765%"</f>
        <v>89.6765%</v>
      </c>
      <c r="T214" t="s">
        <v>1348</v>
      </c>
      <c r="U214" t="str">
        <f>"90.4700%"</f>
        <v>90.4700%</v>
      </c>
      <c r="V214" t="str">
        <f>"90.4420%"</f>
        <v>90.4420%</v>
      </c>
      <c r="X214" t="s">
        <v>1349</v>
      </c>
      <c r="Y214" t="s">
        <v>1350</v>
      </c>
      <c r="Z214" t="str">
        <f>"0.001"</f>
        <v>0.001</v>
      </c>
    </row>
    <row r="215" spans="1:26" x14ac:dyDescent="0.3">
      <c r="A215" t="s">
        <v>60</v>
      </c>
      <c r="B215" t="s">
        <v>1351</v>
      </c>
      <c r="C215" t="s">
        <v>39</v>
      </c>
      <c r="D215" t="s">
        <v>28</v>
      </c>
      <c r="E215" t="s">
        <v>30</v>
      </c>
      <c r="F215" t="str">
        <f t="shared" si="10"/>
        <v>110</v>
      </c>
      <c r="G215" t="str">
        <f>"SYNE1"</f>
        <v>SYNE1</v>
      </c>
      <c r="H215" t="str">
        <f>""</f>
        <v/>
      </c>
      <c r="J215" t="s">
        <v>1352</v>
      </c>
      <c r="K215" t="str">
        <f>"52%"</f>
        <v>52%</v>
      </c>
      <c r="L215" t="str">
        <f>"0.04"</f>
        <v>0.04</v>
      </c>
      <c r="N215" t="s">
        <v>41</v>
      </c>
      <c r="O215" t="s">
        <v>1353</v>
      </c>
      <c r="P215" t="str">
        <f>"3.6400%"</f>
        <v>3.6400%</v>
      </c>
      <c r="Q215" t="str">
        <f>"3.6500%"</f>
        <v>3.6500%</v>
      </c>
      <c r="R215" t="str">
        <f>"1.5800%"</f>
        <v>1.5800%</v>
      </c>
      <c r="S215" t="str">
        <f>"5.4313%"</f>
        <v>5.4313%</v>
      </c>
      <c r="T215" t="s">
        <v>1354</v>
      </c>
      <c r="U215" t="str">
        <f>"4.0960%"</f>
        <v>4.0960%</v>
      </c>
      <c r="V215" t="str">
        <f>"4.0960%"</f>
        <v>4.0960%</v>
      </c>
      <c r="Y215" t="s">
        <v>1355</v>
      </c>
      <c r="Z215" t="str">
        <f>"12.12"</f>
        <v>12.12</v>
      </c>
    </row>
    <row r="216" spans="1:26" x14ac:dyDescent="0.3">
      <c r="A216" t="s">
        <v>397</v>
      </c>
      <c r="B216" t="s">
        <v>1356</v>
      </c>
      <c r="C216" t="s">
        <v>29</v>
      </c>
      <c r="D216" t="s">
        <v>28</v>
      </c>
      <c r="E216" t="s">
        <v>30</v>
      </c>
      <c r="F216" t="str">
        <f t="shared" si="10"/>
        <v>110</v>
      </c>
      <c r="G216" t="str">
        <f>"FAT3 p.I2755V"</f>
        <v>FAT3 p.I2755V</v>
      </c>
      <c r="H216" t="str">
        <f>"NM_001008781"</f>
        <v>NM_001008781</v>
      </c>
      <c r="J216" t="s">
        <v>1357</v>
      </c>
      <c r="K216" t="str">
        <f>"56%"</f>
        <v>56%</v>
      </c>
      <c r="L216" t="str">
        <f>"-0.10"</f>
        <v>-0.10</v>
      </c>
      <c r="N216" t="s">
        <v>41</v>
      </c>
      <c r="O216" t="s">
        <v>1358</v>
      </c>
      <c r="P216" t="str">
        <f>"86.3700%"</f>
        <v>86.3700%</v>
      </c>
      <c r="Q216" t="str">
        <f>"86.7000%"</f>
        <v>86.7000%</v>
      </c>
      <c r="R216" t="str">
        <f>"82.2900%"</f>
        <v>82.2900%</v>
      </c>
      <c r="S216" t="str">
        <f>"85.6430%"</f>
        <v>85.6430%</v>
      </c>
      <c r="T216" t="s">
        <v>1359</v>
      </c>
      <c r="U216" t="str">
        <f>"86.1000%"</f>
        <v>86.1000%</v>
      </c>
      <c r="V216" t="str">
        <f>"86.1280%"</f>
        <v>86.1280%</v>
      </c>
      <c r="X216" t="s">
        <v>1360</v>
      </c>
      <c r="Z216" t="str">
        <f>"0.018"</f>
        <v>0.018</v>
      </c>
    </row>
    <row r="217" spans="1:26" x14ac:dyDescent="0.3">
      <c r="A217" t="s">
        <v>83</v>
      </c>
      <c r="B217" t="s">
        <v>1361</v>
      </c>
      <c r="C217" t="s">
        <v>39</v>
      </c>
      <c r="D217" t="s">
        <v>38</v>
      </c>
      <c r="E217" t="s">
        <v>1041</v>
      </c>
      <c r="F217" t="str">
        <f t="shared" si="10"/>
        <v>110</v>
      </c>
      <c r="G217" t="str">
        <f>"MIR4457"</f>
        <v>MIR4457</v>
      </c>
      <c r="H217" t="str">
        <f>""</f>
        <v/>
      </c>
      <c r="J217" t="s">
        <v>1362</v>
      </c>
      <c r="K217" t="str">
        <f>"100%"</f>
        <v>100%</v>
      </c>
      <c r="L217" t="str">
        <f>"-0.13"</f>
        <v>-0.13</v>
      </c>
      <c r="M217" t="s">
        <v>1363</v>
      </c>
      <c r="P217" t="str">
        <f>""</f>
        <v/>
      </c>
      <c r="Q217" t="str">
        <f>""</f>
        <v/>
      </c>
      <c r="R217" t="str">
        <f>""</f>
        <v/>
      </c>
      <c r="S217" t="str">
        <f>"69.6086%"</f>
        <v>69.6086%</v>
      </c>
      <c r="T217" t="s">
        <v>1364</v>
      </c>
      <c r="U217" t="str">
        <f>"67.4770%"</f>
        <v>67.4770%</v>
      </c>
      <c r="V217" t="str">
        <f>"67.5310%"</f>
        <v>67.5310%</v>
      </c>
      <c r="Z217" t="str">
        <f>""</f>
        <v/>
      </c>
    </row>
    <row r="218" spans="1:26" x14ac:dyDescent="0.3">
      <c r="A218" t="s">
        <v>241</v>
      </c>
      <c r="B218" t="s">
        <v>1365</v>
      </c>
      <c r="C218" t="s">
        <v>39</v>
      </c>
      <c r="D218" t="s">
        <v>38</v>
      </c>
      <c r="E218" t="s">
        <v>30</v>
      </c>
      <c r="F218" t="str">
        <f t="shared" si="10"/>
        <v>110</v>
      </c>
      <c r="G218" t="str">
        <f>"LRP1B p.T4519A"</f>
        <v>LRP1B p.T4519A</v>
      </c>
      <c r="H218" t="str">
        <f>"NM_018557"</f>
        <v>NM_018557</v>
      </c>
      <c r="J218" t="s">
        <v>1366</v>
      </c>
      <c r="K218" t="str">
        <f>"100%"</f>
        <v>100%</v>
      </c>
      <c r="L218" t="str">
        <f>"0.00"</f>
        <v>0.00</v>
      </c>
      <c r="N218" t="s">
        <v>41</v>
      </c>
      <c r="O218" t="s">
        <v>1367</v>
      </c>
      <c r="P218" t="str">
        <f>"0.1400%"</f>
        <v>0.1400%</v>
      </c>
      <c r="Q218" t="str">
        <f>"0.1400%"</f>
        <v>0.1400%</v>
      </c>
      <c r="R218" t="str">
        <f>""</f>
        <v/>
      </c>
      <c r="S218" t="str">
        <f>"0.2796%"</f>
        <v>0.2796%</v>
      </c>
      <c r="T218" t="s">
        <v>1368</v>
      </c>
      <c r="U218" t="str">
        <f>"0.0270%"</f>
        <v>0.0270%</v>
      </c>
      <c r="V218" t="str">
        <f>"0.0270%"</f>
        <v>0.0270%</v>
      </c>
      <c r="Z218" t="str">
        <f>"13.48"</f>
        <v>13.48</v>
      </c>
    </row>
    <row r="219" spans="1:26" x14ac:dyDescent="0.3">
      <c r="A219" t="s">
        <v>139</v>
      </c>
      <c r="B219" t="s">
        <v>1369</v>
      </c>
      <c r="C219" t="s">
        <v>38</v>
      </c>
      <c r="D219" t="s">
        <v>28</v>
      </c>
      <c r="E219" t="s">
        <v>30</v>
      </c>
      <c r="F219" t="str">
        <f t="shared" si="10"/>
        <v>110</v>
      </c>
      <c r="G219" t="str">
        <f>"RIT1 p.E11Q"</f>
        <v>RIT1 p.E11Q</v>
      </c>
      <c r="H219" t="str">
        <f>"NM_001256821"</f>
        <v>NM_001256821</v>
      </c>
      <c r="J219" t="s">
        <v>214</v>
      </c>
      <c r="K219" t="str">
        <f>"100%"</f>
        <v>100%</v>
      </c>
      <c r="L219" t="str">
        <f>"0.06"</f>
        <v>0.06</v>
      </c>
      <c r="N219" t="s">
        <v>41</v>
      </c>
      <c r="O219" t="s">
        <v>1370</v>
      </c>
      <c r="P219" t="str">
        <f>"87.7500%"</f>
        <v>87.7500%</v>
      </c>
      <c r="Q219" t="str">
        <f>"88.6700%"</f>
        <v>88.6700%</v>
      </c>
      <c r="R219" t="str">
        <f>"79.5200%"</f>
        <v>79.5200%</v>
      </c>
      <c r="S219" t="str">
        <f>"77.9952%"</f>
        <v>77.9952%</v>
      </c>
      <c r="T219" t="s">
        <v>1371</v>
      </c>
      <c r="U219" t="str">
        <f>"91.0700%"</f>
        <v>91.0700%</v>
      </c>
      <c r="V219" t="str">
        <f>"91.0700%"</f>
        <v>91.0700%</v>
      </c>
      <c r="Y219" t="s">
        <v>1372</v>
      </c>
      <c r="Z219" t="str">
        <f>"0.027"</f>
        <v>0.027</v>
      </c>
    </row>
    <row r="220" spans="1:26" x14ac:dyDescent="0.3">
      <c r="A220" t="s">
        <v>280</v>
      </c>
      <c r="B220" t="s">
        <v>1373</v>
      </c>
      <c r="C220" t="s">
        <v>38</v>
      </c>
      <c r="D220" t="s">
        <v>39</v>
      </c>
      <c r="E220" t="s">
        <v>30</v>
      </c>
      <c r="F220" t="str">
        <f t="shared" si="10"/>
        <v>110</v>
      </c>
      <c r="G220" t="str">
        <f>"NUTM1 p.P22L"</f>
        <v>NUTM1 p.P22L</v>
      </c>
      <c r="H220" t="str">
        <f>"NM_175741"</f>
        <v>NM_175741</v>
      </c>
      <c r="J220" t="s">
        <v>1374</v>
      </c>
      <c r="K220" t="str">
        <f>"100%"</f>
        <v>100%</v>
      </c>
      <c r="L220" t="str">
        <f>"-0.15"</f>
        <v>-0.15</v>
      </c>
      <c r="N220" t="s">
        <v>41</v>
      </c>
      <c r="O220" t="s">
        <v>1375</v>
      </c>
      <c r="P220" t="str">
        <f>"96.3500%"</f>
        <v>96.3500%</v>
      </c>
      <c r="Q220" t="str">
        <f>"97.1200%"</f>
        <v>97.1200%</v>
      </c>
      <c r="R220" t="str">
        <f>"87.0800%"</f>
        <v>87.0800%</v>
      </c>
      <c r="S220" t="str">
        <f>"87.7796%"</f>
        <v>87.7796%</v>
      </c>
      <c r="T220" t="s">
        <v>1376</v>
      </c>
      <c r="U220" t="str">
        <f>"97.4600%"</f>
        <v>97.4600%</v>
      </c>
      <c r="V220" t="str">
        <f>"97.4600%"</f>
        <v>97.4600%</v>
      </c>
      <c r="X220" t="s">
        <v>1377</v>
      </c>
      <c r="Z220" t="str">
        <f>"0.468"</f>
        <v>0.468</v>
      </c>
    </row>
    <row r="221" spans="1:26" x14ac:dyDescent="0.3">
      <c r="A221" t="s">
        <v>83</v>
      </c>
      <c r="B221" t="s">
        <v>1378</v>
      </c>
      <c r="C221" t="s">
        <v>28</v>
      </c>
      <c r="D221" t="s">
        <v>29</v>
      </c>
      <c r="E221" t="s">
        <v>30</v>
      </c>
      <c r="F221" t="str">
        <f t="shared" si="10"/>
        <v>110</v>
      </c>
      <c r="G221" t="str">
        <f>"LIFR p.H116Y"</f>
        <v>LIFR p.H116Y</v>
      </c>
      <c r="H221" t="str">
        <f>"NM_001127671"</f>
        <v>NM_001127671</v>
      </c>
      <c r="J221" t="s">
        <v>1379</v>
      </c>
      <c r="K221" t="str">
        <f>"47%"</f>
        <v>47%</v>
      </c>
      <c r="L221" t="str">
        <f>"0.03"</f>
        <v>0.03</v>
      </c>
      <c r="N221" t="s">
        <v>41</v>
      </c>
      <c r="O221" t="s">
        <v>1380</v>
      </c>
      <c r="P221" t="str">
        <f>"4.2500%"</f>
        <v>4.2500%</v>
      </c>
      <c r="Q221" t="str">
        <f>"4.0600%"</f>
        <v>4.0600%</v>
      </c>
      <c r="R221" t="str">
        <f>"3.5900%"</f>
        <v>3.5900%</v>
      </c>
      <c r="S221" t="str">
        <f>"2.2963%"</f>
        <v>2.2963%</v>
      </c>
      <c r="T221" t="s">
        <v>1381</v>
      </c>
      <c r="U221" t="str">
        <f>"3.6050%"</f>
        <v>3.6050%</v>
      </c>
      <c r="V221" t="str">
        <f>"3.6050%"</f>
        <v>3.6050%</v>
      </c>
      <c r="Y221" t="s">
        <v>1382</v>
      </c>
      <c r="Z221" t="str">
        <f>"1.819"</f>
        <v>1.819</v>
      </c>
    </row>
    <row r="222" spans="1:26" x14ac:dyDescent="0.3">
      <c r="A222" t="s">
        <v>241</v>
      </c>
      <c r="B222" t="s">
        <v>841</v>
      </c>
      <c r="C222" t="s">
        <v>1383</v>
      </c>
      <c r="D222" t="s">
        <v>1384</v>
      </c>
      <c r="E222" t="s">
        <v>30</v>
      </c>
      <c r="F222" t="str">
        <f>"100"</f>
        <v>100</v>
      </c>
      <c r="G222" t="str">
        <f>"BARD1 c.1518_1519CA"</f>
        <v>BARD1 c.1518_1519CA</v>
      </c>
      <c r="H222" t="str">
        <f>"NM_000465"</f>
        <v>NM_000465</v>
      </c>
      <c r="J222" t="s">
        <v>1385</v>
      </c>
      <c r="K222" t="str">
        <f>"49%"</f>
        <v>49%</v>
      </c>
      <c r="L222" t="str">
        <f>"0.00"</f>
        <v>0.00</v>
      </c>
      <c r="N222" t="s">
        <v>1386</v>
      </c>
      <c r="O222" t="s">
        <v>1387</v>
      </c>
      <c r="P222" t="str">
        <f>""</f>
        <v/>
      </c>
      <c r="Q222" t="str">
        <f>""</f>
        <v/>
      </c>
      <c r="R222" t="str">
        <f>""</f>
        <v/>
      </c>
      <c r="S222" t="str">
        <f>""</f>
        <v/>
      </c>
      <c r="T222" t="s">
        <v>1388</v>
      </c>
      <c r="U222" t="str">
        <f>"35.6090%"</f>
        <v>35.6090%</v>
      </c>
      <c r="V222" t="str">
        <f>"35.5820%"</f>
        <v>35.5820%</v>
      </c>
      <c r="Y222" t="s">
        <v>1389</v>
      </c>
      <c r="Z222" t="str">
        <f>""</f>
        <v/>
      </c>
    </row>
    <row r="223" spans="1:26" x14ac:dyDescent="0.3">
      <c r="A223" t="s">
        <v>26</v>
      </c>
      <c r="B223" t="s">
        <v>1390</v>
      </c>
      <c r="C223" t="s">
        <v>39</v>
      </c>
      <c r="D223" t="s">
        <v>28</v>
      </c>
      <c r="E223" t="s">
        <v>30</v>
      </c>
      <c r="F223" t="str">
        <f t="shared" ref="F223:F238" si="11">"110"</f>
        <v>110</v>
      </c>
      <c r="G223" t="str">
        <f>"NCOR1 p.H2317P"</f>
        <v>NCOR1 p.H2317P</v>
      </c>
      <c r="H223" t="str">
        <f>"NM_006311"</f>
        <v>NM_006311</v>
      </c>
      <c r="J223" t="s">
        <v>1391</v>
      </c>
      <c r="K223" t="str">
        <f>"26%"</f>
        <v>26%</v>
      </c>
      <c r="L223" t="str">
        <f>"-0.07"</f>
        <v>-0.07</v>
      </c>
      <c r="N223" t="s">
        <v>41</v>
      </c>
      <c r="O223" t="s">
        <v>1392</v>
      </c>
      <c r="P223" t="str">
        <f>"0.0025%"</f>
        <v>0.0025%</v>
      </c>
      <c r="Q223" t="str">
        <f>"0.0012%"</f>
        <v>0.0012%</v>
      </c>
      <c r="R223" t="str">
        <f>""</f>
        <v/>
      </c>
      <c r="S223" t="str">
        <f>"0.0399%"</f>
        <v>0.0399%</v>
      </c>
      <c r="T223" t="s">
        <v>1393</v>
      </c>
      <c r="U223" t="str">
        <f>""</f>
        <v/>
      </c>
      <c r="V223" t="str">
        <f>""</f>
        <v/>
      </c>
      <c r="Z223" t="str">
        <f>"14.12"</f>
        <v>14.12</v>
      </c>
    </row>
    <row r="224" spans="1:26" x14ac:dyDescent="0.3">
      <c r="A224" t="s">
        <v>397</v>
      </c>
      <c r="B224" t="s">
        <v>1394</v>
      </c>
      <c r="C224" t="s">
        <v>29</v>
      </c>
      <c r="D224" t="s">
        <v>28</v>
      </c>
      <c r="E224" t="s">
        <v>30</v>
      </c>
      <c r="F224" t="str">
        <f t="shared" si="11"/>
        <v>110</v>
      </c>
      <c r="G224" t="str">
        <f>"FAT3 p.Q1726R"</f>
        <v>FAT3 p.Q1726R</v>
      </c>
      <c r="H224" t="str">
        <f>"NM_001008781"</f>
        <v>NM_001008781</v>
      </c>
      <c r="J224" t="s">
        <v>855</v>
      </c>
      <c r="K224" t="str">
        <f>"53%"</f>
        <v>53%</v>
      </c>
      <c r="L224" t="str">
        <f>"-0.10"</f>
        <v>-0.10</v>
      </c>
      <c r="N224" t="s">
        <v>41</v>
      </c>
      <c r="O224" t="s">
        <v>1395</v>
      </c>
      <c r="P224" t="str">
        <f>"82.3000%"</f>
        <v>82.3000%</v>
      </c>
      <c r="Q224" t="str">
        <f>"82.6900%"</f>
        <v>82.6900%</v>
      </c>
      <c r="R224" t="str">
        <f>"79.8200%"</f>
        <v>79.8200%</v>
      </c>
      <c r="S224" t="str">
        <f>"76.9768%"</f>
        <v>76.9768%</v>
      </c>
      <c r="T224" t="s">
        <v>1396</v>
      </c>
      <c r="U224" t="str">
        <f>"82.4140%"</f>
        <v>82.4140%</v>
      </c>
      <c r="V224" t="str">
        <f>"82.4690%"</f>
        <v>82.4690%</v>
      </c>
      <c r="X224" t="s">
        <v>1397</v>
      </c>
      <c r="Z224" t="str">
        <f>"5.962"</f>
        <v>5.962</v>
      </c>
    </row>
    <row r="225" spans="1:26" x14ac:dyDescent="0.3">
      <c r="A225" t="s">
        <v>75</v>
      </c>
      <c r="B225" t="s">
        <v>1398</v>
      </c>
      <c r="C225" t="s">
        <v>28</v>
      </c>
      <c r="D225" t="s">
        <v>39</v>
      </c>
      <c r="E225" t="s">
        <v>30</v>
      </c>
      <c r="F225" t="str">
        <f t="shared" si="11"/>
        <v>110</v>
      </c>
      <c r="G225" t="str">
        <f>"POLQ p.P1381T"</f>
        <v>POLQ p.P1381T</v>
      </c>
      <c r="H225" t="str">
        <f>"NM_199420"</f>
        <v>NM_199420</v>
      </c>
      <c r="J225" t="s">
        <v>268</v>
      </c>
      <c r="K225" t="str">
        <f>"58%"</f>
        <v>58%</v>
      </c>
      <c r="L225" t="str">
        <f>"-0.17"</f>
        <v>-0.17</v>
      </c>
      <c r="N225" t="s">
        <v>41</v>
      </c>
      <c r="O225" t="s">
        <v>1399</v>
      </c>
      <c r="P225" t="str">
        <f>"2.3300%"</f>
        <v>2.3300%</v>
      </c>
      <c r="Q225" t="str">
        <f>"2.3600%"</f>
        <v>2.3600%</v>
      </c>
      <c r="R225" t="str">
        <f>"1.8000%"</f>
        <v>1.8000%</v>
      </c>
      <c r="S225" t="str">
        <f>"1.7772%"</f>
        <v>1.7772%</v>
      </c>
      <c r="T225" t="s">
        <v>1400</v>
      </c>
      <c r="U225" t="str">
        <f>"2.2670%"</f>
        <v>2.2670%</v>
      </c>
      <c r="V225" t="str">
        <f>"2.2390%"</f>
        <v>2.2390%</v>
      </c>
      <c r="Z225" t="str">
        <f>"1.238"</f>
        <v>1.238</v>
      </c>
    </row>
    <row r="226" spans="1:26" x14ac:dyDescent="0.3">
      <c r="A226" t="s">
        <v>459</v>
      </c>
      <c r="B226" t="s">
        <v>1401</v>
      </c>
      <c r="C226" t="s">
        <v>29</v>
      </c>
      <c r="D226" t="s">
        <v>28</v>
      </c>
      <c r="E226" t="s">
        <v>30</v>
      </c>
      <c r="F226" t="str">
        <f t="shared" si="11"/>
        <v>110</v>
      </c>
      <c r="G226" t="str">
        <f>"NAV3"</f>
        <v>NAV3</v>
      </c>
      <c r="H226" t="str">
        <f>""</f>
        <v/>
      </c>
      <c r="J226" t="s">
        <v>869</v>
      </c>
      <c r="K226" t="str">
        <f>"100%"</f>
        <v>100%</v>
      </c>
      <c r="L226" t="str">
        <f>"-0.08"</f>
        <v>-0.08</v>
      </c>
      <c r="N226" t="s">
        <v>41</v>
      </c>
      <c r="O226" t="s">
        <v>1402</v>
      </c>
      <c r="P226" t="str">
        <f>"99.2800%"</f>
        <v>99.2800%</v>
      </c>
      <c r="Q226" t="str">
        <f>"99.4200%"</f>
        <v>99.4200%</v>
      </c>
      <c r="R226" t="str">
        <f>"97.3300%"</f>
        <v>97.3300%</v>
      </c>
      <c r="S226" t="str">
        <f>"97.5439%"</f>
        <v>97.5439%</v>
      </c>
      <c r="T226" t="s">
        <v>1403</v>
      </c>
      <c r="U226" t="str">
        <f>"99.3170%"</f>
        <v>99.3170%</v>
      </c>
      <c r="V226" t="str">
        <f>"99.3450%"</f>
        <v>99.3450%</v>
      </c>
      <c r="X226" t="s">
        <v>1404</v>
      </c>
      <c r="Z226" t="str">
        <f>"4.131"</f>
        <v>4.131</v>
      </c>
    </row>
    <row r="227" spans="1:26" x14ac:dyDescent="0.3">
      <c r="A227" t="s">
        <v>139</v>
      </c>
      <c r="B227" t="s">
        <v>1405</v>
      </c>
      <c r="C227" t="s">
        <v>29</v>
      </c>
      <c r="D227" t="s">
        <v>38</v>
      </c>
      <c r="E227" t="s">
        <v>526</v>
      </c>
      <c r="F227" t="str">
        <f t="shared" si="11"/>
        <v>110</v>
      </c>
      <c r="G227" t="str">
        <f>"DIEXF"</f>
        <v>DIEXF</v>
      </c>
      <c r="H227" t="str">
        <f>""</f>
        <v/>
      </c>
      <c r="J227" t="s">
        <v>282</v>
      </c>
      <c r="K227" t="str">
        <f>"52%"</f>
        <v>52%</v>
      </c>
      <c r="L227" t="str">
        <f>"0.06"</f>
        <v>0.06</v>
      </c>
      <c r="M227" t="s">
        <v>1406</v>
      </c>
      <c r="P227" t="str">
        <f>""</f>
        <v/>
      </c>
      <c r="Q227" t="str">
        <f>""</f>
        <v/>
      </c>
      <c r="R227" t="str">
        <f>""</f>
        <v/>
      </c>
      <c r="S227" t="str">
        <f>"46.6254%"</f>
        <v>46.6254%</v>
      </c>
      <c r="T227" t="s">
        <v>1407</v>
      </c>
      <c r="U227" t="str">
        <f>"46.8870%"</f>
        <v>46.8870%</v>
      </c>
      <c r="V227" t="str">
        <f>"46.9140%"</f>
        <v>46.9140%</v>
      </c>
      <c r="Z227" t="str">
        <f>""</f>
        <v/>
      </c>
    </row>
    <row r="228" spans="1:26" x14ac:dyDescent="0.3">
      <c r="A228" t="s">
        <v>83</v>
      </c>
      <c r="B228" t="s">
        <v>1408</v>
      </c>
      <c r="C228" t="s">
        <v>29</v>
      </c>
      <c r="D228" t="s">
        <v>28</v>
      </c>
      <c r="E228" t="s">
        <v>1041</v>
      </c>
      <c r="F228" t="str">
        <f t="shared" si="11"/>
        <v>110</v>
      </c>
      <c r="G228" t="str">
        <f>"CLPTM1L"</f>
        <v>CLPTM1L</v>
      </c>
      <c r="H228" t="str">
        <f>""</f>
        <v/>
      </c>
      <c r="J228" t="s">
        <v>282</v>
      </c>
      <c r="K228" t="str">
        <f>"100%"</f>
        <v>100%</v>
      </c>
      <c r="L228" t="str">
        <f>"-0.13"</f>
        <v>-0.13</v>
      </c>
      <c r="M228" t="s">
        <v>1409</v>
      </c>
      <c r="P228" t="str">
        <f>""</f>
        <v/>
      </c>
      <c r="Q228" t="str">
        <f>""</f>
        <v/>
      </c>
      <c r="R228" t="str">
        <f>""</f>
        <v/>
      </c>
      <c r="S228" t="str">
        <f>"67.6717%"</f>
        <v>67.6717%</v>
      </c>
      <c r="T228" t="s">
        <v>1410</v>
      </c>
      <c r="U228" t="str">
        <f>"63.7360%"</f>
        <v>63.7360%</v>
      </c>
      <c r="V228" t="str">
        <f>"63.7630%"</f>
        <v>63.7630%</v>
      </c>
      <c r="Z228" t="str">
        <f>""</f>
        <v/>
      </c>
    </row>
    <row r="229" spans="1:26" x14ac:dyDescent="0.3">
      <c r="A229" t="s">
        <v>241</v>
      </c>
      <c r="B229" t="s">
        <v>1411</v>
      </c>
      <c r="C229" t="s">
        <v>39</v>
      </c>
      <c r="D229" t="s">
        <v>38</v>
      </c>
      <c r="E229" t="s">
        <v>30</v>
      </c>
      <c r="F229" t="str">
        <f t="shared" si="11"/>
        <v>110</v>
      </c>
      <c r="G229" t="str">
        <f>"ALK p.I1461V"</f>
        <v>ALK p.I1461V</v>
      </c>
      <c r="H229" t="str">
        <f>"NM_004304"</f>
        <v>NM_004304</v>
      </c>
      <c r="J229" t="s">
        <v>1412</v>
      </c>
      <c r="K229" t="str">
        <f>"100%"</f>
        <v>100%</v>
      </c>
      <c r="L229" t="str">
        <f>"0.03"</f>
        <v>0.03</v>
      </c>
      <c r="N229" t="s">
        <v>41</v>
      </c>
      <c r="O229" t="s">
        <v>1413</v>
      </c>
      <c r="P229" t="str">
        <f>"99.7200%"</f>
        <v>99.7200%</v>
      </c>
      <c r="Q229" t="str">
        <f>"99.7600%"</f>
        <v>99.7600%</v>
      </c>
      <c r="R229" t="str">
        <f>"99.0300%"</f>
        <v>99.0300%</v>
      </c>
      <c r="S229" t="str">
        <f>"99.2212%"</f>
        <v>99.2212%</v>
      </c>
      <c r="T229" t="s">
        <v>1414</v>
      </c>
      <c r="U229" t="str">
        <f>"99.6720%"</f>
        <v>99.6720%</v>
      </c>
      <c r="V229" t="str">
        <f>"99.6720%"</f>
        <v>99.6720%</v>
      </c>
      <c r="X229" t="s">
        <v>1415</v>
      </c>
      <c r="Y229" t="s">
        <v>1416</v>
      </c>
      <c r="Z229" t="str">
        <f>"0.840"</f>
        <v>0.840</v>
      </c>
    </row>
    <row r="230" spans="1:26" x14ac:dyDescent="0.3">
      <c r="A230" t="s">
        <v>52</v>
      </c>
      <c r="B230" t="s">
        <v>1417</v>
      </c>
      <c r="C230" t="s">
        <v>38</v>
      </c>
      <c r="D230" t="s">
        <v>39</v>
      </c>
      <c r="E230" t="s">
        <v>30</v>
      </c>
      <c r="F230" t="str">
        <f t="shared" si="11"/>
        <v>110</v>
      </c>
      <c r="G230" t="str">
        <f>"PALB2 p.V932M"</f>
        <v>PALB2 p.V932M</v>
      </c>
      <c r="H230" t="str">
        <f>"NM_024675"</f>
        <v>NM_024675</v>
      </c>
      <c r="J230" t="s">
        <v>1412</v>
      </c>
      <c r="K230" t="str">
        <f>"42%"</f>
        <v>42%</v>
      </c>
      <c r="L230" t="str">
        <f>"0.11"</f>
        <v>0.11</v>
      </c>
      <c r="N230" t="s">
        <v>41</v>
      </c>
      <c r="O230" t="s">
        <v>1418</v>
      </c>
      <c r="P230" t="str">
        <f>"0.6000%"</f>
        <v>0.6000%</v>
      </c>
      <c r="Q230" t="str">
        <f>"0.5200%"</f>
        <v>0.5200%</v>
      </c>
      <c r="R230" t="str">
        <f>"0.4300%"</f>
        <v>0.4300%</v>
      </c>
      <c r="S230" t="str">
        <f>"0.0998%"</f>
        <v>0.0998%</v>
      </c>
      <c r="T230" t="s">
        <v>1419</v>
      </c>
      <c r="U230" t="str">
        <f>"0.3000%"</f>
        <v>0.3000%</v>
      </c>
      <c r="V230" t="str">
        <f>"0.3000%"</f>
        <v>0.3000%</v>
      </c>
      <c r="Y230" t="s">
        <v>1420</v>
      </c>
      <c r="Z230" t="str">
        <f>"18.31"</f>
        <v>18.31</v>
      </c>
    </row>
    <row r="231" spans="1:26" x14ac:dyDescent="0.3">
      <c r="A231" t="s">
        <v>60</v>
      </c>
      <c r="B231" t="s">
        <v>1421</v>
      </c>
      <c r="C231" t="s">
        <v>29</v>
      </c>
      <c r="D231" t="s">
        <v>38</v>
      </c>
      <c r="E231" t="s">
        <v>30</v>
      </c>
      <c r="F231" t="str">
        <f t="shared" si="11"/>
        <v>110</v>
      </c>
      <c r="G231" t="str">
        <f>"SYNE1"</f>
        <v>SYNE1</v>
      </c>
      <c r="H231" t="str">
        <f>""</f>
        <v/>
      </c>
      <c r="J231" t="s">
        <v>293</v>
      </c>
      <c r="K231" t="str">
        <f>"100%"</f>
        <v>100%</v>
      </c>
      <c r="L231" t="str">
        <f>"0.04"</f>
        <v>0.04</v>
      </c>
      <c r="N231" t="s">
        <v>41</v>
      </c>
      <c r="O231" t="s">
        <v>1422</v>
      </c>
      <c r="P231" t="str">
        <f>"99.2300%"</f>
        <v>99.2300%</v>
      </c>
      <c r="Q231" t="str">
        <f>"99.1800%"</f>
        <v>99.1800%</v>
      </c>
      <c r="R231" t="str">
        <f>"99.3100%"</f>
        <v>99.3100%</v>
      </c>
      <c r="S231" t="str">
        <f>"99.5607%"</f>
        <v>99.5607%</v>
      </c>
      <c r="T231" t="s">
        <v>1423</v>
      </c>
      <c r="U231" t="str">
        <f>"98.7440%"</f>
        <v>98.7440%</v>
      </c>
      <c r="V231" t="str">
        <f>"98.7710%"</f>
        <v>98.7710%</v>
      </c>
      <c r="Y231" t="s">
        <v>1424</v>
      </c>
      <c r="Z231" t="str">
        <f>"0.034"</f>
        <v>0.034</v>
      </c>
    </row>
    <row r="232" spans="1:26" x14ac:dyDescent="0.3">
      <c r="A232" t="s">
        <v>75</v>
      </c>
      <c r="B232" t="s">
        <v>1425</v>
      </c>
      <c r="C232" t="s">
        <v>38</v>
      </c>
      <c r="D232" t="s">
        <v>29</v>
      </c>
      <c r="E232" t="s">
        <v>30</v>
      </c>
      <c r="F232" t="str">
        <f t="shared" si="11"/>
        <v>110</v>
      </c>
      <c r="G232" t="str">
        <f>"POLQ p.R66I"</f>
        <v>POLQ p.R66I</v>
      </c>
      <c r="H232" t="str">
        <f>"NM_199420"</f>
        <v>NM_199420</v>
      </c>
      <c r="J232" t="s">
        <v>298</v>
      </c>
      <c r="K232" t="str">
        <f>"100%"</f>
        <v>100%</v>
      </c>
      <c r="L232" t="str">
        <f>"-0.17"</f>
        <v>-0.17</v>
      </c>
      <c r="N232" t="s">
        <v>41</v>
      </c>
      <c r="O232" t="s">
        <v>1426</v>
      </c>
      <c r="P232" t="str">
        <f>"99.6400%"</f>
        <v>99.6400%</v>
      </c>
      <c r="Q232" t="str">
        <f>"99.7300%"</f>
        <v>99.7300%</v>
      </c>
      <c r="R232" t="str">
        <f>"98.8600%"</f>
        <v>98.8600%</v>
      </c>
      <c r="S232" t="str">
        <f>"98.8618%"</f>
        <v>98.8618%</v>
      </c>
      <c r="T232" t="s">
        <v>1427</v>
      </c>
      <c r="U232" t="str">
        <f>"99.7270%"</f>
        <v>99.7270%</v>
      </c>
      <c r="V232" t="str">
        <f>"99.7270%"</f>
        <v>99.7270%</v>
      </c>
      <c r="X232" t="s">
        <v>1428</v>
      </c>
      <c r="Z232" t="str">
        <f>"9.723"</f>
        <v>9.723</v>
      </c>
    </row>
    <row r="233" spans="1:26" x14ac:dyDescent="0.3">
      <c r="A233" t="s">
        <v>187</v>
      </c>
      <c r="B233" t="s">
        <v>1429</v>
      </c>
      <c r="C233" t="s">
        <v>39</v>
      </c>
      <c r="D233" t="s">
        <v>38</v>
      </c>
      <c r="E233" t="s">
        <v>30</v>
      </c>
      <c r="F233" t="str">
        <f t="shared" si="11"/>
        <v>110</v>
      </c>
      <c r="G233" t="str">
        <f>"DCC p.F23L"</f>
        <v>DCC p.F23L</v>
      </c>
      <c r="H233" t="str">
        <f>"NM_005215"</f>
        <v>NM_005215</v>
      </c>
      <c r="J233" t="s">
        <v>1430</v>
      </c>
      <c r="K233" t="str">
        <f>"100%"</f>
        <v>100%</v>
      </c>
      <c r="L233" t="str">
        <f>"-0.00"</f>
        <v>-0.00</v>
      </c>
      <c r="N233" t="s">
        <v>41</v>
      </c>
      <c r="O233" t="s">
        <v>1431</v>
      </c>
      <c r="P233" t="str">
        <f>"98.6200%"</f>
        <v>98.6200%</v>
      </c>
      <c r="Q233" t="str">
        <f>"98.5300%"</f>
        <v>98.5300%</v>
      </c>
      <c r="R233" t="str">
        <f>"98.9200%"</f>
        <v>98.9200%</v>
      </c>
      <c r="S233" t="str">
        <f>"99.5807%"</f>
        <v>99.5807%</v>
      </c>
      <c r="T233" t="s">
        <v>1432</v>
      </c>
      <c r="U233" t="str">
        <f>"98.7440%"</f>
        <v>98.7440%</v>
      </c>
      <c r="V233" t="str">
        <f>"98.7710%"</f>
        <v>98.7710%</v>
      </c>
      <c r="X233" t="s">
        <v>1433</v>
      </c>
      <c r="Z233" t="str">
        <f>"9.318"</f>
        <v>9.318</v>
      </c>
    </row>
    <row r="234" spans="1:26" x14ac:dyDescent="0.3">
      <c r="A234" t="s">
        <v>75</v>
      </c>
      <c r="B234" t="s">
        <v>1434</v>
      </c>
      <c r="C234" t="s">
        <v>39</v>
      </c>
      <c r="D234" t="s">
        <v>38</v>
      </c>
      <c r="E234" t="s">
        <v>30</v>
      </c>
      <c r="F234" t="str">
        <f t="shared" si="11"/>
        <v>110</v>
      </c>
      <c r="G234" t="str">
        <f>"POLQ p.Q2513R"</f>
        <v>POLQ p.Q2513R</v>
      </c>
      <c r="H234" t="str">
        <f>"NM_199420"</f>
        <v>NM_199420</v>
      </c>
      <c r="J234" t="s">
        <v>1435</v>
      </c>
      <c r="K234" t="str">
        <f>"100%"</f>
        <v>100%</v>
      </c>
      <c r="L234" t="str">
        <f>"-0.17"</f>
        <v>-0.17</v>
      </c>
      <c r="N234" t="s">
        <v>41</v>
      </c>
      <c r="O234" t="s">
        <v>1436</v>
      </c>
      <c r="P234" t="str">
        <f>"72.1700%"</f>
        <v>72.1700%</v>
      </c>
      <c r="Q234" t="str">
        <f>"72.4200%"</f>
        <v>72.4200%</v>
      </c>
      <c r="R234" t="str">
        <f>"66.9600%"</f>
        <v>66.9600%</v>
      </c>
      <c r="S234" t="str">
        <f>"74.5208%"</f>
        <v>74.5208%</v>
      </c>
      <c r="T234" t="s">
        <v>1437</v>
      </c>
      <c r="U234" t="str">
        <f>"71.7370%"</f>
        <v>71.7370%</v>
      </c>
      <c r="V234" t="str">
        <f>"71.7090%"</f>
        <v>71.7090%</v>
      </c>
      <c r="X234" t="s">
        <v>1438</v>
      </c>
      <c r="Z234" t="str">
        <f>"1.151"</f>
        <v>1.151</v>
      </c>
    </row>
    <row r="235" spans="1:26" x14ac:dyDescent="0.3">
      <c r="A235" t="s">
        <v>451</v>
      </c>
      <c r="B235" t="s">
        <v>1439</v>
      </c>
      <c r="C235" t="s">
        <v>38</v>
      </c>
      <c r="D235" t="s">
        <v>39</v>
      </c>
      <c r="E235" t="s">
        <v>30</v>
      </c>
      <c r="F235" t="str">
        <f t="shared" si="11"/>
        <v>110</v>
      </c>
      <c r="G235" t="str">
        <f>"ZFHX4 p.P1273S"</f>
        <v>ZFHX4 p.P1273S</v>
      </c>
      <c r="H235" t="str">
        <f>"NM_024721"</f>
        <v>NM_024721</v>
      </c>
      <c r="J235" t="s">
        <v>1440</v>
      </c>
      <c r="K235" t="str">
        <f>"42%"</f>
        <v>42%</v>
      </c>
      <c r="L235" t="str">
        <f>"0.22"</f>
        <v>0.22</v>
      </c>
      <c r="N235" t="s">
        <v>41</v>
      </c>
      <c r="O235" t="s">
        <v>1441</v>
      </c>
      <c r="P235" t="str">
        <f>"3.9700%"</f>
        <v>3.9700%</v>
      </c>
      <c r="Q235" t="str">
        <f>"4.0600%"</f>
        <v>4.0600%</v>
      </c>
      <c r="R235" t="str">
        <f>"3.7500%"</f>
        <v>3.7500%</v>
      </c>
      <c r="S235" t="str">
        <f>"2.1366%"</f>
        <v>2.1366%</v>
      </c>
      <c r="T235" t="s">
        <v>1442</v>
      </c>
      <c r="U235" t="str">
        <f>"4.4240%"</f>
        <v>4.4240%</v>
      </c>
      <c r="V235" t="str">
        <f>"4.4240%"</f>
        <v>4.4240%</v>
      </c>
      <c r="Z235" t="str">
        <f>"17.87"</f>
        <v>17.87</v>
      </c>
    </row>
    <row r="236" spans="1:26" x14ac:dyDescent="0.3">
      <c r="A236" t="s">
        <v>280</v>
      </c>
      <c r="B236" t="s">
        <v>1443</v>
      </c>
      <c r="C236" t="s">
        <v>29</v>
      </c>
      <c r="D236" t="s">
        <v>28</v>
      </c>
      <c r="E236" t="s">
        <v>30</v>
      </c>
      <c r="F236" t="str">
        <f t="shared" si="11"/>
        <v>110</v>
      </c>
      <c r="G236" t="str">
        <f>"MGA"</f>
        <v>MGA</v>
      </c>
      <c r="H236" t="str">
        <f>""</f>
        <v/>
      </c>
      <c r="J236" t="s">
        <v>911</v>
      </c>
      <c r="K236" t="str">
        <f>"54%"</f>
        <v>54%</v>
      </c>
      <c r="L236" t="str">
        <f>"0.06"</f>
        <v>0.06</v>
      </c>
      <c r="N236" t="s">
        <v>41</v>
      </c>
      <c r="O236" t="s">
        <v>1444</v>
      </c>
      <c r="P236" t="str">
        <f>"2.6400%"</f>
        <v>2.6400%</v>
      </c>
      <c r="Q236" t="str">
        <f>"2.5400%"</f>
        <v>2.5400%</v>
      </c>
      <c r="R236" t="str">
        <f>"3.1200%"</f>
        <v>3.1200%</v>
      </c>
      <c r="S236" t="str">
        <f>"3.7340%"</f>
        <v>3.7340%</v>
      </c>
      <c r="T236" t="s">
        <v>1445</v>
      </c>
      <c r="U236" t="str">
        <f>"1.6930%"</f>
        <v>1.6930%</v>
      </c>
      <c r="V236" t="str">
        <f>"1.6930%"</f>
        <v>1.6930%</v>
      </c>
      <c r="X236" t="s">
        <v>1446</v>
      </c>
      <c r="Z236" t="str">
        <f>"1.970"</f>
        <v>1.970</v>
      </c>
    </row>
    <row r="237" spans="1:26" x14ac:dyDescent="0.3">
      <c r="A237" t="s">
        <v>459</v>
      </c>
      <c r="B237" t="s">
        <v>1447</v>
      </c>
      <c r="C237" t="s">
        <v>38</v>
      </c>
      <c r="D237" t="s">
        <v>29</v>
      </c>
      <c r="E237" t="s">
        <v>30</v>
      </c>
      <c r="F237" t="str">
        <f t="shared" si="11"/>
        <v>110</v>
      </c>
      <c r="G237" t="str">
        <f>"ESPL1 p.A25D"</f>
        <v>ESPL1 p.A25D</v>
      </c>
      <c r="H237" t="str">
        <f>"NM_012291"</f>
        <v>NM_012291</v>
      </c>
      <c r="J237" t="s">
        <v>1448</v>
      </c>
      <c r="K237" t="str">
        <f>"100%"</f>
        <v>100%</v>
      </c>
      <c r="L237" t="str">
        <f>"-0.08"</f>
        <v>-0.08</v>
      </c>
      <c r="N237" t="s">
        <v>41</v>
      </c>
      <c r="O237" t="s">
        <v>1449</v>
      </c>
      <c r="P237" t="str">
        <f>"77.6600%"</f>
        <v>77.6600%</v>
      </c>
      <c r="Q237" t="str">
        <f>"77.1100%"</f>
        <v>77.1100%</v>
      </c>
      <c r="R237" t="str">
        <f>"76.6600%"</f>
        <v>76.6600%</v>
      </c>
      <c r="S237" t="str">
        <f>"88.8379%"</f>
        <v>88.8379%</v>
      </c>
      <c r="T237" t="s">
        <v>1450</v>
      </c>
      <c r="U237" t="str">
        <f>"78.0450%"</f>
        <v>78.0450%</v>
      </c>
      <c r="V237" t="str">
        <f>"78.0450%"</f>
        <v>78.0450%</v>
      </c>
      <c r="X237" t="s">
        <v>1451</v>
      </c>
      <c r="Z237" t="str">
        <f>"1.127"</f>
        <v>1.127</v>
      </c>
    </row>
    <row r="238" spans="1:26" x14ac:dyDescent="0.3">
      <c r="A238" t="s">
        <v>110</v>
      </c>
      <c r="B238" t="s">
        <v>1452</v>
      </c>
      <c r="C238" t="s">
        <v>39</v>
      </c>
      <c r="D238" t="s">
        <v>38</v>
      </c>
      <c r="E238" t="s">
        <v>30</v>
      </c>
      <c r="F238" t="str">
        <f t="shared" si="11"/>
        <v>110</v>
      </c>
      <c r="G238" t="str">
        <f>"PDCD1LG2 p.F229S"</f>
        <v>PDCD1LG2 p.F229S</v>
      </c>
      <c r="H238" t="str">
        <f>"NM_025239"</f>
        <v>NM_025239</v>
      </c>
      <c r="J238" t="s">
        <v>1453</v>
      </c>
      <c r="K238" t="str">
        <f>"99%"</f>
        <v>99%</v>
      </c>
      <c r="L238" t="str">
        <f>"-0.24"</f>
        <v>-0.24</v>
      </c>
      <c r="N238" t="s">
        <v>41</v>
      </c>
      <c r="O238" t="s">
        <v>1454</v>
      </c>
      <c r="P238" t="str">
        <f>"99.9200%"</f>
        <v>99.9200%</v>
      </c>
      <c r="Q238" t="str">
        <f>"99.9100%"</f>
        <v>99.9100%</v>
      </c>
      <c r="R238" t="str">
        <f>"99.8800%"</f>
        <v>99.8800%</v>
      </c>
      <c r="S238" t="str">
        <f>"99.7804%"</f>
        <v>99.7804%</v>
      </c>
      <c r="T238" t="s">
        <v>1455</v>
      </c>
      <c r="U238" t="str">
        <f>"99.9180%"</f>
        <v>99.9180%</v>
      </c>
      <c r="V238" t="str">
        <f>"99.8090%"</f>
        <v>99.8090%</v>
      </c>
      <c r="X238" t="s">
        <v>1456</v>
      </c>
      <c r="Z238" t="str">
        <f>"0.149"</f>
        <v>0.149</v>
      </c>
    </row>
    <row r="239" spans="1:26" x14ac:dyDescent="0.3">
      <c r="A239" t="s">
        <v>26</v>
      </c>
      <c r="B239" t="s">
        <v>267</v>
      </c>
      <c r="C239" t="s">
        <v>1457</v>
      </c>
      <c r="D239" t="s">
        <v>1458</v>
      </c>
      <c r="E239" t="s">
        <v>30</v>
      </c>
      <c r="F239" t="str">
        <f>"100"</f>
        <v>100</v>
      </c>
      <c r="G239" t="str">
        <f>"NCOR1 c.568_571TGAA"</f>
        <v>NCOR1 c.568_571TGAA</v>
      </c>
      <c r="H239" t="str">
        <f>"NM_006311"</f>
        <v>NM_006311</v>
      </c>
      <c r="J239" t="s">
        <v>1459</v>
      </c>
      <c r="K239" t="str">
        <f>"45%"</f>
        <v>45%</v>
      </c>
      <c r="L239" t="str">
        <f>"-0.07"</f>
        <v>-0.07</v>
      </c>
      <c r="N239" t="s">
        <v>1386</v>
      </c>
      <c r="O239" t="s">
        <v>1460</v>
      </c>
      <c r="P239" t="str">
        <f>""</f>
        <v/>
      </c>
      <c r="Q239" t="str">
        <f>""</f>
        <v/>
      </c>
      <c r="R239" t="str">
        <f>""</f>
        <v/>
      </c>
      <c r="S239" t="str">
        <f>""</f>
        <v/>
      </c>
      <c r="U239" t="str">
        <f>"49.8630%"</f>
        <v>49.8630%</v>
      </c>
      <c r="V239" t="str">
        <f>"49.4540%"</f>
        <v>49.4540%</v>
      </c>
      <c r="Z239" t="str">
        <f>""</f>
        <v/>
      </c>
    </row>
    <row r="240" spans="1:26" x14ac:dyDescent="0.3">
      <c r="A240" t="s">
        <v>26</v>
      </c>
      <c r="B240" t="s">
        <v>1461</v>
      </c>
      <c r="C240" t="s">
        <v>39</v>
      </c>
      <c r="D240" t="s">
        <v>38</v>
      </c>
      <c r="E240" t="s">
        <v>30</v>
      </c>
      <c r="F240" t="str">
        <f t="shared" ref="F240:F247" si="12">"110"</f>
        <v>110</v>
      </c>
      <c r="G240" t="str">
        <f>"TOP2A p.I899V"</f>
        <v>TOP2A p.I899V</v>
      </c>
      <c r="H240" t="str">
        <f>"NM_001067"</f>
        <v>NM_001067</v>
      </c>
      <c r="J240" t="s">
        <v>1462</v>
      </c>
      <c r="K240" t="str">
        <f>"44%"</f>
        <v>44%</v>
      </c>
      <c r="L240" t="str">
        <f>"-0.06"</f>
        <v>-0.06</v>
      </c>
      <c r="N240" t="s">
        <v>41</v>
      </c>
      <c r="O240" t="s">
        <v>1463</v>
      </c>
      <c r="P240" t="str">
        <f>"0.0018%"</f>
        <v>0.0018%</v>
      </c>
      <c r="Q240" t="str">
        <f>"0.0004%"</f>
        <v>0.0004%</v>
      </c>
      <c r="R240" t="str">
        <f>""</f>
        <v/>
      </c>
      <c r="S240" t="str">
        <f>"0.0399%"</f>
        <v>0.0399%</v>
      </c>
      <c r="T240" t="s">
        <v>1464</v>
      </c>
      <c r="U240" t="str">
        <f>""</f>
        <v/>
      </c>
      <c r="V240" t="str">
        <f>""</f>
        <v/>
      </c>
      <c r="Z240" t="str">
        <f>"13.43"</f>
        <v>13.43</v>
      </c>
    </row>
    <row r="241" spans="1:26" x14ac:dyDescent="0.3">
      <c r="A241" t="s">
        <v>459</v>
      </c>
      <c r="B241" t="s">
        <v>1465</v>
      </c>
      <c r="C241" t="s">
        <v>29</v>
      </c>
      <c r="D241" t="s">
        <v>38</v>
      </c>
      <c r="E241" t="s">
        <v>30</v>
      </c>
      <c r="F241" t="str">
        <f t="shared" si="12"/>
        <v>110</v>
      </c>
      <c r="G241" t="str">
        <f>"DUSP6 p.S144A"</f>
        <v>DUSP6 p.S144A</v>
      </c>
      <c r="H241" t="str">
        <f>"NM_001946"</f>
        <v>NM_001946</v>
      </c>
      <c r="J241" t="s">
        <v>332</v>
      </c>
      <c r="K241" t="str">
        <f>"100%"</f>
        <v>100%</v>
      </c>
      <c r="L241" t="str">
        <f>"-0.08"</f>
        <v>-0.08</v>
      </c>
      <c r="N241" t="s">
        <v>41</v>
      </c>
      <c r="O241" t="s">
        <v>1466</v>
      </c>
      <c r="P241" t="str">
        <f>"23.7500%"</f>
        <v>23.7500%</v>
      </c>
      <c r="Q241" t="str">
        <f>"19.0100%"</f>
        <v>19.0100%</v>
      </c>
      <c r="R241" t="str">
        <f>"26.1000%"</f>
        <v>26.1000%</v>
      </c>
      <c r="S241" t="str">
        <f>"21.7452%"</f>
        <v>21.7452%</v>
      </c>
      <c r="T241" t="s">
        <v>1467</v>
      </c>
      <c r="U241" t="str">
        <f>"19.3060%"</f>
        <v>19.3060%</v>
      </c>
      <c r="V241" t="str">
        <f>"19.2790%"</f>
        <v>19.2790%</v>
      </c>
      <c r="Z241" t="str">
        <f>"16.85"</f>
        <v>16.85</v>
      </c>
    </row>
    <row r="242" spans="1:26" x14ac:dyDescent="0.3">
      <c r="A242" t="s">
        <v>146</v>
      </c>
      <c r="B242" t="s">
        <v>1468</v>
      </c>
      <c r="C242" t="s">
        <v>38</v>
      </c>
      <c r="D242" t="s">
        <v>39</v>
      </c>
      <c r="E242" t="s">
        <v>526</v>
      </c>
      <c r="F242" t="str">
        <f t="shared" si="12"/>
        <v>110</v>
      </c>
      <c r="G242" t="str">
        <f>"CYP3A4"</f>
        <v>CYP3A4</v>
      </c>
      <c r="H242" t="str">
        <f>""</f>
        <v/>
      </c>
      <c r="J242" t="s">
        <v>1469</v>
      </c>
      <c r="K242" t="str">
        <f>"100%"</f>
        <v>100%</v>
      </c>
      <c r="L242" t="str">
        <f>"0.36"</f>
        <v>0.36</v>
      </c>
      <c r="M242" t="s">
        <v>1470</v>
      </c>
      <c r="P242" t="str">
        <f>""</f>
        <v/>
      </c>
      <c r="Q242" t="str">
        <f>""</f>
        <v/>
      </c>
      <c r="R242" t="str">
        <f>""</f>
        <v/>
      </c>
      <c r="S242" t="str">
        <f>"76.9169%"</f>
        <v>76.9169%</v>
      </c>
      <c r="T242" t="s">
        <v>1471</v>
      </c>
      <c r="U242" t="str">
        <f>"93.0370%"</f>
        <v>93.0370%</v>
      </c>
      <c r="V242" t="str">
        <f>"92.9820%"</f>
        <v>92.9820%</v>
      </c>
      <c r="Y242" t="s">
        <v>1472</v>
      </c>
      <c r="Z242" t="str">
        <f>""</f>
        <v/>
      </c>
    </row>
    <row r="243" spans="1:26" x14ac:dyDescent="0.3">
      <c r="A243" t="s">
        <v>241</v>
      </c>
      <c r="B243" t="s">
        <v>1473</v>
      </c>
      <c r="C243" t="s">
        <v>38</v>
      </c>
      <c r="D243" t="s">
        <v>39</v>
      </c>
      <c r="E243" t="s">
        <v>30</v>
      </c>
      <c r="F243" t="str">
        <f t="shared" si="12"/>
        <v>110</v>
      </c>
      <c r="G243" t="str">
        <f>"LRP1B p.S179N"</f>
        <v>LRP1B p.S179N</v>
      </c>
      <c r="H243" t="str">
        <f>"NM_018557"</f>
        <v>NM_018557</v>
      </c>
      <c r="J243" t="s">
        <v>1474</v>
      </c>
      <c r="K243" t="str">
        <f>"46%"</f>
        <v>46%</v>
      </c>
      <c r="L243" t="str">
        <f>"0.00"</f>
        <v>0.00</v>
      </c>
      <c r="N243" t="s">
        <v>41</v>
      </c>
      <c r="O243" t="s">
        <v>1475</v>
      </c>
      <c r="P243" t="str">
        <f>"0.1300%"</f>
        <v>0.1300%</v>
      </c>
      <c r="Q243" t="str">
        <f>"0.1200%"</f>
        <v>0.1200%</v>
      </c>
      <c r="R243" t="str">
        <f>""</f>
        <v/>
      </c>
      <c r="S243" t="str">
        <f>"0.2796%"</f>
        <v>0.2796%</v>
      </c>
      <c r="T243" t="s">
        <v>1476</v>
      </c>
      <c r="U243" t="str">
        <f>""</f>
        <v/>
      </c>
      <c r="V243" t="str">
        <f>""</f>
        <v/>
      </c>
      <c r="Z243" t="str">
        <f>"14.03"</f>
        <v>14.03</v>
      </c>
    </row>
    <row r="244" spans="1:26" x14ac:dyDescent="0.3">
      <c r="A244" t="s">
        <v>459</v>
      </c>
      <c r="B244" t="s">
        <v>1477</v>
      </c>
      <c r="C244" t="s">
        <v>38</v>
      </c>
      <c r="D244" t="s">
        <v>39</v>
      </c>
      <c r="E244" t="s">
        <v>30</v>
      </c>
      <c r="F244" t="str">
        <f t="shared" si="12"/>
        <v>110</v>
      </c>
      <c r="G244" t="str">
        <f>"PTPRB"</f>
        <v>PTPRB</v>
      </c>
      <c r="H244" t="str">
        <f>""</f>
        <v/>
      </c>
      <c r="J244" t="s">
        <v>1478</v>
      </c>
      <c r="K244" t="str">
        <f>"42%"</f>
        <v>42%</v>
      </c>
      <c r="L244" t="str">
        <f>"-0.08"</f>
        <v>-0.08</v>
      </c>
      <c r="N244" t="s">
        <v>41</v>
      </c>
      <c r="O244" t="s">
        <v>1479</v>
      </c>
      <c r="P244" t="str">
        <f>"7.7700%"</f>
        <v>7.7700%</v>
      </c>
      <c r="Q244" t="str">
        <f>"5.5100%"</f>
        <v>5.5100%</v>
      </c>
      <c r="R244" t="str">
        <f>"5.3100%"</f>
        <v>5.3100%</v>
      </c>
      <c r="S244" t="str">
        <f>"1.9768%"</f>
        <v>1.9768%</v>
      </c>
      <c r="T244" t="s">
        <v>1480</v>
      </c>
      <c r="U244" t="str">
        <f>"5.5160%"</f>
        <v>5.5160%</v>
      </c>
      <c r="V244" t="str">
        <f>"5.5160%"</f>
        <v>5.5160%</v>
      </c>
      <c r="Z244" t="str">
        <f>"1.822"</f>
        <v>1.822</v>
      </c>
    </row>
    <row r="245" spans="1:26" x14ac:dyDescent="0.3">
      <c r="A245" t="s">
        <v>83</v>
      </c>
      <c r="B245" t="s">
        <v>1481</v>
      </c>
      <c r="C245" t="s">
        <v>28</v>
      </c>
      <c r="D245" t="s">
        <v>29</v>
      </c>
      <c r="E245" t="s">
        <v>1041</v>
      </c>
      <c r="F245" t="str">
        <f t="shared" si="12"/>
        <v>110</v>
      </c>
      <c r="G245" t="str">
        <f>"CLPTM1L"</f>
        <v>CLPTM1L</v>
      </c>
      <c r="H245" t="str">
        <f>""</f>
        <v/>
      </c>
      <c r="J245" t="s">
        <v>1482</v>
      </c>
      <c r="K245" t="str">
        <f>"100%"</f>
        <v>100%</v>
      </c>
      <c r="L245" t="str">
        <f>"-0.13"</f>
        <v>-0.13</v>
      </c>
      <c r="M245" t="s">
        <v>1483</v>
      </c>
      <c r="P245" t="str">
        <f>""</f>
        <v/>
      </c>
      <c r="Q245" t="str">
        <f>""</f>
        <v/>
      </c>
      <c r="R245" t="str">
        <f>""</f>
        <v/>
      </c>
      <c r="S245" t="str">
        <f>"89.2572%"</f>
        <v>89.2572%</v>
      </c>
      <c r="T245" t="s">
        <v>1484</v>
      </c>
      <c r="U245" t="str">
        <f>"85.9090%"</f>
        <v>85.9090%</v>
      </c>
      <c r="V245" t="str">
        <f>"85.8550%"</f>
        <v>85.8550%</v>
      </c>
      <c r="Z245" t="str">
        <f>""</f>
        <v/>
      </c>
    </row>
    <row r="246" spans="1:26" x14ac:dyDescent="0.3">
      <c r="A246" t="s">
        <v>280</v>
      </c>
      <c r="B246" t="s">
        <v>1485</v>
      </c>
      <c r="C246" t="s">
        <v>29</v>
      </c>
      <c r="D246" t="s">
        <v>39</v>
      </c>
      <c r="E246" t="s">
        <v>30</v>
      </c>
      <c r="F246" t="str">
        <f t="shared" si="12"/>
        <v>110</v>
      </c>
      <c r="G246" t="str">
        <f>"MGA"</f>
        <v>MGA</v>
      </c>
      <c r="H246" t="str">
        <f>""</f>
        <v/>
      </c>
      <c r="J246" t="s">
        <v>1482</v>
      </c>
      <c r="K246" t="str">
        <f>"100%"</f>
        <v>100%</v>
      </c>
      <c r="L246" t="str">
        <f>"0.06"</f>
        <v>0.06</v>
      </c>
      <c r="N246" t="s">
        <v>41</v>
      </c>
      <c r="O246" t="s">
        <v>1486</v>
      </c>
      <c r="P246" t="str">
        <f>"81.9700%"</f>
        <v>81.9700%</v>
      </c>
      <c r="Q246" t="str">
        <f>"82.2700%"</f>
        <v>82.2700%</v>
      </c>
      <c r="R246" t="str">
        <f>"74.6100%"</f>
        <v>74.6100%</v>
      </c>
      <c r="S246" t="str">
        <f>"75.9385%"</f>
        <v>75.9385%</v>
      </c>
      <c r="T246" t="s">
        <v>1487</v>
      </c>
      <c r="U246" t="str">
        <f>"81.7590%"</f>
        <v>81.7590%</v>
      </c>
      <c r="V246" t="str">
        <f>"81.7590%"</f>
        <v>81.7590%</v>
      </c>
      <c r="X246" t="s">
        <v>1488</v>
      </c>
      <c r="Z246" t="str">
        <f>"1.588"</f>
        <v>1.588</v>
      </c>
    </row>
    <row r="247" spans="1:26" x14ac:dyDescent="0.3">
      <c r="A247" t="s">
        <v>280</v>
      </c>
      <c r="B247" t="s">
        <v>1489</v>
      </c>
      <c r="C247" t="s">
        <v>39</v>
      </c>
      <c r="D247" t="s">
        <v>29</v>
      </c>
      <c r="E247" t="s">
        <v>30</v>
      </c>
      <c r="F247" t="str">
        <f t="shared" si="12"/>
        <v>110</v>
      </c>
      <c r="G247" t="str">
        <f>"NUTM1 p.V785E"</f>
        <v>NUTM1 p.V785E</v>
      </c>
      <c r="H247" t="str">
        <f>"NM_175741"</f>
        <v>NM_175741</v>
      </c>
      <c r="J247" t="s">
        <v>1490</v>
      </c>
      <c r="K247" t="str">
        <f>"55%"</f>
        <v>55%</v>
      </c>
      <c r="L247" t="str">
        <f>"-0.15"</f>
        <v>-0.15</v>
      </c>
      <c r="N247" t="s">
        <v>41</v>
      </c>
      <c r="O247" t="s">
        <v>1491</v>
      </c>
      <c r="P247" t="str">
        <f>"2.6500%"</f>
        <v>2.6500%</v>
      </c>
      <c r="Q247" t="str">
        <f>"2.5500%"</f>
        <v>2.5500%</v>
      </c>
      <c r="R247" t="str">
        <f>"2.2200%"</f>
        <v>2.2200%</v>
      </c>
      <c r="S247" t="str">
        <f>"1.5575%"</f>
        <v>1.5575%</v>
      </c>
      <c r="T247" t="s">
        <v>1492</v>
      </c>
      <c r="U247" t="str">
        <f>"2.4850%"</f>
        <v>2.4850%</v>
      </c>
      <c r="V247" t="str">
        <f>"2.4850%"</f>
        <v>2.4850%</v>
      </c>
      <c r="X247" t="s">
        <v>1493</v>
      </c>
      <c r="Z247" t="str">
        <f>"13.87"</f>
        <v>13.87</v>
      </c>
    </row>
    <row r="248" spans="1:26" x14ac:dyDescent="0.3">
      <c r="A248" t="s">
        <v>60</v>
      </c>
      <c r="B248" t="s">
        <v>981</v>
      </c>
      <c r="C248" t="s">
        <v>646</v>
      </c>
      <c r="D248" t="s">
        <v>1494</v>
      </c>
      <c r="E248" t="s">
        <v>30</v>
      </c>
      <c r="F248" t="str">
        <f>"100"</f>
        <v>100</v>
      </c>
      <c r="G248" t="str">
        <f>"SYNE1"</f>
        <v>SYNE1</v>
      </c>
      <c r="H248" t="str">
        <f>""</f>
        <v/>
      </c>
      <c r="J248" t="s">
        <v>987</v>
      </c>
      <c r="K248" t="str">
        <f>"47%"</f>
        <v>47%</v>
      </c>
      <c r="L248" t="str">
        <f>"0.04"</f>
        <v>0.04</v>
      </c>
      <c r="N248" t="s">
        <v>1386</v>
      </c>
      <c r="O248" t="s">
        <v>1495</v>
      </c>
      <c r="P248" t="str">
        <f>""</f>
        <v/>
      </c>
      <c r="Q248" t="str">
        <f>""</f>
        <v/>
      </c>
      <c r="R248" t="str">
        <f>""</f>
        <v/>
      </c>
      <c r="S248" t="str">
        <f>""</f>
        <v/>
      </c>
      <c r="T248" t="s">
        <v>1496</v>
      </c>
      <c r="U248" t="str">
        <f>"8.2740%"</f>
        <v>8.2740%</v>
      </c>
      <c r="V248" t="str">
        <f>"8.2470%"</f>
        <v>8.2470%</v>
      </c>
      <c r="Y248" t="s">
        <v>1497</v>
      </c>
      <c r="Z248" t="str">
        <f>""</f>
        <v/>
      </c>
    </row>
    <row r="249" spans="1:26" x14ac:dyDescent="0.3">
      <c r="A249" t="s">
        <v>459</v>
      </c>
      <c r="B249" t="s">
        <v>1498</v>
      </c>
      <c r="C249" t="s">
        <v>28</v>
      </c>
      <c r="D249" t="s">
        <v>29</v>
      </c>
      <c r="E249" t="s">
        <v>30</v>
      </c>
      <c r="F249" t="str">
        <f t="shared" ref="F249:F256" si="13">"110"</f>
        <v>110</v>
      </c>
      <c r="G249" t="str">
        <f>"ESPL1 p.R2037H"</f>
        <v>ESPL1 p.R2037H</v>
      </c>
      <c r="H249" t="str">
        <f>"NM_012291"</f>
        <v>NM_012291</v>
      </c>
      <c r="J249" t="s">
        <v>1499</v>
      </c>
      <c r="K249" t="str">
        <f>"100%"</f>
        <v>100%</v>
      </c>
      <c r="L249" t="str">
        <f>"-0.08"</f>
        <v>-0.08</v>
      </c>
      <c r="N249" t="s">
        <v>41</v>
      </c>
      <c r="O249" t="s">
        <v>1500</v>
      </c>
      <c r="P249" t="str">
        <f>"98.9900%"</f>
        <v>98.9900%</v>
      </c>
      <c r="Q249" t="str">
        <f>"99.1900%"</f>
        <v>99.1900%</v>
      </c>
      <c r="R249" t="str">
        <f>"96.5000%"</f>
        <v>96.5000%</v>
      </c>
      <c r="S249" t="str">
        <f>"96.9449%"</f>
        <v>96.9449%</v>
      </c>
      <c r="T249" t="s">
        <v>1501</v>
      </c>
      <c r="U249" t="str">
        <f>"99.1530%"</f>
        <v>99.1530%</v>
      </c>
      <c r="V249" t="str">
        <f>"99.1530%"</f>
        <v>99.1530%</v>
      </c>
      <c r="X249" t="s">
        <v>1502</v>
      </c>
      <c r="Z249" t="str">
        <f>"5.213"</f>
        <v>5.213</v>
      </c>
    </row>
    <row r="250" spans="1:26" x14ac:dyDescent="0.3">
      <c r="A250" t="s">
        <v>60</v>
      </c>
      <c r="B250" t="s">
        <v>1503</v>
      </c>
      <c r="C250" t="s">
        <v>29</v>
      </c>
      <c r="D250" t="s">
        <v>28</v>
      </c>
      <c r="E250" t="s">
        <v>30</v>
      </c>
      <c r="F250" t="str">
        <f t="shared" si="13"/>
        <v>110</v>
      </c>
      <c r="G250" t="str">
        <f>"IGF2R p.R1619G"</f>
        <v>IGF2R p.R1619G</v>
      </c>
      <c r="H250" t="str">
        <f>"NM_000876"</f>
        <v>NM_000876</v>
      </c>
      <c r="J250" t="s">
        <v>998</v>
      </c>
      <c r="K250" t="str">
        <f>"100%"</f>
        <v>100%</v>
      </c>
      <c r="L250" t="str">
        <f>"-0.10"</f>
        <v>-0.10</v>
      </c>
      <c r="N250" t="s">
        <v>41</v>
      </c>
      <c r="O250" t="s">
        <v>1504</v>
      </c>
      <c r="P250" t="str">
        <f>"89.6300%"</f>
        <v>89.6300%</v>
      </c>
      <c r="Q250" t="str">
        <f>"89.8700%"</f>
        <v>89.8700%</v>
      </c>
      <c r="R250" t="str">
        <f>"91.0700%"</f>
        <v>91.0700%</v>
      </c>
      <c r="S250" t="str">
        <f>"90.3155%"</f>
        <v>90.3155%</v>
      </c>
      <c r="T250" t="s">
        <v>1505</v>
      </c>
      <c r="U250" t="str">
        <f>"88.9130%"</f>
        <v>88.9130%</v>
      </c>
      <c r="V250" t="str">
        <f>"88.8590%"</f>
        <v>88.8590%</v>
      </c>
      <c r="X250" t="s">
        <v>1506</v>
      </c>
      <c r="Z250" t="str">
        <f>"0.011"</f>
        <v>0.011</v>
      </c>
    </row>
    <row r="251" spans="1:26" x14ac:dyDescent="0.3">
      <c r="A251" t="s">
        <v>139</v>
      </c>
      <c r="B251" t="s">
        <v>1507</v>
      </c>
      <c r="C251" t="s">
        <v>38</v>
      </c>
      <c r="D251" t="s">
        <v>39</v>
      </c>
      <c r="E251" t="s">
        <v>30</v>
      </c>
      <c r="F251" t="str">
        <f t="shared" si="13"/>
        <v>110</v>
      </c>
      <c r="G251" t="str">
        <f>"TADA1 p.C335Y"</f>
        <v>TADA1 p.C335Y</v>
      </c>
      <c r="H251" t="str">
        <f>"NM_053053"</f>
        <v>NM_053053</v>
      </c>
      <c r="J251" t="s">
        <v>1508</v>
      </c>
      <c r="K251" t="str">
        <f>"47%"</f>
        <v>47%</v>
      </c>
      <c r="L251" t="str">
        <f>"0.06"</f>
        <v>0.06</v>
      </c>
      <c r="N251" t="s">
        <v>41</v>
      </c>
      <c r="O251" t="s">
        <v>1509</v>
      </c>
      <c r="P251" t="str">
        <f>"0.0200%"</f>
        <v>0.0200%</v>
      </c>
      <c r="Q251" t="str">
        <f>"0.0200%"</f>
        <v>0.0200%</v>
      </c>
      <c r="R251" t="str">
        <f>""</f>
        <v/>
      </c>
      <c r="S251" t="str">
        <f>"0.0200%"</f>
        <v>0.0200%</v>
      </c>
      <c r="T251" t="s">
        <v>1510</v>
      </c>
      <c r="U251" t="str">
        <f>"0.0270%"</f>
        <v>0.0270%</v>
      </c>
      <c r="V251" t="str">
        <f>"0.0270%"</f>
        <v>0.0270%</v>
      </c>
      <c r="Z251" t="str">
        <f>"22.9"</f>
        <v>22.9</v>
      </c>
    </row>
    <row r="252" spans="1:26" x14ac:dyDescent="0.3">
      <c r="A252" t="s">
        <v>451</v>
      </c>
      <c r="B252" t="s">
        <v>1511</v>
      </c>
      <c r="C252" t="s">
        <v>1512</v>
      </c>
      <c r="D252" t="s">
        <v>1513</v>
      </c>
      <c r="E252" t="s">
        <v>30</v>
      </c>
      <c r="F252" t="str">
        <f t="shared" si="13"/>
        <v>110</v>
      </c>
      <c r="G252" t="str">
        <f>"PREX2 c.1818_1819GC"</f>
        <v>PREX2 c.1818_1819GC</v>
      </c>
      <c r="H252" t="str">
        <f>"NM_024870"</f>
        <v>NM_024870</v>
      </c>
      <c r="J252" t="s">
        <v>1011</v>
      </c>
      <c r="K252" t="str">
        <f>"50%"</f>
        <v>50%</v>
      </c>
      <c r="L252" t="str">
        <f>"0.22"</f>
        <v>0.22</v>
      </c>
      <c r="N252" t="s">
        <v>1386</v>
      </c>
      <c r="O252" t="s">
        <v>1514</v>
      </c>
      <c r="P252" t="str">
        <f>""</f>
        <v/>
      </c>
      <c r="Q252" t="str">
        <f>""</f>
        <v/>
      </c>
      <c r="R252" t="str">
        <f>""</f>
        <v/>
      </c>
      <c r="S252" t="str">
        <f>""</f>
        <v/>
      </c>
      <c r="T252" t="s">
        <v>1515</v>
      </c>
      <c r="U252" t="str">
        <f>"52.1570%"</f>
        <v>52.1570%</v>
      </c>
      <c r="V252" t="str">
        <f>"52.1850%"</f>
        <v>52.1850%</v>
      </c>
      <c r="Z252" t="str">
        <f>""</f>
        <v/>
      </c>
    </row>
    <row r="253" spans="1:26" x14ac:dyDescent="0.3">
      <c r="A253" t="s">
        <v>68</v>
      </c>
      <c r="B253" t="s">
        <v>1516</v>
      </c>
      <c r="C253" t="s">
        <v>38</v>
      </c>
      <c r="D253" t="s">
        <v>28</v>
      </c>
      <c r="E253" t="s">
        <v>30</v>
      </c>
      <c r="F253" t="str">
        <f t="shared" si="13"/>
        <v>110</v>
      </c>
      <c r="G253" t="str">
        <f>"FAT1 p.K4059N"</f>
        <v>FAT1 p.K4059N</v>
      </c>
      <c r="H253" t="str">
        <f>"NM_005245"</f>
        <v>NM_005245</v>
      </c>
      <c r="J253" t="s">
        <v>1517</v>
      </c>
      <c r="K253" t="str">
        <f>"100%"</f>
        <v>100%</v>
      </c>
      <c r="L253" t="str">
        <f>"-0.04"</f>
        <v>-0.04</v>
      </c>
      <c r="N253" t="s">
        <v>41</v>
      </c>
      <c r="O253" t="s">
        <v>1518</v>
      </c>
      <c r="P253" t="str">
        <f>"99.5300%"</f>
        <v>99.5300%</v>
      </c>
      <c r="Q253" t="str">
        <f>"99.5300%"</f>
        <v>99.5300%</v>
      </c>
      <c r="R253" t="str">
        <f>"99.5200%"</f>
        <v>99.5200%</v>
      </c>
      <c r="S253" t="str">
        <f>"99.7404%"</f>
        <v>99.7404%</v>
      </c>
      <c r="T253" t="s">
        <v>1519</v>
      </c>
      <c r="U253" t="str">
        <f>"99.5360%"</f>
        <v>99.5360%</v>
      </c>
      <c r="V253" t="str">
        <f>"99.5360%"</f>
        <v>99.5360%</v>
      </c>
      <c r="X253" t="s">
        <v>1520</v>
      </c>
      <c r="Z253" t="str">
        <f>"0.016"</f>
        <v>0.016</v>
      </c>
    </row>
    <row r="254" spans="1:26" x14ac:dyDescent="0.3">
      <c r="A254" t="s">
        <v>139</v>
      </c>
      <c r="B254" t="s">
        <v>1521</v>
      </c>
      <c r="C254" t="s">
        <v>39</v>
      </c>
      <c r="D254" t="s">
        <v>38</v>
      </c>
      <c r="E254" t="s">
        <v>30</v>
      </c>
      <c r="F254" t="str">
        <f t="shared" si="13"/>
        <v>110</v>
      </c>
      <c r="G254" t="str">
        <f>"ID3 p.T105A"</f>
        <v>ID3 p.T105A</v>
      </c>
      <c r="H254" t="str">
        <f>"NM_002167"</f>
        <v>NM_002167</v>
      </c>
      <c r="J254" t="s">
        <v>1522</v>
      </c>
      <c r="K254" t="str">
        <f>"100%"</f>
        <v>100%</v>
      </c>
      <c r="L254" t="str">
        <f>"0.05"</f>
        <v>0.05</v>
      </c>
      <c r="N254" t="s">
        <v>41</v>
      </c>
      <c r="O254" t="s">
        <v>1523</v>
      </c>
      <c r="P254" t="str">
        <f>"80.3700%"</f>
        <v>80.3700%</v>
      </c>
      <c r="Q254" t="str">
        <f>"79.5800%"</f>
        <v>79.5800%</v>
      </c>
      <c r="R254" t="str">
        <f>"82.1900%"</f>
        <v>82.1900%</v>
      </c>
      <c r="S254" t="str">
        <f>"89.0375%"</f>
        <v>89.0375%</v>
      </c>
      <c r="T254" t="s">
        <v>1524</v>
      </c>
      <c r="U254" t="str">
        <f>"78.9460%"</f>
        <v>78.9460%</v>
      </c>
      <c r="V254" t="str">
        <f>"79.0010%"</f>
        <v>79.0010%</v>
      </c>
      <c r="X254" t="s">
        <v>1525</v>
      </c>
      <c r="Z254" t="str">
        <f>"0.012"</f>
        <v>0.012</v>
      </c>
    </row>
    <row r="255" spans="1:26" x14ac:dyDescent="0.3">
      <c r="A255" t="s">
        <v>60</v>
      </c>
      <c r="B255" t="s">
        <v>1526</v>
      </c>
      <c r="C255" t="s">
        <v>28</v>
      </c>
      <c r="D255" t="s">
        <v>29</v>
      </c>
      <c r="E255" t="s">
        <v>30</v>
      </c>
      <c r="F255" t="str">
        <f t="shared" si="13"/>
        <v>110</v>
      </c>
      <c r="G255" t="str">
        <f>"RSPH9 p.V261I"</f>
        <v>RSPH9 p.V261I</v>
      </c>
      <c r="H255" t="str">
        <f>"NM_152732"</f>
        <v>NM_152732</v>
      </c>
      <c r="J255" t="s">
        <v>1527</v>
      </c>
      <c r="K255" t="str">
        <f>"46%"</f>
        <v>46%</v>
      </c>
      <c r="L255" t="str">
        <f>"-0.03"</f>
        <v>-0.03</v>
      </c>
      <c r="N255" t="s">
        <v>41</v>
      </c>
      <c r="O255" t="s">
        <v>1528</v>
      </c>
      <c r="P255" t="str">
        <f>"7.9700%"</f>
        <v>7.9700%</v>
      </c>
      <c r="Q255" t="str">
        <f>"7.6500%"</f>
        <v>7.6500%</v>
      </c>
      <c r="R255" t="str">
        <f>"6.3200%"</f>
        <v>6.3200%</v>
      </c>
      <c r="S255" t="str">
        <f>"13.0192%"</f>
        <v>13.0192%</v>
      </c>
      <c r="T255" t="s">
        <v>1529</v>
      </c>
      <c r="U255" t="str">
        <f>"7.0450%"</f>
        <v>7.0450%</v>
      </c>
      <c r="V255" t="str">
        <f>"7.0450%"</f>
        <v>7.0450%</v>
      </c>
      <c r="Y255" t="s">
        <v>1530</v>
      </c>
      <c r="Z255" t="str">
        <f>"5.962"</f>
        <v>5.962</v>
      </c>
    </row>
    <row r="256" spans="1:26" x14ac:dyDescent="0.3">
      <c r="A256" t="s">
        <v>83</v>
      </c>
      <c r="B256" t="s">
        <v>1531</v>
      </c>
      <c r="C256" t="s">
        <v>38</v>
      </c>
      <c r="D256" t="s">
        <v>39</v>
      </c>
      <c r="E256" t="s">
        <v>30</v>
      </c>
      <c r="F256" t="str">
        <f t="shared" si="13"/>
        <v>110</v>
      </c>
      <c r="G256" t="str">
        <f>"FGFR4 p.P136L"</f>
        <v>FGFR4 p.P136L</v>
      </c>
      <c r="H256" t="str">
        <f>"NM_022963"</f>
        <v>NM_022963</v>
      </c>
      <c r="J256" t="s">
        <v>1532</v>
      </c>
      <c r="K256" t="str">
        <f>"43%"</f>
        <v>43%</v>
      </c>
      <c r="L256" t="str">
        <f>"-0.06"</f>
        <v>-0.06</v>
      </c>
      <c r="N256" t="s">
        <v>41</v>
      </c>
      <c r="O256" t="s">
        <v>1533</v>
      </c>
      <c r="P256" t="str">
        <f>"79.5000%"</f>
        <v>79.5000%</v>
      </c>
      <c r="Q256" t="str">
        <f>"80.0800%"</f>
        <v>80.0800%</v>
      </c>
      <c r="R256" t="str">
        <f>"72.1100%"</f>
        <v>72.1100%</v>
      </c>
      <c r="S256" t="str">
        <f>"80.7308%"</f>
        <v>80.7308%</v>
      </c>
      <c r="T256" t="s">
        <v>1534</v>
      </c>
      <c r="U256" t="str">
        <f>"78.5910%"</f>
        <v>78.5910%</v>
      </c>
      <c r="V256" t="str">
        <f>"78.5090%"</f>
        <v>78.5090%</v>
      </c>
      <c r="X256" t="s">
        <v>1535</v>
      </c>
      <c r="Z256" t="str">
        <f>"2.403"</f>
        <v>2.403</v>
      </c>
    </row>
    <row r="257" spans="1:26" x14ac:dyDescent="0.3">
      <c r="A257" t="s">
        <v>437</v>
      </c>
      <c r="B257" t="s">
        <v>1536</v>
      </c>
      <c r="C257" t="s">
        <v>1537</v>
      </c>
      <c r="D257" t="s">
        <v>28</v>
      </c>
      <c r="E257" t="s">
        <v>30</v>
      </c>
      <c r="F257" t="str">
        <f>"111"</f>
        <v>111</v>
      </c>
      <c r="G257" t="str">
        <f>"EWSR1 p.636_639del"</f>
        <v>EWSR1 p.636_639del</v>
      </c>
      <c r="H257" t="str">
        <f>"NM_005243"</f>
        <v>NM_005243</v>
      </c>
      <c r="J257" t="s">
        <v>1538</v>
      </c>
      <c r="K257" t="str">
        <f>"45%"</f>
        <v>45%</v>
      </c>
      <c r="L257" t="str">
        <f>"0.07"</f>
        <v>0.07</v>
      </c>
      <c r="N257" t="s">
        <v>222</v>
      </c>
      <c r="O257" t="s">
        <v>1539</v>
      </c>
      <c r="P257" t="str">
        <f>""</f>
        <v/>
      </c>
      <c r="Q257" t="str">
        <f>""</f>
        <v/>
      </c>
      <c r="R257" t="str">
        <f>""</f>
        <v/>
      </c>
      <c r="S257" t="str">
        <f>""</f>
        <v/>
      </c>
      <c r="U257" t="str">
        <f>""</f>
        <v/>
      </c>
      <c r="V257" t="str">
        <f>""</f>
        <v/>
      </c>
      <c r="Z257" t="str">
        <f>""</f>
        <v/>
      </c>
    </row>
    <row r="258" spans="1:26" x14ac:dyDescent="0.3">
      <c r="A258" t="s">
        <v>60</v>
      </c>
      <c r="B258" t="s">
        <v>1540</v>
      </c>
      <c r="C258" t="s">
        <v>28</v>
      </c>
      <c r="D258" t="s">
        <v>38</v>
      </c>
      <c r="E258" t="s">
        <v>30</v>
      </c>
      <c r="F258" t="str">
        <f>"110"</f>
        <v>110</v>
      </c>
      <c r="G258" t="str">
        <f>"ROS1 p.L567V"</f>
        <v>ROS1 p.L567V</v>
      </c>
      <c r="H258" t="str">
        <f>"NM_002944"</f>
        <v>NM_002944</v>
      </c>
      <c r="J258" t="s">
        <v>439</v>
      </c>
      <c r="K258" t="str">
        <f>"53%"</f>
        <v>53%</v>
      </c>
      <c r="L258" t="str">
        <f>"0.04"</f>
        <v>0.04</v>
      </c>
      <c r="N258" t="s">
        <v>41</v>
      </c>
      <c r="O258" t="s">
        <v>1541</v>
      </c>
      <c r="P258" t="str">
        <f>"0.5400%"</f>
        <v>0.5400%</v>
      </c>
      <c r="Q258" t="str">
        <f>"0.4800%"</f>
        <v>0.4800%</v>
      </c>
      <c r="R258" t="str">
        <f>"0.0077%"</f>
        <v>0.0077%</v>
      </c>
      <c r="S258" t="str">
        <f>"1.1582%"</f>
        <v>1.1582%</v>
      </c>
      <c r="T258" t="s">
        <v>1542</v>
      </c>
      <c r="U258" t="str">
        <f>"0.1090%"</f>
        <v>0.1090%</v>
      </c>
      <c r="V258" t="str">
        <f>"0.1090%"</f>
        <v>0.1090%</v>
      </c>
      <c r="X258" t="s">
        <v>1543</v>
      </c>
      <c r="Z258" t="str">
        <f>"5.900"</f>
        <v>5.900</v>
      </c>
    </row>
    <row r="259" spans="1:26" x14ac:dyDescent="0.3">
      <c r="A259" t="s">
        <v>75</v>
      </c>
      <c r="B259" t="s">
        <v>1544</v>
      </c>
      <c r="C259" t="s">
        <v>29</v>
      </c>
      <c r="D259" t="s">
        <v>39</v>
      </c>
      <c r="E259" t="s">
        <v>30</v>
      </c>
      <c r="F259" t="str">
        <f>"110"</f>
        <v>110</v>
      </c>
      <c r="G259" t="str">
        <f>"CLDN18 p.M149L"</f>
        <v>CLDN18 p.M149L</v>
      </c>
      <c r="H259" t="str">
        <f>"NM_016369"</f>
        <v>NM_016369</v>
      </c>
      <c r="J259" t="s">
        <v>1545</v>
      </c>
      <c r="K259" t="str">
        <f>"55%"</f>
        <v>55%</v>
      </c>
      <c r="L259" t="str">
        <f>"-0.17"</f>
        <v>-0.17</v>
      </c>
      <c r="N259" t="s">
        <v>41</v>
      </c>
      <c r="O259" t="s">
        <v>1546</v>
      </c>
      <c r="P259" t="str">
        <f>"11.4800%"</f>
        <v>11.4800%</v>
      </c>
      <c r="Q259" t="str">
        <f>"11.4300%"</f>
        <v>11.4300%</v>
      </c>
      <c r="R259" t="str">
        <f>"10.7500%"</f>
        <v>10.7500%</v>
      </c>
      <c r="S259" t="str">
        <f>"8.6861%"</f>
        <v>8.6861%</v>
      </c>
      <c r="T259" t="s">
        <v>1547</v>
      </c>
      <c r="U259" t="str">
        <f>"9.5850%"</f>
        <v>9.5850%</v>
      </c>
      <c r="V259" t="str">
        <f>"9.5850%"</f>
        <v>9.5850%</v>
      </c>
      <c r="X259" t="s">
        <v>1548</v>
      </c>
      <c r="Z259" t="str">
        <f>"14.65"</f>
        <v>14.65</v>
      </c>
    </row>
    <row r="260" spans="1:26" x14ac:dyDescent="0.3">
      <c r="A260" t="s">
        <v>437</v>
      </c>
      <c r="B260" t="s">
        <v>438</v>
      </c>
      <c r="C260" t="s">
        <v>1549</v>
      </c>
      <c r="D260" t="s">
        <v>1550</v>
      </c>
      <c r="E260" t="s">
        <v>30</v>
      </c>
      <c r="F260" t="str">
        <f>"100"</f>
        <v>100</v>
      </c>
      <c r="G260" t="str">
        <f>"MYH9 c.4872_4876TCACG"</f>
        <v>MYH9 c.4872_4876TCACG</v>
      </c>
      <c r="H260" t="str">
        <f>"NM_002473"</f>
        <v>NM_002473</v>
      </c>
      <c r="J260" t="s">
        <v>1042</v>
      </c>
      <c r="K260" t="str">
        <f>"100%"</f>
        <v>100%</v>
      </c>
      <c r="L260" t="str">
        <f>"0.07"</f>
        <v>0.07</v>
      </c>
      <c r="N260" t="s">
        <v>1386</v>
      </c>
      <c r="O260" t="s">
        <v>1551</v>
      </c>
      <c r="P260" t="str">
        <f>""</f>
        <v/>
      </c>
      <c r="Q260" t="str">
        <f>""</f>
        <v/>
      </c>
      <c r="R260" t="str">
        <f>""</f>
        <v/>
      </c>
      <c r="S260" t="str">
        <f>""</f>
        <v/>
      </c>
      <c r="U260" t="str">
        <f>"27.7720%"</f>
        <v>27.7720%</v>
      </c>
      <c r="V260" t="str">
        <f>"27.7440%"</f>
        <v>27.7440%</v>
      </c>
      <c r="Z260" t="str">
        <f>""</f>
        <v/>
      </c>
    </row>
    <row r="261" spans="1:26" x14ac:dyDescent="0.3">
      <c r="A261" t="s">
        <v>139</v>
      </c>
      <c r="B261" t="s">
        <v>1552</v>
      </c>
      <c r="C261" t="s">
        <v>1513</v>
      </c>
      <c r="D261" t="s">
        <v>28</v>
      </c>
      <c r="E261" t="s">
        <v>526</v>
      </c>
      <c r="F261" t="str">
        <f t="shared" ref="F261:F269" si="14">"110"</f>
        <v>110</v>
      </c>
      <c r="G261" t="str">
        <f>"DIEXF"</f>
        <v>DIEXF</v>
      </c>
      <c r="H261" t="str">
        <f>""</f>
        <v/>
      </c>
      <c r="J261" t="s">
        <v>1553</v>
      </c>
      <c r="K261" t="str">
        <f>"52%"</f>
        <v>52%</v>
      </c>
      <c r="L261" t="str">
        <f>"0.06"</f>
        <v>0.06</v>
      </c>
      <c r="M261" t="s">
        <v>1554</v>
      </c>
      <c r="P261" t="str">
        <f>""</f>
        <v/>
      </c>
      <c r="Q261" t="str">
        <f>""</f>
        <v/>
      </c>
      <c r="R261" t="str">
        <f>""</f>
        <v/>
      </c>
      <c r="S261" t="str">
        <f>"46.6054%"</f>
        <v>46.6054%</v>
      </c>
      <c r="T261" t="s">
        <v>1555</v>
      </c>
      <c r="U261" t="str">
        <f>"46.7230%"</f>
        <v>46.7230%</v>
      </c>
      <c r="V261" t="str">
        <f>"46.7780%"</f>
        <v>46.7780%</v>
      </c>
      <c r="Z261" t="str">
        <f>""</f>
        <v/>
      </c>
    </row>
    <row r="262" spans="1:26" x14ac:dyDescent="0.3">
      <c r="A262" t="s">
        <v>52</v>
      </c>
      <c r="B262" t="s">
        <v>1556</v>
      </c>
      <c r="C262" t="s">
        <v>39</v>
      </c>
      <c r="D262" t="s">
        <v>38</v>
      </c>
      <c r="E262" t="s">
        <v>30</v>
      </c>
      <c r="F262" t="str">
        <f t="shared" si="14"/>
        <v>110</v>
      </c>
      <c r="G262" t="str">
        <f>"FANCA p.T266A"</f>
        <v>FANCA p.T266A</v>
      </c>
      <c r="H262" t="str">
        <f>"NM_000135"</f>
        <v>NM_000135</v>
      </c>
      <c r="J262" t="s">
        <v>1557</v>
      </c>
      <c r="K262" t="str">
        <f>"100%"</f>
        <v>100%</v>
      </c>
      <c r="L262" t="str">
        <f>"0.10"</f>
        <v>0.10</v>
      </c>
      <c r="N262" t="s">
        <v>41</v>
      </c>
      <c r="O262" t="s">
        <v>1558</v>
      </c>
      <c r="P262" t="str">
        <f>"51.6600%"</f>
        <v>51.6600%</v>
      </c>
      <c r="Q262" t="str">
        <f>"51.9200%"</f>
        <v>51.9200%</v>
      </c>
      <c r="R262" t="str">
        <f>"50.6000%"</f>
        <v>50.6000%</v>
      </c>
      <c r="S262" t="str">
        <f>"69.0495%"</f>
        <v>69.0495%</v>
      </c>
      <c r="T262" t="s">
        <v>1559</v>
      </c>
      <c r="U262" t="str">
        <f>"52.2120%"</f>
        <v>52.2120%</v>
      </c>
      <c r="V262" t="str">
        <f>"52.2940%"</f>
        <v>52.2940%</v>
      </c>
      <c r="X262" t="s">
        <v>1560</v>
      </c>
      <c r="Y262" t="s">
        <v>1561</v>
      </c>
      <c r="Z262" t="str">
        <f>"0.399"</f>
        <v>0.399</v>
      </c>
    </row>
    <row r="263" spans="1:26" x14ac:dyDescent="0.3">
      <c r="A263" t="s">
        <v>338</v>
      </c>
      <c r="B263" t="s">
        <v>1562</v>
      </c>
      <c r="C263" t="s">
        <v>39</v>
      </c>
      <c r="D263" t="s">
        <v>38</v>
      </c>
      <c r="E263" t="s">
        <v>30</v>
      </c>
      <c r="F263" t="str">
        <f t="shared" si="14"/>
        <v>110</v>
      </c>
      <c r="G263" t="str">
        <f>"PIK3R2 p.S313P"</f>
        <v>PIK3R2 p.S313P</v>
      </c>
      <c r="H263" t="str">
        <f>"NM_005027"</f>
        <v>NM_005027</v>
      </c>
      <c r="J263" t="s">
        <v>1059</v>
      </c>
      <c r="K263" t="str">
        <f>"100%"</f>
        <v>100%</v>
      </c>
      <c r="L263" t="str">
        <f>"0.15"</f>
        <v>0.15</v>
      </c>
      <c r="N263" t="s">
        <v>41</v>
      </c>
      <c r="O263" t="s">
        <v>1563</v>
      </c>
      <c r="P263" t="str">
        <f>"95.0100%"</f>
        <v>95.0100%</v>
      </c>
      <c r="Q263" t="str">
        <f>"95.2000%"</f>
        <v>95.2000%</v>
      </c>
      <c r="R263" t="str">
        <f>"95.5200%"</f>
        <v>95.5200%</v>
      </c>
      <c r="S263" t="str">
        <f>"95.3474%"</f>
        <v>95.3474%</v>
      </c>
      <c r="T263" t="s">
        <v>1564</v>
      </c>
      <c r="U263" t="str">
        <f>"95.4120%"</f>
        <v>95.4120%</v>
      </c>
      <c r="V263" t="str">
        <f>"95.3850%"</f>
        <v>95.3850%</v>
      </c>
      <c r="X263" t="s">
        <v>1565</v>
      </c>
      <c r="Z263" t="str">
        <f>"0.006"</f>
        <v>0.006</v>
      </c>
    </row>
    <row r="264" spans="1:26" x14ac:dyDescent="0.3">
      <c r="A264" t="s">
        <v>26</v>
      </c>
      <c r="B264" t="s">
        <v>1566</v>
      </c>
      <c r="C264" t="s">
        <v>28</v>
      </c>
      <c r="D264" t="s">
        <v>29</v>
      </c>
      <c r="E264" t="s">
        <v>30</v>
      </c>
      <c r="F264" t="str">
        <f t="shared" si="14"/>
        <v>110</v>
      </c>
      <c r="G264" t="str">
        <f>"PRKCA p.V568I"</f>
        <v>PRKCA p.V568I</v>
      </c>
      <c r="H264" t="str">
        <f>"NM_002737"</f>
        <v>NM_002737</v>
      </c>
      <c r="J264" t="s">
        <v>493</v>
      </c>
      <c r="K264" t="str">
        <f>"100%"</f>
        <v>100%</v>
      </c>
      <c r="L264" t="str">
        <f>"-0.06"</f>
        <v>-0.06</v>
      </c>
      <c r="N264" t="s">
        <v>41</v>
      </c>
      <c r="O264" t="s">
        <v>1567</v>
      </c>
      <c r="P264" t="str">
        <f>"97.9900%"</f>
        <v>97.9900%</v>
      </c>
      <c r="Q264" t="str">
        <f>"98.0000%"</f>
        <v>98.0000%</v>
      </c>
      <c r="R264" t="str">
        <f>"98.0200%"</f>
        <v>98.0200%</v>
      </c>
      <c r="S264" t="str">
        <f>"99.2013%"</f>
        <v>99.2013%</v>
      </c>
      <c r="T264" t="s">
        <v>1568</v>
      </c>
      <c r="U264" t="str">
        <f>"97.7610%"</f>
        <v>97.7610%</v>
      </c>
      <c r="V264" t="str">
        <f>"97.7610%"</f>
        <v>97.7610%</v>
      </c>
      <c r="X264" t="s">
        <v>1569</v>
      </c>
      <c r="Z264" t="str">
        <f>"9.749"</f>
        <v>9.749</v>
      </c>
    </row>
    <row r="265" spans="1:26" x14ac:dyDescent="0.3">
      <c r="A265" t="s">
        <v>451</v>
      </c>
      <c r="B265" t="s">
        <v>1570</v>
      </c>
      <c r="C265" t="s">
        <v>38</v>
      </c>
      <c r="D265" t="s">
        <v>39</v>
      </c>
      <c r="E265" t="s">
        <v>30</v>
      </c>
      <c r="F265" t="str">
        <f t="shared" si="14"/>
        <v>110</v>
      </c>
      <c r="G265" t="str">
        <f>"PRKDC exonic UNKNOWN"</f>
        <v>PRKDC exonic UNKNOWN</v>
      </c>
      <c r="H265" t="str">
        <f>""</f>
        <v/>
      </c>
      <c r="J265" t="s">
        <v>1079</v>
      </c>
      <c r="K265" t="str">
        <f>"51%"</f>
        <v>51%</v>
      </c>
      <c r="L265" t="str">
        <f>"0.04"</f>
        <v>0.04</v>
      </c>
      <c r="N265" t="s">
        <v>455</v>
      </c>
      <c r="O265" t="s">
        <v>456</v>
      </c>
      <c r="P265" t="str">
        <f>""</f>
        <v/>
      </c>
      <c r="Q265" t="str">
        <f>""</f>
        <v/>
      </c>
      <c r="R265" t="str">
        <f>""</f>
        <v/>
      </c>
      <c r="S265" t="str">
        <f>""</f>
        <v/>
      </c>
      <c r="U265" t="str">
        <f>""</f>
        <v/>
      </c>
      <c r="V265" t="str">
        <f>""</f>
        <v/>
      </c>
      <c r="Z265" t="str">
        <f>"8.521"</f>
        <v>8.521</v>
      </c>
    </row>
    <row r="266" spans="1:26" x14ac:dyDescent="0.3">
      <c r="A266" t="s">
        <v>139</v>
      </c>
      <c r="B266" t="s">
        <v>1571</v>
      </c>
      <c r="C266" t="s">
        <v>39</v>
      </c>
      <c r="D266" t="s">
        <v>38</v>
      </c>
      <c r="E266" t="s">
        <v>1041</v>
      </c>
      <c r="F266" t="str">
        <f t="shared" si="14"/>
        <v>110</v>
      </c>
      <c r="G266" t="str">
        <f>"CYMP"</f>
        <v>CYMP</v>
      </c>
      <c r="H266" t="str">
        <f>""</f>
        <v/>
      </c>
      <c r="J266" t="s">
        <v>1572</v>
      </c>
      <c r="K266" t="str">
        <f>"48%"</f>
        <v>48%</v>
      </c>
      <c r="L266" t="str">
        <f>"0.05"</f>
        <v>0.05</v>
      </c>
      <c r="M266" t="s">
        <v>1573</v>
      </c>
      <c r="P266" t="str">
        <f>""</f>
        <v/>
      </c>
      <c r="Q266" t="str">
        <f>""</f>
        <v/>
      </c>
      <c r="R266" t="str">
        <f>""</f>
        <v/>
      </c>
      <c r="S266" t="str">
        <f>"41.2740%"</f>
        <v>41.2740%</v>
      </c>
      <c r="T266" t="s">
        <v>1574</v>
      </c>
      <c r="U266" t="str">
        <f>"43.0090%"</f>
        <v>43.0090%</v>
      </c>
      <c r="V266" t="str">
        <f>"43.0090%"</f>
        <v>43.0090%</v>
      </c>
      <c r="Z266" t="str">
        <f>""</f>
        <v/>
      </c>
    </row>
    <row r="267" spans="1:26" x14ac:dyDescent="0.3">
      <c r="A267" t="s">
        <v>459</v>
      </c>
      <c r="B267" t="s">
        <v>1575</v>
      </c>
      <c r="C267" t="s">
        <v>29</v>
      </c>
      <c r="D267" t="s">
        <v>39</v>
      </c>
      <c r="E267" t="s">
        <v>30</v>
      </c>
      <c r="F267" t="str">
        <f t="shared" si="14"/>
        <v>110</v>
      </c>
      <c r="G267" t="str">
        <f>"ESPL1 p.K1435M"</f>
        <v>ESPL1 p.K1435M</v>
      </c>
      <c r="H267" t="str">
        <f>"NM_012291"</f>
        <v>NM_012291</v>
      </c>
      <c r="J267" t="s">
        <v>1576</v>
      </c>
      <c r="K267" t="str">
        <f>"100%"</f>
        <v>100%</v>
      </c>
      <c r="L267" t="str">
        <f>"-0.08"</f>
        <v>-0.08</v>
      </c>
      <c r="N267" t="s">
        <v>41</v>
      </c>
      <c r="O267" t="s">
        <v>1577</v>
      </c>
      <c r="P267" t="str">
        <f>"96.3300%"</f>
        <v>96.3300%</v>
      </c>
      <c r="Q267" t="str">
        <f>"97.0600%"</f>
        <v>97.0600%</v>
      </c>
      <c r="R267" t="str">
        <f>"86.6500%"</f>
        <v>86.6500%</v>
      </c>
      <c r="S267" t="str">
        <f>"87.7995%"</f>
        <v>87.7995%</v>
      </c>
      <c r="T267" t="s">
        <v>1578</v>
      </c>
      <c r="U267" t="str">
        <f>"97.3780%"</f>
        <v>97.3780%</v>
      </c>
      <c r="V267" t="str">
        <f>"97.3510%"</f>
        <v>97.3510%</v>
      </c>
      <c r="X267" t="s">
        <v>1579</v>
      </c>
      <c r="Z267" t="str">
        <f>"15.70"</f>
        <v>15.70</v>
      </c>
    </row>
    <row r="268" spans="1:26" x14ac:dyDescent="0.3">
      <c r="A268" t="s">
        <v>83</v>
      </c>
      <c r="B268" t="s">
        <v>1580</v>
      </c>
      <c r="C268" t="s">
        <v>707</v>
      </c>
      <c r="D268" t="s">
        <v>1581</v>
      </c>
      <c r="E268" t="s">
        <v>30</v>
      </c>
      <c r="F268" t="str">
        <f t="shared" si="14"/>
        <v>110</v>
      </c>
      <c r="G268" t="str">
        <f>"LARS c.2673_2674GG"</f>
        <v>LARS c.2673_2674GG</v>
      </c>
      <c r="H268" t="str">
        <f>"NM_020117"</f>
        <v>NM_020117</v>
      </c>
      <c r="J268" t="s">
        <v>1085</v>
      </c>
      <c r="K268" t="str">
        <f>"41%"</f>
        <v>41%</v>
      </c>
      <c r="L268" t="str">
        <f>"-0.06"</f>
        <v>-0.06</v>
      </c>
      <c r="N268" t="s">
        <v>1386</v>
      </c>
      <c r="O268" t="s">
        <v>1582</v>
      </c>
      <c r="P268" t="str">
        <f>""</f>
        <v/>
      </c>
      <c r="Q268" t="str">
        <f>""</f>
        <v/>
      </c>
      <c r="R268" t="str">
        <f>""</f>
        <v/>
      </c>
      <c r="S268" t="str">
        <f>""</f>
        <v/>
      </c>
      <c r="U268" t="str">
        <f>"27.6620%"</f>
        <v>27.6620%</v>
      </c>
      <c r="V268" t="str">
        <f>"27.6620%"</f>
        <v>27.6620%</v>
      </c>
      <c r="Z268" t="str">
        <f>""</f>
        <v/>
      </c>
    </row>
    <row r="269" spans="1:26" x14ac:dyDescent="0.3">
      <c r="A269" t="s">
        <v>139</v>
      </c>
      <c r="B269" t="s">
        <v>1583</v>
      </c>
      <c r="C269" t="s">
        <v>38</v>
      </c>
      <c r="D269" t="s">
        <v>29</v>
      </c>
      <c r="E269" t="s">
        <v>1041</v>
      </c>
      <c r="F269" t="str">
        <f t="shared" si="14"/>
        <v>110</v>
      </c>
      <c r="G269" t="str">
        <f>"CD84"</f>
        <v>CD84</v>
      </c>
      <c r="H269" t="str">
        <f>""</f>
        <v/>
      </c>
      <c r="J269" t="s">
        <v>1584</v>
      </c>
      <c r="K269" t="str">
        <f>"45%"</f>
        <v>45%</v>
      </c>
      <c r="L269" t="str">
        <f>"0.06"</f>
        <v>0.06</v>
      </c>
      <c r="M269" t="s">
        <v>1585</v>
      </c>
      <c r="P269" t="str">
        <f>""</f>
        <v/>
      </c>
      <c r="Q269" t="str">
        <f>""</f>
        <v/>
      </c>
      <c r="R269" t="str">
        <f>""</f>
        <v/>
      </c>
      <c r="S269" t="str">
        <f>"43.8498%"</f>
        <v>43.8498%</v>
      </c>
      <c r="T269" t="s">
        <v>1586</v>
      </c>
      <c r="U269" t="str">
        <f>"55.5160%"</f>
        <v>55.5160%</v>
      </c>
      <c r="V269" t="str">
        <f>"55.5160%"</f>
        <v>55.5160%</v>
      </c>
      <c r="Z269" t="str">
        <f>""</f>
        <v/>
      </c>
    </row>
    <row r="270" spans="1:26" x14ac:dyDescent="0.3">
      <c r="A270" t="s">
        <v>241</v>
      </c>
      <c r="B270" t="s">
        <v>1587</v>
      </c>
      <c r="C270" t="s">
        <v>1588</v>
      </c>
      <c r="D270" t="s">
        <v>1589</v>
      </c>
      <c r="E270" t="s">
        <v>30</v>
      </c>
      <c r="F270" t="str">
        <f>"010"</f>
        <v>010</v>
      </c>
      <c r="G270" t="str">
        <f>"UGT1A7 c.391_392AA"</f>
        <v>UGT1A7 c.391_392AA</v>
      </c>
      <c r="H270" t="str">
        <f>"NM_019077"</f>
        <v>NM_019077</v>
      </c>
      <c r="J270" t="s">
        <v>1590</v>
      </c>
      <c r="K270" t="str">
        <f>"46%"</f>
        <v>46%</v>
      </c>
      <c r="L270" t="str">
        <f>"0.00"</f>
        <v>0.00</v>
      </c>
      <c r="N270" t="s">
        <v>1386</v>
      </c>
      <c r="O270" t="s">
        <v>1591</v>
      </c>
      <c r="P270" t="str">
        <f>""</f>
        <v/>
      </c>
      <c r="Q270" t="str">
        <f>""</f>
        <v/>
      </c>
      <c r="R270" t="str">
        <f>""</f>
        <v/>
      </c>
      <c r="S270" t="str">
        <f>""</f>
        <v/>
      </c>
      <c r="T270" t="s">
        <v>1592</v>
      </c>
      <c r="U270" t="str">
        <f>"56.0900%"</f>
        <v>56.0900%</v>
      </c>
      <c r="V270" t="str">
        <f>"56.1170%"</f>
        <v>56.1170%</v>
      </c>
      <c r="Z270" t="str">
        <f>""</f>
        <v/>
      </c>
    </row>
    <row r="271" spans="1:26" x14ac:dyDescent="0.3">
      <c r="A271" t="s">
        <v>60</v>
      </c>
      <c r="B271" t="s">
        <v>1593</v>
      </c>
      <c r="C271" t="s">
        <v>28</v>
      </c>
      <c r="D271" t="s">
        <v>29</v>
      </c>
      <c r="E271" t="s">
        <v>526</v>
      </c>
      <c r="F271" t="str">
        <f>"110"</f>
        <v>110</v>
      </c>
      <c r="G271" t="str">
        <f>"C6orf132"</f>
        <v>C6orf132</v>
      </c>
      <c r="H271" t="str">
        <f>""</f>
        <v/>
      </c>
      <c r="J271" t="s">
        <v>545</v>
      </c>
      <c r="K271" t="str">
        <f>"100%"</f>
        <v>100%</v>
      </c>
      <c r="L271" t="str">
        <f>"-0.03"</f>
        <v>-0.03</v>
      </c>
      <c r="M271" t="s">
        <v>1594</v>
      </c>
      <c r="P271" t="str">
        <f>""</f>
        <v/>
      </c>
      <c r="Q271" t="str">
        <f>""</f>
        <v/>
      </c>
      <c r="R271" t="str">
        <f>""</f>
        <v/>
      </c>
      <c r="S271" t="str">
        <f>"58.3466%"</f>
        <v>58.3466%</v>
      </c>
      <c r="T271" t="s">
        <v>1595</v>
      </c>
      <c r="U271" t="str">
        <f>"57.5910%"</f>
        <v>57.5910%</v>
      </c>
      <c r="V271" t="str">
        <f>"57.5910%"</f>
        <v>57.5910%</v>
      </c>
      <c r="Z271" t="str">
        <f>""</f>
        <v/>
      </c>
    </row>
    <row r="272" spans="1:26" x14ac:dyDescent="0.3">
      <c r="A272" t="s">
        <v>241</v>
      </c>
      <c r="B272" t="s">
        <v>532</v>
      </c>
      <c r="C272" t="s">
        <v>1596</v>
      </c>
      <c r="D272" t="s">
        <v>1597</v>
      </c>
      <c r="E272" t="s">
        <v>30</v>
      </c>
      <c r="F272" t="str">
        <f>"100"</f>
        <v>100</v>
      </c>
      <c r="G272" t="str">
        <f>"UGT1A7 c.387_392GGACAA"</f>
        <v>UGT1A7 c.387_392GGACAA</v>
      </c>
      <c r="H272" t="str">
        <f>"NM_019077"</f>
        <v>NM_019077</v>
      </c>
      <c r="J272" t="s">
        <v>1598</v>
      </c>
      <c r="K272" t="str">
        <f>"47%"</f>
        <v>47%</v>
      </c>
      <c r="L272" t="str">
        <f>"0.00"</f>
        <v>0.00</v>
      </c>
      <c r="N272" t="s">
        <v>1386</v>
      </c>
      <c r="O272" t="s">
        <v>1599</v>
      </c>
      <c r="P272" t="str">
        <f>""</f>
        <v/>
      </c>
      <c r="Q272" t="str">
        <f>""</f>
        <v/>
      </c>
      <c r="R272" t="str">
        <f>""</f>
        <v/>
      </c>
      <c r="S272" t="str">
        <f>""</f>
        <v/>
      </c>
      <c r="T272" t="s">
        <v>1600</v>
      </c>
      <c r="U272" t="str">
        <f>"55.5160%"</f>
        <v>55.5160%</v>
      </c>
      <c r="V272" t="str">
        <f>"55.5980%"</f>
        <v>55.5980%</v>
      </c>
      <c r="Z272" t="str">
        <f>""</f>
        <v/>
      </c>
    </row>
    <row r="273" spans="1:26" x14ac:dyDescent="0.3">
      <c r="A273" t="s">
        <v>83</v>
      </c>
      <c r="B273" t="s">
        <v>1601</v>
      </c>
      <c r="C273" t="s">
        <v>29</v>
      </c>
      <c r="D273" t="s">
        <v>28</v>
      </c>
      <c r="E273" t="s">
        <v>526</v>
      </c>
      <c r="F273" t="str">
        <f>"110"</f>
        <v>110</v>
      </c>
      <c r="G273" t="str">
        <f>"TERT"</f>
        <v>TERT</v>
      </c>
      <c r="H273" t="str">
        <f>""</f>
        <v/>
      </c>
      <c r="J273" t="s">
        <v>1602</v>
      </c>
      <c r="K273" t="str">
        <f>"100%"</f>
        <v>100%</v>
      </c>
      <c r="L273" t="str">
        <f>"-0.13"</f>
        <v>-0.13</v>
      </c>
      <c r="M273" t="s">
        <v>1603</v>
      </c>
      <c r="P273" t="str">
        <f>""</f>
        <v/>
      </c>
      <c r="Q273" t="str">
        <f>""</f>
        <v/>
      </c>
      <c r="R273" t="str">
        <f>""</f>
        <v/>
      </c>
      <c r="S273" t="str">
        <f>"90.6749%"</f>
        <v>90.6749%</v>
      </c>
      <c r="T273" t="s">
        <v>1604</v>
      </c>
      <c r="U273" t="str">
        <f>"87.0020%"</f>
        <v>87.0020%</v>
      </c>
      <c r="V273" t="str">
        <f>"87.0020%"</f>
        <v>87.0020%</v>
      </c>
      <c r="Z273" t="str">
        <f>""</f>
        <v/>
      </c>
    </row>
    <row r="274" spans="1:26" x14ac:dyDescent="0.3">
      <c r="A274" t="s">
        <v>280</v>
      </c>
      <c r="B274" t="s">
        <v>1605</v>
      </c>
      <c r="C274" t="s">
        <v>28</v>
      </c>
      <c r="D274" t="s">
        <v>29</v>
      </c>
      <c r="E274" t="s">
        <v>526</v>
      </c>
      <c r="F274" t="str">
        <f>"110"</f>
        <v>110</v>
      </c>
      <c r="G274" t="str">
        <f>"KATNBL1"</f>
        <v>KATNBL1</v>
      </c>
      <c r="H274" t="str">
        <f>""</f>
        <v/>
      </c>
      <c r="J274" t="s">
        <v>1135</v>
      </c>
      <c r="K274" t="str">
        <f>"100%"</f>
        <v>100%</v>
      </c>
      <c r="L274" t="str">
        <f>"-0.15"</f>
        <v>-0.15</v>
      </c>
      <c r="M274" t="s">
        <v>1606</v>
      </c>
      <c r="P274" t="str">
        <f>""</f>
        <v/>
      </c>
      <c r="Q274" t="str">
        <f>""</f>
        <v/>
      </c>
      <c r="R274" t="str">
        <f>""</f>
        <v/>
      </c>
      <c r="S274" t="str">
        <f>"45.5671%"</f>
        <v>45.5671%</v>
      </c>
      <c r="T274" t="s">
        <v>1607</v>
      </c>
      <c r="U274" t="str">
        <f>"53.3860%"</f>
        <v>53.3860%</v>
      </c>
      <c r="V274" t="str">
        <f>"53.4130%"</f>
        <v>53.4130%</v>
      </c>
      <c r="Z274" t="str">
        <f>""</f>
        <v/>
      </c>
    </row>
    <row r="275" spans="1:26" x14ac:dyDescent="0.3">
      <c r="A275" t="s">
        <v>397</v>
      </c>
      <c r="B275" t="s">
        <v>1608</v>
      </c>
      <c r="C275" t="s">
        <v>29</v>
      </c>
      <c r="D275" t="s">
        <v>28</v>
      </c>
      <c r="E275" t="s">
        <v>30</v>
      </c>
      <c r="F275" t="str">
        <f>"110"</f>
        <v>110</v>
      </c>
      <c r="G275" t="str">
        <f>"CHEK1 p.I471V"</f>
        <v>CHEK1 p.I471V</v>
      </c>
      <c r="H275" t="str">
        <f>"NM_001114122"</f>
        <v>NM_001114122</v>
      </c>
      <c r="J275" t="s">
        <v>1609</v>
      </c>
      <c r="K275" t="str">
        <f>"100%"</f>
        <v>100%</v>
      </c>
      <c r="L275" t="str">
        <f>"-0.27"</f>
        <v>-0.27</v>
      </c>
      <c r="N275" t="s">
        <v>41</v>
      </c>
      <c r="O275" t="s">
        <v>1610</v>
      </c>
      <c r="P275" t="str">
        <f>"97.2600%"</f>
        <v>97.2600%</v>
      </c>
      <c r="Q275" t="str">
        <f>"97.2900%"</f>
        <v>97.2900%</v>
      </c>
      <c r="R275" t="str">
        <f>"97.3800%"</f>
        <v>97.3800%</v>
      </c>
      <c r="S275" t="str">
        <f>"98.5823%"</f>
        <v>98.5823%</v>
      </c>
      <c r="T275" t="s">
        <v>1611</v>
      </c>
      <c r="U275" t="str">
        <f>"96.9960%"</f>
        <v>96.9960%</v>
      </c>
      <c r="V275" t="str">
        <f>"96.9960%"</f>
        <v>96.9960%</v>
      </c>
      <c r="X275" t="s">
        <v>1612</v>
      </c>
      <c r="Y275" t="s">
        <v>1613</v>
      </c>
      <c r="Z275" t="str">
        <f>"2.970"</f>
        <v>2.970</v>
      </c>
    </row>
    <row r="276" spans="1:26" x14ac:dyDescent="0.3">
      <c r="A276" t="s">
        <v>52</v>
      </c>
      <c r="B276" t="s">
        <v>1614</v>
      </c>
      <c r="C276" t="s">
        <v>28</v>
      </c>
      <c r="D276" t="s">
        <v>38</v>
      </c>
      <c r="E276" t="s">
        <v>30</v>
      </c>
      <c r="F276" t="str">
        <f>"110"</f>
        <v>110</v>
      </c>
      <c r="G276" t="str">
        <f>"TSC2 p.V1673L"</f>
        <v>TSC2 p.V1673L</v>
      </c>
      <c r="H276" t="str">
        <f>"NM_000548"</f>
        <v>NM_000548</v>
      </c>
      <c r="J276" t="s">
        <v>1615</v>
      </c>
      <c r="K276" t="str">
        <f>"48%"</f>
        <v>48%</v>
      </c>
      <c r="L276" t="str">
        <f>"0.11"</f>
        <v>0.11</v>
      </c>
      <c r="N276" t="s">
        <v>41</v>
      </c>
      <c r="O276" t="s">
        <v>1616</v>
      </c>
      <c r="P276" t="str">
        <f>"0.0700%"</f>
        <v>0.0700%</v>
      </c>
      <c r="Q276" t="str">
        <f>"0.0500%"</f>
        <v>0.0500%</v>
      </c>
      <c r="R276" t="str">
        <f>""</f>
        <v/>
      </c>
      <c r="S276" t="str">
        <f>"0.0599%"</f>
        <v>0.0599%</v>
      </c>
      <c r="T276" t="s">
        <v>1617</v>
      </c>
      <c r="U276" t="str">
        <f>""</f>
        <v/>
      </c>
      <c r="V276" t="str">
        <f>""</f>
        <v/>
      </c>
      <c r="Y276" t="s">
        <v>1618</v>
      </c>
      <c r="Z276" t="str">
        <f>"16.47"</f>
        <v>16.47</v>
      </c>
    </row>
    <row r="277" spans="1:26" x14ac:dyDescent="0.3">
      <c r="A277" t="s">
        <v>139</v>
      </c>
      <c r="B277" t="s">
        <v>1619</v>
      </c>
      <c r="C277" t="s">
        <v>28</v>
      </c>
      <c r="D277" t="s">
        <v>1620</v>
      </c>
      <c r="E277" t="s">
        <v>30</v>
      </c>
      <c r="F277" t="str">
        <f>"111"</f>
        <v>111</v>
      </c>
      <c r="G277" t="str">
        <f>"RRAGC p.G49delinsGAG"</f>
        <v>RRAGC p.G49delinsGAG</v>
      </c>
      <c r="H277" t="str">
        <f>"NM_022157"</f>
        <v>NM_022157</v>
      </c>
      <c r="J277" t="s">
        <v>1621</v>
      </c>
      <c r="K277" t="str">
        <f>"41%"</f>
        <v>41%</v>
      </c>
      <c r="L277" t="str">
        <f>"0.05"</f>
        <v>0.05</v>
      </c>
      <c r="N277" t="s">
        <v>640</v>
      </c>
      <c r="O277" t="s">
        <v>1622</v>
      </c>
      <c r="P277" t="str">
        <f>"0.0600%"</f>
        <v>0.0600%</v>
      </c>
      <c r="Q277" t="str">
        <f>"0.0200%"</f>
        <v>0.0200%</v>
      </c>
      <c r="R277" t="str">
        <f>""</f>
        <v/>
      </c>
      <c r="S277" t="str">
        <f>""</f>
        <v/>
      </c>
      <c r="T277" t="s">
        <v>1623</v>
      </c>
      <c r="U277" t="str">
        <f>"0.0270%"</f>
        <v>0.0270%</v>
      </c>
      <c r="V277" t="str">
        <f>"0.0270%"</f>
        <v>0.0270%</v>
      </c>
      <c r="Z277" t="str">
        <f>""</f>
        <v/>
      </c>
    </row>
    <row r="278" spans="1:26" x14ac:dyDescent="0.3">
      <c r="A278" t="s">
        <v>173</v>
      </c>
      <c r="B278" t="s">
        <v>1624</v>
      </c>
      <c r="C278" t="s">
        <v>29</v>
      </c>
      <c r="D278" t="s">
        <v>28</v>
      </c>
      <c r="E278" t="s">
        <v>1041</v>
      </c>
      <c r="F278" t="str">
        <f t="shared" ref="F278:F285" si="15">"110"</f>
        <v>110</v>
      </c>
      <c r="G278" t="str">
        <f>"ATP7B"</f>
        <v>ATP7B</v>
      </c>
      <c r="H278" t="str">
        <f>""</f>
        <v/>
      </c>
      <c r="J278" t="s">
        <v>1625</v>
      </c>
      <c r="K278" t="str">
        <f>"45%"</f>
        <v>45%</v>
      </c>
      <c r="L278" t="str">
        <f>"-0.27"</f>
        <v>-0.27</v>
      </c>
      <c r="M278" t="s">
        <v>1626</v>
      </c>
      <c r="P278" t="str">
        <f>""</f>
        <v/>
      </c>
      <c r="Q278" t="str">
        <f>""</f>
        <v/>
      </c>
      <c r="R278" t="str">
        <f>""</f>
        <v/>
      </c>
      <c r="S278" t="str">
        <f>"97.4641%"</f>
        <v>97.4641%</v>
      </c>
      <c r="T278" t="s">
        <v>1627</v>
      </c>
      <c r="U278" t="str">
        <f>"94.2380%"</f>
        <v>94.2380%</v>
      </c>
      <c r="V278" t="str">
        <f>"94.2380%"</f>
        <v>94.2380%</v>
      </c>
      <c r="Z278" t="str">
        <f>""</f>
        <v/>
      </c>
    </row>
    <row r="279" spans="1:26" x14ac:dyDescent="0.3">
      <c r="A279" t="s">
        <v>459</v>
      </c>
      <c r="B279" t="s">
        <v>1628</v>
      </c>
      <c r="C279" t="s">
        <v>38</v>
      </c>
      <c r="D279" t="s">
        <v>39</v>
      </c>
      <c r="E279" t="s">
        <v>30</v>
      </c>
      <c r="F279" t="str">
        <f t="shared" si="15"/>
        <v>110</v>
      </c>
      <c r="G279" t="str">
        <f>"POLE p.G1343S"</f>
        <v>POLE p.G1343S</v>
      </c>
      <c r="H279" t="str">
        <f>"NM_006231"</f>
        <v>NM_006231</v>
      </c>
      <c r="J279" t="s">
        <v>1173</v>
      </c>
      <c r="K279" t="str">
        <f>"57%"</f>
        <v>57%</v>
      </c>
      <c r="L279" t="str">
        <f>"-0.08"</f>
        <v>-0.08</v>
      </c>
      <c r="N279" t="s">
        <v>41</v>
      </c>
      <c r="O279" t="s">
        <v>1629</v>
      </c>
      <c r="P279" t="str">
        <f>"0.0017%"</f>
        <v>0.0017%</v>
      </c>
      <c r="Q279" t="str">
        <f>"0.0008%"</f>
        <v>0.0008%</v>
      </c>
      <c r="R279" t="str">
        <f>""</f>
        <v/>
      </c>
      <c r="S279" t="str">
        <f>"0.0200%"</f>
        <v>0.0200%</v>
      </c>
      <c r="T279" t="s">
        <v>1630</v>
      </c>
      <c r="U279" t="str">
        <f>"0.0270%"</f>
        <v>0.0270%</v>
      </c>
      <c r="V279" t="str">
        <f>""</f>
        <v/>
      </c>
      <c r="Y279" t="s">
        <v>1631</v>
      </c>
      <c r="Z279" t="str">
        <f>"35"</f>
        <v>35</v>
      </c>
    </row>
    <row r="280" spans="1:26" x14ac:dyDescent="0.3">
      <c r="A280" t="s">
        <v>83</v>
      </c>
      <c r="B280" t="s">
        <v>1632</v>
      </c>
      <c r="C280" t="s">
        <v>28</v>
      </c>
      <c r="D280" t="s">
        <v>29</v>
      </c>
      <c r="E280" t="s">
        <v>526</v>
      </c>
      <c r="F280" t="str">
        <f t="shared" si="15"/>
        <v>110</v>
      </c>
      <c r="G280" t="str">
        <f>"MIR4457"</f>
        <v>MIR4457</v>
      </c>
      <c r="H280" t="str">
        <f>""</f>
        <v/>
      </c>
      <c r="J280" t="s">
        <v>1633</v>
      </c>
      <c r="K280" t="str">
        <f>"100%"</f>
        <v>100%</v>
      </c>
      <c r="L280" t="str">
        <f>"-0.13"</f>
        <v>-0.13</v>
      </c>
      <c r="M280" t="s">
        <v>1634</v>
      </c>
      <c r="P280" t="str">
        <f>""</f>
        <v/>
      </c>
      <c r="Q280" t="str">
        <f>""</f>
        <v/>
      </c>
      <c r="R280" t="str">
        <f>""</f>
        <v/>
      </c>
      <c r="S280" t="str">
        <f>"59.8043%"</f>
        <v>59.8043%</v>
      </c>
      <c r="T280" t="s">
        <v>1635</v>
      </c>
      <c r="U280" t="str">
        <f>"63.6260%"</f>
        <v>63.6260%</v>
      </c>
      <c r="V280" t="str">
        <f>"63.6810%"</f>
        <v>63.6810%</v>
      </c>
      <c r="Z280" t="str">
        <f>""</f>
        <v/>
      </c>
    </row>
    <row r="281" spans="1:26" x14ac:dyDescent="0.3">
      <c r="A281" t="s">
        <v>139</v>
      </c>
      <c r="B281" t="s">
        <v>1636</v>
      </c>
      <c r="C281" t="s">
        <v>29</v>
      </c>
      <c r="D281" t="s">
        <v>38</v>
      </c>
      <c r="E281" t="s">
        <v>30</v>
      </c>
      <c r="F281" t="str">
        <f t="shared" si="15"/>
        <v>110</v>
      </c>
      <c r="G281" t="str">
        <f>"SPTA1 p.S1163A"</f>
        <v>SPTA1 p.S1163A</v>
      </c>
      <c r="H281" t="str">
        <f>"NM_003126"</f>
        <v>NM_003126</v>
      </c>
      <c r="J281" t="s">
        <v>1637</v>
      </c>
      <c r="K281" t="str">
        <f>"100%"</f>
        <v>100%</v>
      </c>
      <c r="L281" t="str">
        <f>"0.06"</f>
        <v>0.06</v>
      </c>
      <c r="N281" t="s">
        <v>41</v>
      </c>
      <c r="O281" t="s">
        <v>1638</v>
      </c>
      <c r="P281" t="str">
        <f>"99.8300%"</f>
        <v>99.8300%</v>
      </c>
      <c r="Q281" t="str">
        <f>"99.8400%"</f>
        <v>99.8400%</v>
      </c>
      <c r="R281" t="str">
        <f>"99.4000%"</f>
        <v>99.4000%</v>
      </c>
      <c r="S281" t="str">
        <f>"99.4609%"</f>
        <v>99.4609%</v>
      </c>
      <c r="T281" t="s">
        <v>1639</v>
      </c>
      <c r="U281" t="str">
        <f>"99.6720%"</f>
        <v>99.6720%</v>
      </c>
      <c r="V281" t="str">
        <f>"99.7000%"</f>
        <v>99.7000%</v>
      </c>
      <c r="X281" t="s">
        <v>1640</v>
      </c>
      <c r="Y281" t="s">
        <v>1641</v>
      </c>
      <c r="Z281" t="str">
        <f>"5.600"</f>
        <v>5.600</v>
      </c>
    </row>
    <row r="282" spans="1:26" x14ac:dyDescent="0.3">
      <c r="A282" t="s">
        <v>139</v>
      </c>
      <c r="B282" t="s">
        <v>1642</v>
      </c>
      <c r="C282" t="s">
        <v>28</v>
      </c>
      <c r="D282" t="s">
        <v>29</v>
      </c>
      <c r="E282" t="s">
        <v>30</v>
      </c>
      <c r="F282" t="str">
        <f t="shared" si="15"/>
        <v>110</v>
      </c>
      <c r="G282" t="str">
        <f>"PTCH2 p.T15I"</f>
        <v>PTCH2 p.T15I</v>
      </c>
      <c r="H282" t="str">
        <f>"NM_003738"</f>
        <v>NM_003738</v>
      </c>
      <c r="J282" t="s">
        <v>1643</v>
      </c>
      <c r="K282" t="str">
        <f>"43%"</f>
        <v>43%</v>
      </c>
      <c r="L282" t="str">
        <f>"0.05"</f>
        <v>0.05</v>
      </c>
      <c r="N282" t="s">
        <v>41</v>
      </c>
      <c r="O282" t="s">
        <v>1644</v>
      </c>
      <c r="P282" t="str">
        <f>"0.4100%"</f>
        <v>0.4100%</v>
      </c>
      <c r="Q282" t="str">
        <f>"0.1800%"</f>
        <v>0.1800%</v>
      </c>
      <c r="R282" t="str">
        <f>""</f>
        <v/>
      </c>
      <c r="S282" t="str">
        <f>"0.3594%"</f>
        <v>0.3594%</v>
      </c>
      <c r="T282" t="s">
        <v>1645</v>
      </c>
      <c r="U282" t="str">
        <f>"0.0270%"</f>
        <v>0.0270%</v>
      </c>
      <c r="V282" t="str">
        <f>"0.0270%"</f>
        <v>0.0270%</v>
      </c>
      <c r="Y282" t="s">
        <v>1646</v>
      </c>
      <c r="Z282" t="str">
        <f>"13.11"</f>
        <v>13.11</v>
      </c>
    </row>
    <row r="283" spans="1:26" x14ac:dyDescent="0.3">
      <c r="A283" t="s">
        <v>83</v>
      </c>
      <c r="B283" t="s">
        <v>1647</v>
      </c>
      <c r="C283" t="s">
        <v>39</v>
      </c>
      <c r="D283" t="s">
        <v>29</v>
      </c>
      <c r="E283" t="s">
        <v>30</v>
      </c>
      <c r="F283" t="str">
        <f t="shared" si="15"/>
        <v>110</v>
      </c>
      <c r="G283" t="str">
        <f>"C5orf34 p.T32S"</f>
        <v>C5orf34 p.T32S</v>
      </c>
      <c r="H283" t="str">
        <f>"NM_198566"</f>
        <v>NM_198566</v>
      </c>
      <c r="J283" t="s">
        <v>1648</v>
      </c>
      <c r="K283" t="str">
        <f>"100%"</f>
        <v>100%</v>
      </c>
      <c r="L283" t="str">
        <f>"0.03"</f>
        <v>0.03</v>
      </c>
      <c r="N283" t="s">
        <v>41</v>
      </c>
      <c r="O283" t="s">
        <v>1649</v>
      </c>
      <c r="P283" t="str">
        <f>"99.8400%"</f>
        <v>99.8400%</v>
      </c>
      <c r="Q283" t="str">
        <f>"99.8800%"</f>
        <v>99.8800%</v>
      </c>
      <c r="R283" t="str">
        <f>"99.4600%"</f>
        <v>99.4600%</v>
      </c>
      <c r="S283" t="str">
        <f>"99.4010%"</f>
        <v>99.4010%</v>
      </c>
      <c r="T283" t="s">
        <v>1650</v>
      </c>
      <c r="U283" t="str">
        <f>"99.7820%"</f>
        <v>99.7820%</v>
      </c>
      <c r="V283" t="str">
        <f>"99.7820%"</f>
        <v>99.7820%</v>
      </c>
      <c r="Z283" t="str">
        <f>"15.88"</f>
        <v>15.88</v>
      </c>
    </row>
    <row r="284" spans="1:26" x14ac:dyDescent="0.3">
      <c r="A284" t="s">
        <v>91</v>
      </c>
      <c r="B284" t="s">
        <v>1651</v>
      </c>
      <c r="C284" t="s">
        <v>28</v>
      </c>
      <c r="D284" t="s">
        <v>29</v>
      </c>
      <c r="E284" t="s">
        <v>526</v>
      </c>
      <c r="F284" t="str">
        <f t="shared" si="15"/>
        <v>110</v>
      </c>
      <c r="G284" t="str">
        <f>"OR4K2"</f>
        <v>OR4K2</v>
      </c>
      <c r="H284" t="str">
        <f>""</f>
        <v/>
      </c>
      <c r="J284" t="s">
        <v>1652</v>
      </c>
      <c r="K284" t="str">
        <f>"67%"</f>
        <v>67%</v>
      </c>
      <c r="L284" t="str">
        <f>"0.04"</f>
        <v>0.04</v>
      </c>
      <c r="M284" t="s">
        <v>1653</v>
      </c>
      <c r="P284" t="str">
        <f>""</f>
        <v/>
      </c>
      <c r="Q284" t="str">
        <f>""</f>
        <v/>
      </c>
      <c r="R284" t="str">
        <f>""</f>
        <v/>
      </c>
      <c r="S284" t="str">
        <f>"54.7125%"</f>
        <v>54.7125%</v>
      </c>
      <c r="T284" t="s">
        <v>1654</v>
      </c>
      <c r="U284" t="str">
        <f>"58.5750%"</f>
        <v>58.5750%</v>
      </c>
      <c r="V284" t="str">
        <f>"58.6020%"</f>
        <v>58.6020%</v>
      </c>
      <c r="Z284" t="str">
        <f>""</f>
        <v/>
      </c>
    </row>
    <row r="285" spans="1:26" x14ac:dyDescent="0.3">
      <c r="A285" t="s">
        <v>338</v>
      </c>
      <c r="B285" t="s">
        <v>1655</v>
      </c>
      <c r="C285" t="s">
        <v>38</v>
      </c>
      <c r="D285" t="s">
        <v>28</v>
      </c>
      <c r="E285" t="s">
        <v>1041</v>
      </c>
      <c r="F285" t="str">
        <f t="shared" si="15"/>
        <v>110</v>
      </c>
      <c r="G285" t="str">
        <f>"MIR523"</f>
        <v>MIR523</v>
      </c>
      <c r="H285" t="str">
        <f>""</f>
        <v/>
      </c>
      <c r="J285" t="s">
        <v>1652</v>
      </c>
      <c r="K285" t="str">
        <f>"100%"</f>
        <v>100%</v>
      </c>
      <c r="L285" t="str">
        <f>"0.10"</f>
        <v>0.10</v>
      </c>
      <c r="M285" t="s">
        <v>1656</v>
      </c>
      <c r="P285" t="str">
        <f>""</f>
        <v/>
      </c>
      <c r="Q285" t="str">
        <f>""</f>
        <v/>
      </c>
      <c r="R285" t="str">
        <f>""</f>
        <v/>
      </c>
      <c r="S285" t="str">
        <f>"17.3922%"</f>
        <v>17.3922%</v>
      </c>
      <c r="T285" t="s">
        <v>1657</v>
      </c>
      <c r="U285" t="str">
        <f>"16.8760%"</f>
        <v>16.8760%</v>
      </c>
      <c r="V285" t="str">
        <f>"16.8490%"</f>
        <v>16.8490%</v>
      </c>
      <c r="Z285" t="str">
        <f>""</f>
        <v/>
      </c>
    </row>
    <row r="286" spans="1:26" x14ac:dyDescent="0.3">
      <c r="A286" t="s">
        <v>83</v>
      </c>
      <c r="B286" t="s">
        <v>645</v>
      </c>
      <c r="C286" t="s">
        <v>38</v>
      </c>
      <c r="D286" t="s">
        <v>646</v>
      </c>
      <c r="E286" t="s">
        <v>526</v>
      </c>
      <c r="F286" t="str">
        <f>"100"</f>
        <v>100</v>
      </c>
      <c r="G286" t="str">
        <f>"TSLP"</f>
        <v>TSLP</v>
      </c>
      <c r="H286" t="str">
        <f>""</f>
        <v/>
      </c>
      <c r="J286" t="s">
        <v>647</v>
      </c>
      <c r="K286" t="str">
        <f>"7%"</f>
        <v>7%</v>
      </c>
      <c r="L286" t="str">
        <f>"-0.06"</f>
        <v>-0.06</v>
      </c>
      <c r="M286" t="s">
        <v>1658</v>
      </c>
      <c r="P286" t="str">
        <f>""</f>
        <v/>
      </c>
      <c r="Q286" t="str">
        <f>""</f>
        <v/>
      </c>
      <c r="R286" t="str">
        <f>""</f>
        <v/>
      </c>
      <c r="S286" t="str">
        <f>""</f>
        <v/>
      </c>
      <c r="T286" t="s">
        <v>1659</v>
      </c>
      <c r="U286" t="str">
        <f>"39.7870%"</f>
        <v>39.7870%</v>
      </c>
      <c r="V286" t="str">
        <f>"0.2180%"</f>
        <v>0.2180%</v>
      </c>
      <c r="Z286" t="str">
        <f>""</f>
        <v/>
      </c>
    </row>
    <row r="287" spans="1:26" x14ac:dyDescent="0.3">
      <c r="A287" t="s">
        <v>60</v>
      </c>
      <c r="B287" t="s">
        <v>1660</v>
      </c>
      <c r="C287" t="s">
        <v>38</v>
      </c>
      <c r="D287" t="s">
        <v>29</v>
      </c>
      <c r="E287" t="s">
        <v>526</v>
      </c>
      <c r="F287" t="str">
        <f>"010"</f>
        <v>010</v>
      </c>
      <c r="G287" t="str">
        <f>"KPNA5"</f>
        <v>KPNA5</v>
      </c>
      <c r="H287" t="str">
        <f>""</f>
        <v/>
      </c>
      <c r="J287" t="s">
        <v>1661</v>
      </c>
      <c r="K287" t="str">
        <f>"96%"</f>
        <v>96%</v>
      </c>
      <c r="L287" t="str">
        <f>"0.04"</f>
        <v>0.04</v>
      </c>
      <c r="M287" t="s">
        <v>1662</v>
      </c>
      <c r="P287" t="str">
        <f>""</f>
        <v/>
      </c>
      <c r="Q287" t="str">
        <f>""</f>
        <v/>
      </c>
      <c r="R287" t="str">
        <f>""</f>
        <v/>
      </c>
      <c r="S287" t="str">
        <f>"39.3570%"</f>
        <v>39.3570%</v>
      </c>
      <c r="T287" t="s">
        <v>1663</v>
      </c>
      <c r="U287" t="str">
        <f>"32.5780%"</f>
        <v>32.5780%</v>
      </c>
      <c r="V287" t="str">
        <f>"32.4690%"</f>
        <v>32.4690%</v>
      </c>
      <c r="Z287" t="str">
        <f>""</f>
        <v/>
      </c>
    </row>
    <row r="288" spans="1:26" x14ac:dyDescent="0.3">
      <c r="A288" t="s">
        <v>75</v>
      </c>
      <c r="B288" t="s">
        <v>1664</v>
      </c>
      <c r="C288" t="s">
        <v>38</v>
      </c>
      <c r="D288" t="s">
        <v>39</v>
      </c>
      <c r="E288" t="s">
        <v>526</v>
      </c>
      <c r="F288" t="str">
        <f>"110"</f>
        <v>110</v>
      </c>
      <c r="G288" t="str">
        <f>"RAD18"</f>
        <v>RAD18</v>
      </c>
      <c r="H288" t="str">
        <f>""</f>
        <v/>
      </c>
      <c r="J288" t="s">
        <v>1665</v>
      </c>
      <c r="K288" t="str">
        <f>"100%"</f>
        <v>100%</v>
      </c>
      <c r="L288" t="str">
        <f>"0.03"</f>
        <v>0.03</v>
      </c>
      <c r="M288" t="s">
        <v>1666</v>
      </c>
      <c r="P288" t="str">
        <f>""</f>
        <v/>
      </c>
      <c r="Q288" t="str">
        <f>""</f>
        <v/>
      </c>
      <c r="R288" t="str">
        <f>""</f>
        <v/>
      </c>
      <c r="S288" t="str">
        <f>"70.5471%"</f>
        <v>70.5471%</v>
      </c>
      <c r="T288" t="s">
        <v>1667</v>
      </c>
      <c r="U288" t="str">
        <f>"74.3580%"</f>
        <v>74.3580%</v>
      </c>
      <c r="V288" t="str">
        <f>"74.2760%"</f>
        <v>74.2760%</v>
      </c>
      <c r="Z288" t="str">
        <f>""</f>
        <v/>
      </c>
    </row>
    <row r="289" spans="1:26" x14ac:dyDescent="0.3">
      <c r="A289" t="s">
        <v>60</v>
      </c>
      <c r="B289" t="s">
        <v>1668</v>
      </c>
      <c r="C289" t="s">
        <v>1669</v>
      </c>
      <c r="D289" t="s">
        <v>29</v>
      </c>
      <c r="E289" t="s">
        <v>526</v>
      </c>
      <c r="F289" t="str">
        <f>"010"</f>
        <v>010</v>
      </c>
      <c r="G289" t="str">
        <f>"KPNA5"</f>
        <v>KPNA5</v>
      </c>
      <c r="H289" t="str">
        <f>""</f>
        <v/>
      </c>
      <c r="J289" t="s">
        <v>1670</v>
      </c>
      <c r="K289" t="str">
        <f>"100%"</f>
        <v>100%</v>
      </c>
      <c r="L289" t="str">
        <f>"0.04"</f>
        <v>0.04</v>
      </c>
      <c r="M289" t="s">
        <v>1671</v>
      </c>
      <c r="P289" t="str">
        <f>""</f>
        <v/>
      </c>
      <c r="Q289" t="str">
        <f>""</f>
        <v/>
      </c>
      <c r="R289" t="str">
        <f>""</f>
        <v/>
      </c>
      <c r="S289" t="str">
        <f>""</f>
        <v/>
      </c>
      <c r="T289" t="s">
        <v>1672</v>
      </c>
      <c r="U289" t="str">
        <f>"9.1480%"</f>
        <v>9.1480%</v>
      </c>
      <c r="V289" t="str">
        <f>""</f>
        <v/>
      </c>
      <c r="Z289" t="str">
        <f>""</f>
        <v/>
      </c>
    </row>
    <row r="290" spans="1:26" x14ac:dyDescent="0.3">
      <c r="A290" t="s">
        <v>280</v>
      </c>
      <c r="B290" t="s">
        <v>1673</v>
      </c>
      <c r="C290" t="s">
        <v>28</v>
      </c>
      <c r="D290" t="s">
        <v>39</v>
      </c>
      <c r="E290" t="s">
        <v>526</v>
      </c>
      <c r="F290" t="str">
        <f>"110"</f>
        <v>110</v>
      </c>
      <c r="G290" t="str">
        <f>"KATNBL1"</f>
        <v>KATNBL1</v>
      </c>
      <c r="H290" t="str">
        <f>""</f>
        <v/>
      </c>
      <c r="J290" t="s">
        <v>680</v>
      </c>
      <c r="K290" t="str">
        <f>"100%"</f>
        <v>100%</v>
      </c>
      <c r="L290" t="str">
        <f>"-0.15"</f>
        <v>-0.15</v>
      </c>
      <c r="M290" t="s">
        <v>1674</v>
      </c>
      <c r="P290" t="str">
        <f>""</f>
        <v/>
      </c>
      <c r="Q290" t="str">
        <f>""</f>
        <v/>
      </c>
      <c r="R290" t="str">
        <f>""</f>
        <v/>
      </c>
      <c r="S290" t="str">
        <f>"71.0264%"</f>
        <v>71.0264%</v>
      </c>
      <c r="T290" t="s">
        <v>1675</v>
      </c>
      <c r="U290" t="str">
        <f>"74.8770%"</f>
        <v>74.8770%</v>
      </c>
      <c r="V290" t="str">
        <f>"74.9040%"</f>
        <v>74.9040%</v>
      </c>
      <c r="Z290" t="str">
        <f>""</f>
        <v/>
      </c>
    </row>
    <row r="291" spans="1:26" x14ac:dyDescent="0.3">
      <c r="A291" t="s">
        <v>131</v>
      </c>
      <c r="B291" t="s">
        <v>1676</v>
      </c>
      <c r="C291" t="s">
        <v>1677</v>
      </c>
      <c r="D291" t="s">
        <v>1678</v>
      </c>
      <c r="E291" t="s">
        <v>30</v>
      </c>
      <c r="F291" t="str">
        <f>"100"</f>
        <v>100</v>
      </c>
      <c r="G291" t="str">
        <f>"NCOA3 c.3753_3762ACAGCAGCAG"</f>
        <v>NCOA3 c.3753_3762ACAGCAGCAG</v>
      </c>
      <c r="H291" t="str">
        <f>"NM_181659"</f>
        <v>NM_181659</v>
      </c>
      <c r="J291" t="s">
        <v>680</v>
      </c>
      <c r="K291" t="str">
        <f>"21%"</f>
        <v>21%</v>
      </c>
      <c r="L291" t="str">
        <f>"-0.02"</f>
        <v>-0.02</v>
      </c>
      <c r="N291" t="s">
        <v>1386</v>
      </c>
      <c r="O291" t="s">
        <v>1679</v>
      </c>
      <c r="P291" t="str">
        <f>""</f>
        <v/>
      </c>
      <c r="Q291" t="str">
        <f>""</f>
        <v/>
      </c>
      <c r="R291" t="str">
        <f>""</f>
        <v/>
      </c>
      <c r="S291" t="str">
        <f>""</f>
        <v/>
      </c>
      <c r="U291" t="str">
        <f>"3.7960%"</f>
        <v>3.7960%</v>
      </c>
      <c r="V291" t="str">
        <f>"0.8190%"</f>
        <v>0.8190%</v>
      </c>
      <c r="Z291" t="str">
        <f>""</f>
        <v/>
      </c>
    </row>
    <row r="292" spans="1:26" x14ac:dyDescent="0.3">
      <c r="A292" t="s">
        <v>60</v>
      </c>
      <c r="B292" t="s">
        <v>1680</v>
      </c>
      <c r="C292" t="s">
        <v>1681</v>
      </c>
      <c r="D292" t="s">
        <v>1682</v>
      </c>
      <c r="E292" t="s">
        <v>526</v>
      </c>
      <c r="F292" t="str">
        <f>"100"</f>
        <v>100</v>
      </c>
      <c r="G292" t="str">
        <f>"KPNA5"</f>
        <v>KPNA5</v>
      </c>
      <c r="H292" t="str">
        <f>""</f>
        <v/>
      </c>
      <c r="J292" t="s">
        <v>1683</v>
      </c>
      <c r="K292" t="str">
        <f>"18%"</f>
        <v>18%</v>
      </c>
      <c r="L292" t="str">
        <f>"0.04"</f>
        <v>0.04</v>
      </c>
      <c r="M292" t="s">
        <v>1662</v>
      </c>
      <c r="P292" t="str">
        <f>""</f>
        <v/>
      </c>
      <c r="Q292" t="str">
        <f>""</f>
        <v/>
      </c>
      <c r="R292" t="str">
        <f>""</f>
        <v/>
      </c>
      <c r="S292" t="str">
        <f>""</f>
        <v/>
      </c>
      <c r="U292" t="str">
        <f>"9.6400%"</f>
        <v>9.6400%</v>
      </c>
      <c r="V292" t="str">
        <f>"1.9930%"</f>
        <v>1.9930%</v>
      </c>
      <c r="Z292" t="str">
        <f>""</f>
        <v/>
      </c>
    </row>
    <row r="293" spans="1:26" x14ac:dyDescent="0.3">
      <c r="A293" t="s">
        <v>60</v>
      </c>
      <c r="B293" t="s">
        <v>1684</v>
      </c>
      <c r="C293" t="s">
        <v>1581</v>
      </c>
      <c r="D293" t="s">
        <v>29</v>
      </c>
      <c r="E293" t="s">
        <v>526</v>
      </c>
      <c r="F293" t="str">
        <f>"100"</f>
        <v>100</v>
      </c>
      <c r="G293" t="str">
        <f>"KPNA5"</f>
        <v>KPNA5</v>
      </c>
      <c r="H293" t="str">
        <f>""</f>
        <v/>
      </c>
      <c r="J293" t="s">
        <v>1683</v>
      </c>
      <c r="K293" t="str">
        <f>"82%"</f>
        <v>82%</v>
      </c>
      <c r="L293" t="str">
        <f>"0.04"</f>
        <v>0.04</v>
      </c>
      <c r="M293" t="s">
        <v>1662</v>
      </c>
      <c r="P293" t="str">
        <f>""</f>
        <v/>
      </c>
      <c r="Q293" t="str">
        <f>""</f>
        <v/>
      </c>
      <c r="R293" t="str">
        <f>""</f>
        <v/>
      </c>
      <c r="S293" t="str">
        <f>""</f>
        <v/>
      </c>
      <c r="T293" t="s">
        <v>1685</v>
      </c>
      <c r="U293" t="str">
        <f>"23.0750%"</f>
        <v>23.0750%</v>
      </c>
      <c r="V293" t="str">
        <f>"25.2050%"</f>
        <v>25.2050%</v>
      </c>
      <c r="Z293" t="str">
        <f>""</f>
        <v/>
      </c>
    </row>
    <row r="294" spans="1:26" x14ac:dyDescent="0.3">
      <c r="A294" t="s">
        <v>338</v>
      </c>
      <c r="B294" t="s">
        <v>1686</v>
      </c>
      <c r="C294" t="s">
        <v>1687</v>
      </c>
      <c r="D294" t="s">
        <v>28</v>
      </c>
      <c r="E294" t="s">
        <v>1041</v>
      </c>
      <c r="F294" t="str">
        <f>"110"</f>
        <v>110</v>
      </c>
      <c r="G294" t="str">
        <f>"MIR523;MIR525"</f>
        <v>MIR523;MIR525</v>
      </c>
      <c r="H294" t="str">
        <f>""</f>
        <v/>
      </c>
      <c r="J294" t="s">
        <v>1688</v>
      </c>
      <c r="K294" t="str">
        <f>"16%"</f>
        <v>16%</v>
      </c>
      <c r="L294" t="str">
        <f>"0.10"</f>
        <v>0.10</v>
      </c>
      <c r="M294" t="s">
        <v>1689</v>
      </c>
      <c r="P294" t="str">
        <f>""</f>
        <v/>
      </c>
      <c r="Q294" t="str">
        <f>""</f>
        <v/>
      </c>
      <c r="R294" t="str">
        <f>""</f>
        <v/>
      </c>
      <c r="S294" t="str">
        <f>""</f>
        <v/>
      </c>
      <c r="T294" t="s">
        <v>1690</v>
      </c>
      <c r="U294" t="str">
        <f>"41.4800%"</f>
        <v>41.4800%</v>
      </c>
      <c r="V294" t="str">
        <f>"7.1820%"</f>
        <v>7.1820%</v>
      </c>
      <c r="Z294" t="str">
        <f>""</f>
        <v/>
      </c>
    </row>
    <row r="295" spans="1:26" x14ac:dyDescent="0.3">
      <c r="A295" t="s">
        <v>83</v>
      </c>
      <c r="B295" t="s">
        <v>1691</v>
      </c>
      <c r="C295" t="s">
        <v>38</v>
      </c>
      <c r="D295" t="s">
        <v>39</v>
      </c>
      <c r="E295" t="s">
        <v>526</v>
      </c>
      <c r="F295" t="str">
        <f>"110"</f>
        <v>110</v>
      </c>
      <c r="G295" t="str">
        <f>"ABLIM3"</f>
        <v>ABLIM3</v>
      </c>
      <c r="H295" t="str">
        <f>""</f>
        <v/>
      </c>
      <c r="J295" t="s">
        <v>1692</v>
      </c>
      <c r="K295" t="str">
        <f>"42%"</f>
        <v>42%</v>
      </c>
      <c r="L295" t="str">
        <f>"-0.06"</f>
        <v>-0.06</v>
      </c>
      <c r="M295" t="s">
        <v>1693</v>
      </c>
      <c r="P295" t="str">
        <f>""</f>
        <v/>
      </c>
      <c r="Q295" t="str">
        <f>""</f>
        <v/>
      </c>
      <c r="R295" t="str">
        <f>""</f>
        <v/>
      </c>
      <c r="S295" t="str">
        <f>"48.9217%"</f>
        <v>48.9217%</v>
      </c>
      <c r="T295" t="s">
        <v>1694</v>
      </c>
      <c r="U295" t="str">
        <f>"56.4450%"</f>
        <v>56.4450%</v>
      </c>
      <c r="V295" t="str">
        <f>"56.4170%"</f>
        <v>56.4170%</v>
      </c>
      <c r="Z295" t="str">
        <f>""</f>
        <v/>
      </c>
    </row>
    <row r="296" spans="1:26" x14ac:dyDescent="0.3">
      <c r="A296" t="s">
        <v>241</v>
      </c>
      <c r="B296" t="s">
        <v>1695</v>
      </c>
      <c r="C296" t="s">
        <v>38</v>
      </c>
      <c r="D296" t="s">
        <v>39</v>
      </c>
      <c r="E296" t="s">
        <v>526</v>
      </c>
      <c r="F296" t="str">
        <f>"110"</f>
        <v>110</v>
      </c>
      <c r="G296" t="str">
        <f>"ANAPC1"</f>
        <v>ANAPC1</v>
      </c>
      <c r="H296" t="str">
        <f>""</f>
        <v/>
      </c>
      <c r="J296" t="s">
        <v>1696</v>
      </c>
      <c r="K296" t="str">
        <f>"100%"</f>
        <v>100%</v>
      </c>
      <c r="L296" t="str">
        <f>"0.00"</f>
        <v>0.00</v>
      </c>
      <c r="M296" t="s">
        <v>1697</v>
      </c>
      <c r="P296" t="str">
        <f>""</f>
        <v/>
      </c>
      <c r="Q296" t="str">
        <f>""</f>
        <v/>
      </c>
      <c r="R296" t="str">
        <f>""</f>
        <v/>
      </c>
      <c r="S296" t="str">
        <f>"46.6853%"</f>
        <v>46.6853%</v>
      </c>
      <c r="T296" t="s">
        <v>1698</v>
      </c>
      <c r="U296" t="str">
        <f>"50.3000%"</f>
        <v>50.3000%</v>
      </c>
      <c r="V296" t="str">
        <f>"50.2180%"</f>
        <v>50.2180%</v>
      </c>
      <c r="Z296" t="str">
        <f>""</f>
        <v/>
      </c>
    </row>
    <row r="297" spans="1:26" x14ac:dyDescent="0.3">
      <c r="A297" t="s">
        <v>338</v>
      </c>
      <c r="B297" t="s">
        <v>1686</v>
      </c>
      <c r="C297" t="s">
        <v>28</v>
      </c>
      <c r="D297" t="s">
        <v>1687</v>
      </c>
      <c r="E297" t="s">
        <v>1041</v>
      </c>
      <c r="F297" t="str">
        <f>"100"</f>
        <v>100</v>
      </c>
      <c r="G297" t="str">
        <f>"MIR523;MIR525"</f>
        <v>MIR523;MIR525</v>
      </c>
      <c r="H297" t="str">
        <f>""</f>
        <v/>
      </c>
      <c r="J297" t="s">
        <v>700</v>
      </c>
      <c r="K297" t="str">
        <f>"14%"</f>
        <v>14%</v>
      </c>
      <c r="L297" t="str">
        <f>"0.10"</f>
        <v>0.10</v>
      </c>
      <c r="M297" t="s">
        <v>1699</v>
      </c>
      <c r="P297" t="str">
        <f>""</f>
        <v/>
      </c>
      <c r="Q297" t="str">
        <f>""</f>
        <v/>
      </c>
      <c r="R297" t="str">
        <f>""</f>
        <v/>
      </c>
      <c r="S297" t="str">
        <f>""</f>
        <v/>
      </c>
      <c r="T297" t="s">
        <v>1700</v>
      </c>
      <c r="U297" t="str">
        <f>"48.8800%"</f>
        <v>48.8800%</v>
      </c>
      <c r="V297" t="str">
        <f>"41.0980%"</f>
        <v>41.0980%</v>
      </c>
      <c r="Z297" t="str">
        <f>""</f>
        <v/>
      </c>
    </row>
    <row r="298" spans="1:26" x14ac:dyDescent="0.3">
      <c r="A298" t="s">
        <v>83</v>
      </c>
      <c r="B298" t="s">
        <v>1701</v>
      </c>
      <c r="C298" t="s">
        <v>28</v>
      </c>
      <c r="D298" t="s">
        <v>29</v>
      </c>
      <c r="E298" t="s">
        <v>30</v>
      </c>
      <c r="F298" t="str">
        <f>"110"</f>
        <v>110</v>
      </c>
      <c r="G298" t="str">
        <f>"MAP3K1 p.R59Q"</f>
        <v>MAP3K1 p.R59Q</v>
      </c>
      <c r="H298" t="str">
        <f>"NM_005921"</f>
        <v>NM_005921</v>
      </c>
      <c r="J298" t="s">
        <v>1702</v>
      </c>
      <c r="K298" t="str">
        <f>"56%"</f>
        <v>56%</v>
      </c>
      <c r="L298" t="str">
        <f>"-0.06"</f>
        <v>-0.06</v>
      </c>
      <c r="N298" t="s">
        <v>41</v>
      </c>
      <c r="O298" t="s">
        <v>1703</v>
      </c>
      <c r="P298" t="str">
        <f>""</f>
        <v/>
      </c>
      <c r="Q298" t="str">
        <f>"0.0000%"</f>
        <v>0.0000%</v>
      </c>
      <c r="R298" t="str">
        <f>""</f>
        <v/>
      </c>
      <c r="S298" t="str">
        <f>"0.0200%"</f>
        <v>0.0200%</v>
      </c>
      <c r="T298" t="s">
        <v>1704</v>
      </c>
      <c r="U298" t="str">
        <f>"0.0270%"</f>
        <v>0.0270%</v>
      </c>
      <c r="V298" t="str">
        <f>""</f>
        <v/>
      </c>
      <c r="Z298" t="str">
        <f>"20.9"</f>
        <v>20.9</v>
      </c>
    </row>
    <row r="299" spans="1:26" x14ac:dyDescent="0.3">
      <c r="A299" t="s">
        <v>83</v>
      </c>
      <c r="B299" t="s">
        <v>1705</v>
      </c>
      <c r="C299" t="s">
        <v>39</v>
      </c>
      <c r="D299" t="s">
        <v>38</v>
      </c>
      <c r="E299" t="s">
        <v>526</v>
      </c>
      <c r="F299" t="str">
        <f>"110"</f>
        <v>110</v>
      </c>
      <c r="G299" t="str">
        <f>"ABLIM3"</f>
        <v>ABLIM3</v>
      </c>
      <c r="H299" t="str">
        <f>""</f>
        <v/>
      </c>
      <c r="J299" t="s">
        <v>1326</v>
      </c>
      <c r="K299" t="str">
        <f>"37%"</f>
        <v>37%</v>
      </c>
      <c r="L299" t="str">
        <f>"-0.06"</f>
        <v>-0.06</v>
      </c>
      <c r="M299" t="s">
        <v>1706</v>
      </c>
      <c r="P299" t="str">
        <f>""</f>
        <v/>
      </c>
      <c r="Q299" t="str">
        <f>""</f>
        <v/>
      </c>
      <c r="R299" t="str">
        <f>""</f>
        <v/>
      </c>
      <c r="S299" t="str">
        <f>"66.1542%"</f>
        <v>66.1542%</v>
      </c>
      <c r="T299" t="s">
        <v>1707</v>
      </c>
      <c r="U299" t="str">
        <f>"71.1630%"</f>
        <v>71.1630%</v>
      </c>
      <c r="V299" t="str">
        <f>"71.2180%"</f>
        <v>71.2180%</v>
      </c>
      <c r="Z299" t="str">
        <f>""</f>
        <v/>
      </c>
    </row>
    <row r="300" spans="1:26" x14ac:dyDescent="0.3">
      <c r="A300" t="s">
        <v>173</v>
      </c>
      <c r="B300" t="s">
        <v>1708</v>
      </c>
      <c r="C300" t="s">
        <v>29</v>
      </c>
      <c r="D300" t="s">
        <v>1709</v>
      </c>
      <c r="E300" t="s">
        <v>30</v>
      </c>
      <c r="F300" t="str">
        <f>"100"</f>
        <v>100</v>
      </c>
      <c r="G300" t="str">
        <f>"IRS2 p.V702delinsAAAAV"</f>
        <v>IRS2 p.V702delinsAAAAV</v>
      </c>
      <c r="H300" t="str">
        <f>"NM_003749"</f>
        <v>NM_003749</v>
      </c>
      <c r="J300" t="s">
        <v>1710</v>
      </c>
      <c r="K300" t="str">
        <f>"26%"</f>
        <v>26%</v>
      </c>
      <c r="L300" t="str">
        <f>"-0.05"</f>
        <v>-0.05</v>
      </c>
      <c r="N300" t="s">
        <v>640</v>
      </c>
      <c r="O300" t="s">
        <v>1711</v>
      </c>
      <c r="P300" t="str">
        <f>"0.0600%"</f>
        <v>0.0600%</v>
      </c>
      <c r="Q300" t="str">
        <f>""</f>
        <v/>
      </c>
      <c r="R300" t="str">
        <f>""</f>
        <v/>
      </c>
      <c r="S300" t="str">
        <f>""</f>
        <v/>
      </c>
      <c r="U300" t="str">
        <f>"0.0270%"</f>
        <v>0.0270%</v>
      </c>
      <c r="V300" t="str">
        <f>"0.0270%"</f>
        <v>0.0270%</v>
      </c>
      <c r="Z300" t="str">
        <f>""</f>
        <v/>
      </c>
    </row>
    <row r="301" spans="1:26" x14ac:dyDescent="0.3">
      <c r="A301" t="s">
        <v>241</v>
      </c>
      <c r="B301" t="s">
        <v>1712</v>
      </c>
      <c r="C301" t="s">
        <v>28</v>
      </c>
      <c r="D301" t="s">
        <v>29</v>
      </c>
      <c r="E301" t="s">
        <v>30</v>
      </c>
      <c r="F301" t="str">
        <f>"110"</f>
        <v>110</v>
      </c>
      <c r="G301" t="str">
        <f>"DUSP2 p.S97L"</f>
        <v>DUSP2 p.S97L</v>
      </c>
      <c r="H301" t="str">
        <f>"NM_004418"</f>
        <v>NM_004418</v>
      </c>
      <c r="J301" t="s">
        <v>1713</v>
      </c>
      <c r="K301" t="str">
        <f>"55%"</f>
        <v>55%</v>
      </c>
      <c r="L301" t="str">
        <f>"0.00"</f>
        <v>0.00</v>
      </c>
      <c r="N301" t="s">
        <v>41</v>
      </c>
      <c r="O301" t="s">
        <v>1714</v>
      </c>
      <c r="P301" t="str">
        <f>"0.0100%"</f>
        <v>0.0100%</v>
      </c>
      <c r="Q301" t="str">
        <f>"0.0018%"</f>
        <v>0.0018%</v>
      </c>
      <c r="R301" t="str">
        <f>""</f>
        <v/>
      </c>
      <c r="S301" t="str">
        <f>"0.0599%"</f>
        <v>0.0599%</v>
      </c>
      <c r="T301" t="s">
        <v>1715</v>
      </c>
      <c r="U301" t="str">
        <f>""</f>
        <v/>
      </c>
      <c r="V301" t="str">
        <f>""</f>
        <v/>
      </c>
      <c r="Z301" t="str">
        <f>"19.45"</f>
        <v>19.45</v>
      </c>
    </row>
    <row r="302" spans="1:26" x14ac:dyDescent="0.3">
      <c r="A302" t="s">
        <v>83</v>
      </c>
      <c r="B302" t="s">
        <v>1716</v>
      </c>
      <c r="C302" t="s">
        <v>28</v>
      </c>
      <c r="D302" t="s">
        <v>29</v>
      </c>
      <c r="E302" t="s">
        <v>526</v>
      </c>
      <c r="F302" t="str">
        <f>"110"</f>
        <v>110</v>
      </c>
      <c r="G302" t="str">
        <f>"MIR4457"</f>
        <v>MIR4457</v>
      </c>
      <c r="H302" t="str">
        <f>""</f>
        <v/>
      </c>
      <c r="J302" t="s">
        <v>1717</v>
      </c>
      <c r="K302" t="str">
        <f>"100%"</f>
        <v>100%</v>
      </c>
      <c r="L302" t="str">
        <f>"-0.13"</f>
        <v>-0.13</v>
      </c>
      <c r="M302" t="s">
        <v>1718</v>
      </c>
      <c r="P302" t="str">
        <f>""</f>
        <v/>
      </c>
      <c r="Q302" t="str">
        <f>""</f>
        <v/>
      </c>
      <c r="R302" t="str">
        <f>""</f>
        <v/>
      </c>
      <c r="S302" t="str">
        <f>"59.8043%"</f>
        <v>59.8043%</v>
      </c>
      <c r="T302" t="s">
        <v>1719</v>
      </c>
      <c r="U302" t="str">
        <f>"62.8620%"</f>
        <v>62.8620%</v>
      </c>
      <c r="V302" t="str">
        <f>"63.4350%"</f>
        <v>63.4350%</v>
      </c>
      <c r="Z302" t="str">
        <f>""</f>
        <v/>
      </c>
    </row>
    <row r="303" spans="1:26" x14ac:dyDescent="0.3">
      <c r="A303" t="s">
        <v>484</v>
      </c>
      <c r="B303" t="s">
        <v>1720</v>
      </c>
      <c r="C303" t="s">
        <v>39</v>
      </c>
      <c r="D303" t="s">
        <v>1721</v>
      </c>
      <c r="E303" t="s">
        <v>30</v>
      </c>
      <c r="F303" t="str">
        <f>"110"</f>
        <v>110</v>
      </c>
      <c r="G303" t="str">
        <f>"AR p.G456delinsGG"</f>
        <v>AR p.G456delinsGG</v>
      </c>
      <c r="H303" t="str">
        <f>"NM_000044"</f>
        <v>NM_000044</v>
      </c>
      <c r="J303" t="s">
        <v>1722</v>
      </c>
      <c r="K303" t="str">
        <f>"79%"</f>
        <v>79%</v>
      </c>
      <c r="L303" t="str">
        <f>"0.01"</f>
        <v>0.01</v>
      </c>
      <c r="N303" t="s">
        <v>640</v>
      </c>
      <c r="O303" t="s">
        <v>1723</v>
      </c>
      <c r="P303" t="str">
        <f>""</f>
        <v/>
      </c>
      <c r="Q303" t="str">
        <f>""</f>
        <v/>
      </c>
      <c r="R303" t="str">
        <f>""</f>
        <v/>
      </c>
      <c r="S303" t="str">
        <f>"19.7616%"</f>
        <v>19.7616%</v>
      </c>
      <c r="T303" t="s">
        <v>1724</v>
      </c>
      <c r="U303" t="str">
        <f>"23.5900%"</f>
        <v>23.5900%</v>
      </c>
      <c r="V303" t="str">
        <f>"24.4550%"</f>
        <v>24.4550%</v>
      </c>
      <c r="Y303" t="s">
        <v>1725</v>
      </c>
      <c r="Z303" t="str">
        <f>""</f>
        <v/>
      </c>
    </row>
    <row r="304" spans="1:26" x14ac:dyDescent="0.3">
      <c r="A304" t="s">
        <v>338</v>
      </c>
      <c r="B304" t="s">
        <v>1726</v>
      </c>
      <c r="C304" t="s">
        <v>646</v>
      </c>
      <c r="D304" t="s">
        <v>38</v>
      </c>
      <c r="E304" t="s">
        <v>526</v>
      </c>
      <c r="F304" t="str">
        <f>"100"</f>
        <v>100</v>
      </c>
      <c r="G304" t="str">
        <f>"KEAP1"</f>
        <v>KEAP1</v>
      </c>
      <c r="H304" t="str">
        <f>""</f>
        <v/>
      </c>
      <c r="J304" t="s">
        <v>1727</v>
      </c>
      <c r="K304" t="str">
        <f>"20%"</f>
        <v>20%</v>
      </c>
      <c r="L304" t="str">
        <f>"0.40"</f>
        <v>0.40</v>
      </c>
      <c r="M304" t="s">
        <v>1728</v>
      </c>
      <c r="P304" t="str">
        <f>""</f>
        <v/>
      </c>
      <c r="Q304" t="str">
        <f>""</f>
        <v/>
      </c>
      <c r="R304" t="str">
        <f>""</f>
        <v/>
      </c>
      <c r="S304" t="str">
        <f>""</f>
        <v/>
      </c>
      <c r="T304" t="s">
        <v>1729</v>
      </c>
      <c r="U304" t="str">
        <f>"26.8160%"</f>
        <v>26.8160%</v>
      </c>
      <c r="V304" t="str">
        <f>"9.6400%"</f>
        <v>9.6400%</v>
      </c>
      <c r="Z304" t="str">
        <f>""</f>
        <v/>
      </c>
    </row>
    <row r="305" spans="1:26" x14ac:dyDescent="0.3">
      <c r="A305" t="s">
        <v>26</v>
      </c>
      <c r="B305" t="s">
        <v>1730</v>
      </c>
      <c r="C305" t="s">
        <v>38</v>
      </c>
      <c r="D305" t="s">
        <v>646</v>
      </c>
      <c r="E305" t="s">
        <v>1041</v>
      </c>
      <c r="F305" t="str">
        <f>"110"</f>
        <v>110</v>
      </c>
      <c r="G305" t="str">
        <f>"TMEM106A"</f>
        <v>TMEM106A</v>
      </c>
      <c r="H305" t="str">
        <f>""</f>
        <v/>
      </c>
      <c r="J305" t="s">
        <v>1731</v>
      </c>
      <c r="K305" t="str">
        <f>"47%"</f>
        <v>47%</v>
      </c>
      <c r="L305" t="str">
        <f>"-0.06"</f>
        <v>-0.06</v>
      </c>
      <c r="M305" t="s">
        <v>1732</v>
      </c>
      <c r="P305" t="str">
        <f>""</f>
        <v/>
      </c>
      <c r="Q305" t="str">
        <f>""</f>
        <v/>
      </c>
      <c r="R305" t="str">
        <f>""</f>
        <v/>
      </c>
      <c r="S305" t="str">
        <f>"32.8075%"</f>
        <v>32.8075%</v>
      </c>
      <c r="T305" t="s">
        <v>1733</v>
      </c>
      <c r="U305" t="str">
        <f>"43.5280%"</f>
        <v>43.5280%</v>
      </c>
      <c r="V305" t="str">
        <f>"34.1890%"</f>
        <v>34.1890%</v>
      </c>
      <c r="Z305" t="str">
        <f>""</f>
        <v/>
      </c>
    </row>
    <row r="306" spans="1:26" x14ac:dyDescent="0.3">
      <c r="A306" t="s">
        <v>26</v>
      </c>
      <c r="B306" t="s">
        <v>1730</v>
      </c>
      <c r="C306" t="s">
        <v>38</v>
      </c>
      <c r="D306" t="s">
        <v>1734</v>
      </c>
      <c r="E306" t="s">
        <v>1041</v>
      </c>
      <c r="F306" t="str">
        <f>"100"</f>
        <v>100</v>
      </c>
      <c r="G306" t="str">
        <f>"TMEM106A"</f>
        <v>TMEM106A</v>
      </c>
      <c r="H306" t="str">
        <f>""</f>
        <v/>
      </c>
      <c r="J306" t="s">
        <v>1735</v>
      </c>
      <c r="K306" t="str">
        <f>"8%"</f>
        <v>8%</v>
      </c>
      <c r="L306" t="str">
        <f>"-0.06"</f>
        <v>-0.06</v>
      </c>
      <c r="M306" t="s">
        <v>1732</v>
      </c>
      <c r="P306" t="str">
        <f>""</f>
        <v/>
      </c>
      <c r="Q306" t="str">
        <f>""</f>
        <v/>
      </c>
      <c r="R306" t="str">
        <f>""</f>
        <v/>
      </c>
      <c r="S306" t="str">
        <f>""</f>
        <v/>
      </c>
      <c r="U306" t="str">
        <f>"5.0250%"</f>
        <v>5.0250%</v>
      </c>
      <c r="V306" t="str">
        <f>""</f>
        <v/>
      </c>
      <c r="Z306" t="str">
        <f>""</f>
        <v/>
      </c>
    </row>
    <row r="307" spans="1:26" x14ac:dyDescent="0.3">
      <c r="A307" t="s">
        <v>26</v>
      </c>
      <c r="B307" t="s">
        <v>1730</v>
      </c>
      <c r="C307" t="s">
        <v>38</v>
      </c>
      <c r="D307" t="s">
        <v>1736</v>
      </c>
      <c r="E307" t="s">
        <v>1041</v>
      </c>
      <c r="F307" t="str">
        <f>"100"</f>
        <v>100</v>
      </c>
      <c r="G307" t="str">
        <f>"TMEM106A"</f>
        <v>TMEM106A</v>
      </c>
      <c r="H307" t="str">
        <f>""</f>
        <v/>
      </c>
      <c r="J307" t="s">
        <v>1735</v>
      </c>
      <c r="K307" t="str">
        <f>"27%"</f>
        <v>27%</v>
      </c>
      <c r="L307" t="str">
        <f>"-0.06"</f>
        <v>-0.06</v>
      </c>
      <c r="M307" t="s">
        <v>1732</v>
      </c>
      <c r="P307" t="str">
        <f>""</f>
        <v/>
      </c>
      <c r="Q307" t="str">
        <f>""</f>
        <v/>
      </c>
      <c r="R307" t="str">
        <f>""</f>
        <v/>
      </c>
      <c r="S307" t="str">
        <f>""</f>
        <v/>
      </c>
      <c r="U307" t="str">
        <f>"22.4740%"</f>
        <v>22.4740%</v>
      </c>
      <c r="V307" t="str">
        <f>"0.7370%"</f>
        <v>0.7370%</v>
      </c>
      <c r="Z307" t="str">
        <f>""</f>
        <v/>
      </c>
    </row>
    <row r="308" spans="1:26" x14ac:dyDescent="0.3">
      <c r="A308" t="s">
        <v>26</v>
      </c>
      <c r="B308" t="s">
        <v>1730</v>
      </c>
      <c r="C308" t="s">
        <v>646</v>
      </c>
      <c r="D308" t="s">
        <v>38</v>
      </c>
      <c r="E308" t="s">
        <v>1041</v>
      </c>
      <c r="F308" t="str">
        <f>"100"</f>
        <v>100</v>
      </c>
      <c r="G308" t="str">
        <f>"TMEM106A"</f>
        <v>TMEM106A</v>
      </c>
      <c r="H308" t="str">
        <f>""</f>
        <v/>
      </c>
      <c r="J308" t="s">
        <v>1735</v>
      </c>
      <c r="K308" t="str">
        <f>"8%"</f>
        <v>8%</v>
      </c>
      <c r="L308" t="str">
        <f>"-0.06"</f>
        <v>-0.06</v>
      </c>
      <c r="M308" t="s">
        <v>1737</v>
      </c>
      <c r="P308" t="str">
        <f>""</f>
        <v/>
      </c>
      <c r="Q308" t="str">
        <f>""</f>
        <v/>
      </c>
      <c r="R308" t="str">
        <f>""</f>
        <v/>
      </c>
      <c r="S308" t="str">
        <f>""</f>
        <v/>
      </c>
      <c r="U308" t="str">
        <f>"36.8100%"</f>
        <v>36.8100%</v>
      </c>
      <c r="V308" t="str">
        <f>"4.2330%"</f>
        <v>4.2330%</v>
      </c>
      <c r="Z308" t="str">
        <f>""</f>
        <v/>
      </c>
    </row>
    <row r="309" spans="1:26" x14ac:dyDescent="0.3">
      <c r="A309" t="s">
        <v>75</v>
      </c>
      <c r="B309" t="s">
        <v>1738</v>
      </c>
      <c r="C309" t="s">
        <v>1739</v>
      </c>
      <c r="D309" t="s">
        <v>38</v>
      </c>
      <c r="E309" t="s">
        <v>526</v>
      </c>
      <c r="F309" t="str">
        <f>"110"</f>
        <v>110</v>
      </c>
      <c r="G309" t="str">
        <f>"KIF9-AS1;SETD2"</f>
        <v>KIF9-AS1;SETD2</v>
      </c>
      <c r="H309" t="str">
        <f>""</f>
        <v/>
      </c>
      <c r="J309" t="s">
        <v>1278</v>
      </c>
      <c r="K309" t="str">
        <f>"44%"</f>
        <v>44%</v>
      </c>
      <c r="L309" t="str">
        <f>"0.03"</f>
        <v>0.03</v>
      </c>
      <c r="M309" t="s">
        <v>1740</v>
      </c>
      <c r="P309" t="str">
        <f>""</f>
        <v/>
      </c>
      <c r="Q309" t="str">
        <f>""</f>
        <v/>
      </c>
      <c r="R309" t="str">
        <f>""</f>
        <v/>
      </c>
      <c r="S309" t="str">
        <f>"82.2284%"</f>
        <v>82.2284%</v>
      </c>
      <c r="T309" t="s">
        <v>1741</v>
      </c>
      <c r="U309" t="str">
        <f>"63.0260%"</f>
        <v>63.0260%</v>
      </c>
      <c r="V309" t="str">
        <f>"63.3530%"</f>
        <v>63.3530%</v>
      </c>
      <c r="Z309" t="str">
        <f>""</f>
        <v/>
      </c>
    </row>
    <row r="310" spans="1:26" x14ac:dyDescent="0.3">
      <c r="A310" t="s">
        <v>131</v>
      </c>
      <c r="B310" t="s">
        <v>1742</v>
      </c>
      <c r="C310" t="s">
        <v>38</v>
      </c>
      <c r="D310" t="s">
        <v>28</v>
      </c>
      <c r="E310" t="s">
        <v>30</v>
      </c>
      <c r="F310" t="str">
        <f>"110"</f>
        <v>110</v>
      </c>
      <c r="G310" t="str">
        <f>"PTPRT"</f>
        <v>PTPRT</v>
      </c>
      <c r="H310" t="str">
        <f>""</f>
        <v/>
      </c>
      <c r="J310" t="s">
        <v>1743</v>
      </c>
      <c r="K310" t="str">
        <f>"100%"</f>
        <v>100%</v>
      </c>
      <c r="L310" t="str">
        <f>"-0.02"</f>
        <v>-0.02</v>
      </c>
      <c r="N310" t="s">
        <v>41</v>
      </c>
      <c r="O310" t="s">
        <v>1744</v>
      </c>
      <c r="P310" t="str">
        <f>"92.1100%"</f>
        <v>92.1100%</v>
      </c>
      <c r="Q310" t="str">
        <f>"90.8400%"</f>
        <v>90.8400%</v>
      </c>
      <c r="R310" t="str">
        <f>""</f>
        <v/>
      </c>
      <c r="S310" t="str">
        <f>"71.1062%"</f>
        <v>71.1062%</v>
      </c>
      <c r="T310" t="s">
        <v>1745</v>
      </c>
      <c r="U310" t="str">
        <f>"78.9190%"</f>
        <v>78.9190%</v>
      </c>
      <c r="V310" t="str">
        <f>"77.7440%"</f>
        <v>77.7440%</v>
      </c>
      <c r="X310" t="s">
        <v>1746</v>
      </c>
      <c r="Z310" t="str">
        <f>"15.90"</f>
        <v>15.90</v>
      </c>
    </row>
    <row r="311" spans="1:26" x14ac:dyDescent="0.3">
      <c r="A311" t="s">
        <v>52</v>
      </c>
      <c r="B311" t="s">
        <v>1747</v>
      </c>
      <c r="C311" t="s">
        <v>29</v>
      </c>
      <c r="D311" t="s">
        <v>1748</v>
      </c>
      <c r="E311" t="s">
        <v>526</v>
      </c>
      <c r="F311" t="str">
        <f>"110"</f>
        <v>110</v>
      </c>
      <c r="G311" t="str">
        <f>"FANCA"</f>
        <v>FANCA</v>
      </c>
      <c r="H311" t="str">
        <f>""</f>
        <v/>
      </c>
      <c r="J311" t="s">
        <v>1749</v>
      </c>
      <c r="K311" t="str">
        <f>"100%"</f>
        <v>100%</v>
      </c>
      <c r="L311" t="str">
        <f>"0.10"</f>
        <v>0.10</v>
      </c>
      <c r="M311" t="s">
        <v>1750</v>
      </c>
      <c r="P311" t="str">
        <f>""</f>
        <v/>
      </c>
      <c r="Q311" t="str">
        <f>""</f>
        <v/>
      </c>
      <c r="R311" t="str">
        <f>""</f>
        <v/>
      </c>
      <c r="S311" t="str">
        <f>"52.2963%"</f>
        <v>52.2963%</v>
      </c>
      <c r="T311" t="s">
        <v>1751</v>
      </c>
      <c r="U311" t="str">
        <f>"39.2680%"</f>
        <v>39.2680%</v>
      </c>
      <c r="V311" t="str">
        <f>"40.2240%"</f>
        <v>40.2240%</v>
      </c>
      <c r="Y311" t="s">
        <v>1752</v>
      </c>
      <c r="Z311" t="str">
        <f>""</f>
        <v/>
      </c>
    </row>
  </sheetData>
  <autoFilter ref="A1:Z31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snv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EduardoR</cp:lastModifiedBy>
  <dcterms:created xsi:type="dcterms:W3CDTF">2019-01-10T18:49:43Z</dcterms:created>
  <dcterms:modified xsi:type="dcterms:W3CDTF">2023-02-15T02:22:03Z</dcterms:modified>
</cp:coreProperties>
</file>