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giaco\Dropbox\FinInt_2025\Assignments\Case I\"/>
    </mc:Choice>
  </mc:AlternateContent>
  <xr:revisionPtr revIDLastSave="948" documentId="13_ncr:1_{DDC43B0D-DAFF-47EB-A3EA-79151F62FD1B}" xr6:coauthVersionLast="47" xr6:coauthVersionMax="47" xr10:uidLastSave="{6F8E3B62-E6CA-4DDC-ACC4-22FAD9DA7BDD}"/>
  <bookViews>
    <workbookView xWindow="-108" yWindow="-108" windowWidth="23256" windowHeight="12456" firstSheet="2" activeTab="2" xr2:uid="{00000000-000D-0000-FFFF-FFFF00000000}"/>
  </bookViews>
  <sheets>
    <sheet name="UniCredit_BalanceSheet (units)" sheetId="3" r:id="rId1"/>
    <sheet name="UniCredit_BalanceSheet" sheetId="1" r:id="rId2"/>
    <sheet name="BancoBPM_BalanceSheet" sheetId="4" r:id="rId3"/>
    <sheet name="BancoBPM_IncomeStatement" sheetId="5" r:id="rId4"/>
    <sheet name="UniCredit_IncomeStatement" sheetId="2" r:id="rId5"/>
  </sheets>
  <externalReferences>
    <externalReference r:id="rId6"/>
  </externalReferences>
  <definedNames>
    <definedName name="solver_eng" localSheetId="2" hidden="1">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4" l="1"/>
  <c r="G39" i="4"/>
  <c r="G37" i="4"/>
  <c r="G36" i="4"/>
  <c r="G35" i="4"/>
  <c r="M30" i="4" a="1"/>
  <c r="M30" i="4"/>
  <c r="J23" i="4"/>
  <c r="M25" i="4" a="1"/>
  <c r="M25" i="4"/>
  <c r="N28" i="1" a="1"/>
  <c r="N28" i="1"/>
  <c r="N21" i="1" a="1"/>
  <c r="N21" i="1"/>
  <c r="H32" i="1"/>
  <c r="H36" i="1"/>
  <c r="H34" i="1"/>
  <c r="H33" i="1"/>
  <c r="K23" i="4"/>
  <c r="K20" i="4"/>
  <c r="K24" i="4"/>
  <c r="G24" i="4"/>
  <c r="J25" i="4"/>
  <c r="H10" i="4"/>
  <c r="H45" i="4"/>
  <c r="I45" i="4"/>
  <c r="J10" i="4"/>
  <c r="J20" i="4"/>
  <c r="I47" i="4"/>
  <c r="G49" i="4"/>
  <c r="J5" i="4"/>
  <c r="H5" i="4"/>
  <c r="I5" i="4"/>
  <c r="H7" i="5"/>
  <c r="G7" i="5"/>
  <c r="G56" i="4"/>
  <c r="G55" i="4"/>
  <c r="H55" i="4"/>
  <c r="G54" i="4"/>
  <c r="H56" i="4"/>
  <c r="H54" i="4"/>
  <c r="I40" i="1"/>
  <c r="I41" i="1"/>
  <c r="G51" i="4"/>
  <c r="H47" i="4"/>
  <c r="H46" i="4"/>
  <c r="I46" i="4" s="1"/>
  <c r="L16" i="1"/>
  <c r="L22" i="1"/>
  <c r="L21" i="1"/>
  <c r="K30" i="4"/>
  <c r="K26" i="4"/>
  <c r="K27" i="4"/>
  <c r="K28" i="4"/>
  <c r="K29" i="4"/>
  <c r="K25" i="4"/>
  <c r="K31" i="4" s="1"/>
  <c r="K21" i="4"/>
  <c r="K22" i="4"/>
  <c r="H21" i="1"/>
  <c r="L17" i="1"/>
  <c r="L25" i="1"/>
  <c r="L20" i="1"/>
  <c r="L18" i="1"/>
  <c r="L19" i="1"/>
  <c r="L24" i="1"/>
  <c r="L23" i="1"/>
  <c r="L26" i="1"/>
  <c r="L27" i="1"/>
  <c r="G31" i="4"/>
  <c r="H35" i="1"/>
  <c r="H28" i="1"/>
  <c r="K16" i="1"/>
  <c r="I10" i="4"/>
  <c r="K10" i="4" s="1"/>
  <c r="G10" i="4"/>
  <c r="G15" i="2"/>
  <c r="H11" i="5"/>
  <c r="G11" i="5"/>
  <c r="H15" i="2"/>
  <c r="I7" i="1"/>
  <c r="J7" i="1" s="1"/>
  <c r="K7" i="1" s="1"/>
  <c r="H11" i="2"/>
  <c r="G11" i="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B8" i="2"/>
  <c r="K32" i="4" l="1"/>
  <c r="J26" i="4"/>
  <c r="J27" i="4"/>
  <c r="J28" i="4"/>
  <c r="J29" i="4"/>
  <c r="J30" i="4"/>
  <c r="J31" i="4"/>
  <c r="L28" i="1"/>
  <c r="L29" i="1" s="1"/>
  <c r="K20" i="1"/>
  <c r="K18" i="1"/>
  <c r="K17" i="1"/>
  <c r="K19" i="1"/>
  <c r="K27" i="1"/>
  <c r="K26" i="1"/>
  <c r="K25" i="1"/>
  <c r="K24" i="1"/>
  <c r="K23" i="1"/>
  <c r="K22" i="1"/>
  <c r="J22" i="4"/>
  <c r="J21" i="4"/>
  <c r="J24" i="4"/>
  <c r="K28" i="1" l="1"/>
  <c r="K21" i="1"/>
  <c r="H42" i="4"/>
  <c r="H4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<sst xmlns="http://schemas.openxmlformats.org/spreadsheetml/2006/main" count="285" uniqueCount="186">
  <si>
    <t>UniCredit: Reclassified consolidated balance sheet</t>
  </si>
  <si>
    <t>Figures in million</t>
  </si>
  <si>
    <t>31.12.2023</t>
  </si>
  <si>
    <t>Duration</t>
  </si>
  <si>
    <t>Yield</t>
  </si>
  <si>
    <t>Cash and cash balances</t>
  </si>
  <si>
    <t>Financial assets held for trading</t>
  </si>
  <si>
    <t>Loans to banks</t>
  </si>
  <si>
    <t>Loans to customers</t>
  </si>
  <si>
    <t>Other financial assets</t>
  </si>
  <si>
    <t>Hedging instruments</t>
  </si>
  <si>
    <t>Property, plant and equipment</t>
  </si>
  <si>
    <t>Goodwill</t>
  </si>
  <si>
    <t>Other intangible assets</t>
  </si>
  <si>
    <t>Tax assets</t>
  </si>
  <si>
    <t>Non-current assets and disposal groups classified as held for sale</t>
  </si>
  <si>
    <t>Other assets</t>
  </si>
  <si>
    <t>Total assets</t>
  </si>
  <si>
    <t>Deposits from banks</t>
  </si>
  <si>
    <t>Deposits from customers</t>
  </si>
  <si>
    <t>Debt securities issued</t>
  </si>
  <si>
    <t>Financial liabilities held for trading</t>
  </si>
  <si>
    <t>Other financial liabilities</t>
  </si>
  <si>
    <t>Tax liabilities</t>
  </si>
  <si>
    <t>Liabilities included in disposal groups classified as held for sale</t>
  </si>
  <si>
    <t>Other liabilities</t>
  </si>
  <si>
    <t>Minorities</t>
  </si>
  <si>
    <t>capital and reserves</t>
  </si>
  <si>
    <t xml:space="preserve"> Group stated net profit (loss)</t>
  </si>
  <si>
    <t>Total liabilities and shareholders' equity</t>
  </si>
  <si>
    <t>x</t>
  </si>
  <si>
    <t>5.</t>
  </si>
  <si>
    <t>loan portfolio</t>
  </si>
  <si>
    <t>6% loan distress</t>
  </si>
  <si>
    <t>Loss in net worth</t>
  </si>
  <si>
    <t>2.2</t>
  </si>
  <si>
    <t>Part 2. 1.</t>
  </si>
  <si>
    <t>value subject to interest rate risk</t>
  </si>
  <si>
    <t xml:space="preserve">Proportion of asset </t>
  </si>
  <si>
    <t>Values change on assets after change in IR (delta Ra, RL)</t>
  </si>
  <si>
    <t>Da</t>
  </si>
  <si>
    <t>total assets subject to IR change</t>
  </si>
  <si>
    <t>years</t>
  </si>
  <si>
    <t>DL</t>
  </si>
  <si>
    <t>total liabilities subject to IR change</t>
  </si>
  <si>
    <t>delta E UNIC</t>
  </si>
  <si>
    <t>Leverage adjusted duration gap =</t>
  </si>
  <si>
    <t>"Da - DL*(k)"</t>
  </si>
  <si>
    <t>Delta Ra</t>
  </si>
  <si>
    <t>"k = L/A"</t>
  </si>
  <si>
    <t>Delta RL</t>
  </si>
  <si>
    <t xml:space="preserve">"A= assets(affected by interest)"  </t>
  </si>
  <si>
    <t>"E= equity ""_x000D_</t>
  </si>
  <si>
    <t>"L= liabilities"</t>
  </si>
  <si>
    <t>2.3</t>
  </si>
  <si>
    <t>Stress test value (bps)</t>
  </si>
  <si>
    <t>Change In Equity</t>
  </si>
  <si>
    <t>Unicredit</t>
  </si>
  <si>
    <t>Banco BPM: Reclassified consolidated balance sheet</t>
  </si>
  <si>
    <t>Figures in thousands of euro</t>
  </si>
  <si>
    <t>31/12/2023</t>
  </si>
  <si>
    <t xml:space="preserve">Duration </t>
  </si>
  <si>
    <t>Cash and cash equivalents</t>
  </si>
  <si>
    <t>"=equity - loan distress "</t>
  </si>
  <si>
    <t>Loans at AC</t>
  </si>
  <si>
    <t>8% loan distress</t>
  </si>
  <si>
    <t xml:space="preserve">  - Loans to banks</t>
  </si>
  <si>
    <t xml:space="preserve">  - Loans to customers</t>
  </si>
  <si>
    <t>Other financial assets and hedging derivatives</t>
  </si>
  <si>
    <t xml:space="preserve">  - At FV through Profit and Loss</t>
  </si>
  <si>
    <t xml:space="preserve">  - At FV through OCI</t>
  </si>
  <si>
    <t>6.</t>
  </si>
  <si>
    <t>EM(Unicredit)</t>
  </si>
  <si>
    <t>EM(banco)</t>
  </si>
  <si>
    <t>Merged total assets</t>
  </si>
  <si>
    <t>Merged shareholder equity</t>
  </si>
  <si>
    <t>Merged equity multiplier</t>
  </si>
  <si>
    <t xml:space="preserve">  - At AC</t>
  </si>
  <si>
    <t>Financial assets pertaining to insurance companies</t>
  </si>
  <si>
    <t>"=total assets/ net equity"</t>
  </si>
  <si>
    <t>Interests in associates and joint ventures</t>
  </si>
  <si>
    <t>Intangible assets</t>
  </si>
  <si>
    <t>Non-current assets and disposal groups held for sale</t>
  </si>
  <si>
    <t>Other asset items</t>
  </si>
  <si>
    <t>Direct bank funding</t>
  </si>
  <si>
    <t xml:space="preserve">  - Due to customers</t>
  </si>
  <si>
    <t xml:space="preserve">  - Securities and financial liabilities designated at FV</t>
  </si>
  <si>
    <t>Direct funding from insurance business and insurance liabilities</t>
  </si>
  <si>
    <t xml:space="preserve">  - Financial liabilities pertaining to insurance companies measured at fair value</t>
  </si>
  <si>
    <t xml:space="preserve">  - Insurance liabilities</t>
  </si>
  <si>
    <t>Total Assets subject to IR</t>
  </si>
  <si>
    <t>Due to banks</t>
  </si>
  <si>
    <t>Lease payables</t>
  </si>
  <si>
    <t>Other financial liabilities designated at fair value</t>
  </si>
  <si>
    <t>Other financial liabilities pertaining to insurance companies</t>
  </si>
  <si>
    <t>Liability provisions</t>
  </si>
  <si>
    <t>Other liability items</t>
  </si>
  <si>
    <t>Liabilities associated with assets classified as held for sale</t>
  </si>
  <si>
    <t>Total Liabilitoes subject to IR</t>
  </si>
  <si>
    <t>delta E BancoBPM</t>
  </si>
  <si>
    <t>Non-controlling interests</t>
  </si>
  <si>
    <t>Group shareholders' equity</t>
  </si>
  <si>
    <t>1.</t>
  </si>
  <si>
    <t>BancoBPM</t>
  </si>
  <si>
    <t>Part 3.1</t>
  </si>
  <si>
    <t>Discount(%)</t>
  </si>
  <si>
    <t>Available Liquidity</t>
  </si>
  <si>
    <t>Possible Payout %</t>
  </si>
  <si>
    <t>within &lt;3 days</t>
  </si>
  <si>
    <t>within 5 days</t>
  </si>
  <si>
    <t>within 7 days</t>
  </si>
  <si>
    <t>Fair value securities</t>
  </si>
  <si>
    <t>Deposits =50%</t>
  </si>
  <si>
    <t>Part 3.2</t>
  </si>
  <si>
    <t>Banco BPM</t>
  </si>
  <si>
    <t>Cash/Deposits</t>
  </si>
  <si>
    <t>Liquid Assets/Deposits</t>
  </si>
  <si>
    <t>Loan-to-Deposit Ratio</t>
  </si>
  <si>
    <t>Banco BPM: Reclassified consolidated income statement</t>
  </si>
  <si>
    <t>2023</t>
  </si>
  <si>
    <t>Net interest income</t>
  </si>
  <si>
    <t>Gains (losses) on interests in associates and joint ventures carried at equity</t>
  </si>
  <si>
    <t>Financial margin</t>
  </si>
  <si>
    <t xml:space="preserve">  - Net fee and commission income</t>
  </si>
  <si>
    <t>3.</t>
  </si>
  <si>
    <t>ROA</t>
  </si>
  <si>
    <t>ROE</t>
  </si>
  <si>
    <t xml:space="preserve">  - Other net operating income</t>
  </si>
  <si>
    <t xml:space="preserve">  - Net financial result</t>
  </si>
  <si>
    <t xml:space="preserve">  - Profit (loss) on insurance business</t>
  </si>
  <si>
    <t>"=Operating expenses/Operating income</t>
  </si>
  <si>
    <t>"=operating expenses/total assets"</t>
  </si>
  <si>
    <t>Other operating income</t>
  </si>
  <si>
    <t>4.</t>
  </si>
  <si>
    <t xml:space="preserve">Cost to income </t>
  </si>
  <si>
    <t>Revenue Efficiency</t>
  </si>
  <si>
    <t>Operating income</t>
  </si>
  <si>
    <t xml:space="preserve">  - Personnel expenses</t>
  </si>
  <si>
    <t xml:space="preserve">  - Other administrative expenses</t>
  </si>
  <si>
    <t xml:space="preserve">  - Net value adjustments to property, plant and equipment and intangible assets</t>
  </si>
  <si>
    <t>Operating expenses</t>
  </si>
  <si>
    <t>Profit (loss) from operations</t>
  </si>
  <si>
    <t xml:space="preserve">  - Net adjustments to loans to customers</t>
  </si>
  <si>
    <t xml:space="preserve">  - Fair value gains (losses) on property, plant and equipment</t>
  </si>
  <si>
    <t xml:space="preserve">  - Net adjustments to securities and other financial assets</t>
  </si>
  <si>
    <t xml:space="preserve">  - Net provisions for risks and charges</t>
  </si>
  <si>
    <t xml:space="preserve">  - Gains (losses) on interests in associates and joint ventures and other investments</t>
  </si>
  <si>
    <t>Profit (loss) before tax from continuing operations</t>
  </si>
  <si>
    <t xml:space="preserve">  - Taxation charge related to profit or loss from continuing operations</t>
  </si>
  <si>
    <t>Profit (loss) after tax from continuing operations</t>
  </si>
  <si>
    <t xml:space="preserve">  - Charges related to the banking system, net of taxes</t>
  </si>
  <si>
    <t xml:space="preserve">  - Impact of the realignment of tax values to book values</t>
  </si>
  <si>
    <t xml:space="preserve">  - Bancassurance impacts net of taxes</t>
  </si>
  <si>
    <t xml:space="preserve">  - Goodwill impairment</t>
  </si>
  <si>
    <t xml:space="preserve">  - Change in own credit risk on Certificates issued by the Group, net of taxes</t>
  </si>
  <si>
    <t xml:space="preserve">  - Purchase Price Allocation net of taxes</t>
  </si>
  <si>
    <t>Profit (loss) for the year attributable to non-controlling interests</t>
  </si>
  <si>
    <t>Parent Company's profit (loss) for the year</t>
  </si>
  <si>
    <t>UniCredit: Reclassified consolidated income statement</t>
  </si>
  <si>
    <t>Net interest</t>
  </si>
  <si>
    <t>Dividends</t>
  </si>
  <si>
    <t>Fees</t>
  </si>
  <si>
    <t>Trading income</t>
  </si>
  <si>
    <t>Other expenses/income</t>
  </si>
  <si>
    <t>Revenue</t>
  </si>
  <si>
    <t>HR costs</t>
  </si>
  <si>
    <t>Non HR costs</t>
  </si>
  <si>
    <t>Recovery of expenses</t>
  </si>
  <si>
    <t>Amortisations and depreciations</t>
  </si>
  <si>
    <t>Operating costs</t>
  </si>
  <si>
    <t>GROSS OPERATING PROFIT (LOSS)</t>
  </si>
  <si>
    <t>Cost to income</t>
  </si>
  <si>
    <t>Loan Loss Provisions (LLPs)</t>
  </si>
  <si>
    <t>NET OPERATING PROFIT (LOSS)</t>
  </si>
  <si>
    <t>Other charges and provisions</t>
  </si>
  <si>
    <t xml:space="preserve">  - of which: systemic charges</t>
  </si>
  <si>
    <t>Integration costs</t>
  </si>
  <si>
    <t>Net income from investments</t>
  </si>
  <si>
    <t>PROFIT (LOSS) BEFORE TAX</t>
  </si>
  <si>
    <t>Income taxes</t>
  </si>
  <si>
    <t>Profit (Loss) of discontinued operations</t>
  </si>
  <si>
    <t>NET PROFIT (LOSS) FOR THE PERIOD</t>
  </si>
  <si>
    <t>NET PROFIT (LOSS) ATTRIBUTABLE TO THE GROUP BEFORE PPA</t>
  </si>
  <si>
    <t>Purchase Price Allocation (PPA)</t>
  </si>
  <si>
    <t>Goodwill impairment</t>
  </si>
  <si>
    <t>GROUP STATED 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</si>
</sst>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#,##0;\-#,##0;\-"/>
    <numFmt numFmtId="166" formatCode="#,##0.00\ &quot;€&quot;"/>
    <numFmt numFmtId="167" formatCode="_-* #,##0.0000_-;\-* #,##0.0000_-;_-* &quot;-&quot;????_-;_-@_-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  <font>
      <sz val="7"/>
      <name val="Cambria"/>
      <family val="1"/>
    </font>
    <font>
      <i/>
      <sz val="7"/>
      <name val="Cambria"/>
      <family val="1"/>
    </font>
    <font>
      <sz val="11"/>
      <color rgb="FF242424"/>
      <name val="Aptos Narrow"/>
      <charset val="1"/>
    </font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i/>
      <sz val="11"/>
      <name val="Cambria"/>
      <family val="1"/>
      <scheme val="maj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mbria"/>
      <family val="1"/>
      <scheme val="maj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38" fontId="2" fillId="0" borderId="0" applyFont="0" applyFill="0" applyBorder="0" applyAlignment="0" applyProtection="0"/>
    <xf numFmtId="0" fontId="1" fillId="0" borderId="0"/>
    <xf numFmtId="9" fontId="1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3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164" fontId="6" fillId="0" borderId="0" xfId="0" applyNumberFormat="1" applyFont="1"/>
    <xf numFmtId="2" fontId="7" fillId="0" borderId="0" xfId="3" applyNumberFormat="1" applyFont="1" applyProtection="1">
      <protection locked="0"/>
    </xf>
    <xf numFmtId="10" fontId="7" fillId="0" borderId="0" xfId="3" applyNumberFormat="1" applyFont="1" applyProtection="1">
      <protection locked="0"/>
    </xf>
    <xf numFmtId="165" fontId="7" fillId="0" borderId="0" xfId="3" applyNumberFormat="1" applyFont="1" applyProtection="1">
      <protection locked="0"/>
    </xf>
    <xf numFmtId="0" fontId="5" fillId="0" borderId="1" xfId="0" applyFont="1" applyBorder="1"/>
    <xf numFmtId="164" fontId="6" fillId="0" borderId="1" xfId="0" applyNumberFormat="1" applyFont="1" applyBorder="1"/>
    <xf numFmtId="165" fontId="8" fillId="0" borderId="1" xfId="3" applyNumberFormat="1" applyFont="1" applyBorder="1" applyProtection="1">
      <protection locked="0"/>
    </xf>
    <xf numFmtId="165" fontId="8" fillId="0" borderId="1" xfId="3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165" fontId="5" fillId="0" borderId="1" xfId="3" applyNumberFormat="1" applyFont="1" applyBorder="1" applyProtection="1">
      <protection locked="0"/>
    </xf>
    <xf numFmtId="165" fontId="5" fillId="0" borderId="1" xfId="3" applyNumberFormat="1" applyFont="1" applyBorder="1" applyAlignment="1" applyProtection="1">
      <alignment vertical="center"/>
      <protection locked="0"/>
    </xf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/>
    <xf numFmtId="0" fontId="4" fillId="0" borderId="2" xfId="0" applyFont="1" applyBorder="1"/>
    <xf numFmtId="164" fontId="6" fillId="2" borderId="0" xfId="0" applyNumberFormat="1" applyFont="1" applyFill="1"/>
    <xf numFmtId="166" fontId="5" fillId="0" borderId="0" xfId="1" applyNumberFormat="1" applyFont="1" applyAlignment="1">
      <alignment horizontal="left" vertical="top" wrapText="1"/>
    </xf>
    <xf numFmtId="166" fontId="6" fillId="0" borderId="1" xfId="0" applyNumberFormat="1" applyFont="1" applyBorder="1"/>
    <xf numFmtId="166" fontId="6" fillId="0" borderId="0" xfId="0" applyNumberFormat="1" applyFont="1"/>
    <xf numFmtId="166" fontId="6" fillId="2" borderId="0" xfId="0" applyNumberFormat="1" applyFont="1" applyFill="1"/>
    <xf numFmtId="166" fontId="0" fillId="0" borderId="0" xfId="0" applyNumberFormat="1"/>
    <xf numFmtId="10" fontId="0" fillId="0" borderId="0" xfId="0" applyNumberFormat="1"/>
    <xf numFmtId="0" fontId="0" fillId="3" borderId="0" xfId="0" applyFill="1"/>
    <xf numFmtId="2" fontId="0" fillId="0" borderId="0" xfId="0" applyNumberFormat="1"/>
    <xf numFmtId="0" fontId="9" fillId="3" borderId="0" xfId="0" applyFont="1" applyFill="1"/>
    <xf numFmtId="0" fontId="11" fillId="0" borderId="1" xfId="0" applyFont="1" applyBorder="1" applyAlignment="1">
      <alignment horizontal="center" vertical="top"/>
    </xf>
    <xf numFmtId="164" fontId="11" fillId="0" borderId="1" xfId="0" applyNumberFormat="1" applyFont="1" applyBorder="1" applyAlignment="1">
      <alignment horizontal="center" vertical="top"/>
    </xf>
    <xf numFmtId="2" fontId="11" fillId="0" borderId="1" xfId="1" applyNumberFormat="1" applyFont="1" applyBorder="1" applyAlignment="1">
      <alignment vertical="center" wrapText="1"/>
    </xf>
    <xf numFmtId="10" fontId="11" fillId="0" borderId="1" xfId="5" applyNumberFormat="1" applyFont="1" applyFill="1" applyBorder="1" applyAlignment="1">
      <alignment vertical="center" wrapText="1"/>
    </xf>
    <xf numFmtId="0" fontId="12" fillId="0" borderId="0" xfId="0" applyFont="1"/>
    <xf numFmtId="164" fontId="12" fillId="0" borderId="0" xfId="0" applyNumberFormat="1" applyFont="1"/>
    <xf numFmtId="2" fontId="11" fillId="0" borderId="0" xfId="1" applyNumberFormat="1" applyFont="1" applyAlignment="1">
      <alignment vertical="center"/>
    </xf>
    <xf numFmtId="10" fontId="11" fillId="0" borderId="0" xfId="5" applyNumberFormat="1" applyFont="1" applyFill="1" applyBorder="1" applyAlignment="1">
      <alignment vertical="center"/>
    </xf>
    <xf numFmtId="2" fontId="12" fillId="0" borderId="0" xfId="1" applyNumberFormat="1" applyFont="1" applyAlignment="1">
      <alignment horizontal="right"/>
    </xf>
    <xf numFmtId="10" fontId="12" fillId="0" borderId="0" xfId="4" applyNumberFormat="1" applyFont="1" applyBorder="1" applyAlignment="1">
      <alignment horizontal="right"/>
    </xf>
    <xf numFmtId="0" fontId="13" fillId="0" borderId="0" xfId="0" applyFont="1"/>
    <xf numFmtId="0" fontId="11" fillId="0" borderId="1" xfId="0" applyFont="1" applyBorder="1"/>
    <xf numFmtId="164" fontId="12" fillId="0" borderId="1" xfId="0" applyNumberFormat="1" applyFont="1" applyBorder="1"/>
    <xf numFmtId="0" fontId="12" fillId="0" borderId="1" xfId="0" applyFont="1" applyBorder="1"/>
    <xf numFmtId="164" fontId="12" fillId="2" borderId="0" xfId="0" applyNumberFormat="1" applyFont="1" applyFill="1"/>
    <xf numFmtId="0" fontId="11" fillId="0" borderId="0" xfId="0" applyFont="1"/>
    <xf numFmtId="0" fontId="11" fillId="0" borderId="0" xfId="1" applyFont="1" applyAlignment="1">
      <alignment vertical="top" wrapText="1"/>
    </xf>
    <xf numFmtId="0" fontId="14" fillId="0" borderId="2" xfId="0" applyFont="1" applyBorder="1"/>
    <xf numFmtId="166" fontId="0" fillId="0" borderId="2" xfId="0" applyNumberFormat="1" applyBorder="1"/>
    <xf numFmtId="0" fontId="15" fillId="0" borderId="0" xfId="0" applyFont="1"/>
    <xf numFmtId="0" fontId="14" fillId="0" borderId="0" xfId="0" applyFont="1"/>
    <xf numFmtId="0" fontId="14" fillId="0" borderId="1" xfId="0" applyFont="1" applyBorder="1"/>
    <xf numFmtId="0" fontId="0" fillId="0" borderId="0" xfId="0" applyAlignment="1">
      <alignment wrapText="1"/>
    </xf>
    <xf numFmtId="16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6" fillId="7" borderId="0" xfId="0" applyFont="1" applyFill="1"/>
    <xf numFmtId="166" fontId="0" fillId="8" borderId="0" xfId="0" applyNumberFormat="1" applyFill="1"/>
    <xf numFmtId="0" fontId="0" fillId="8" borderId="0" xfId="0" applyFill="1"/>
    <xf numFmtId="0" fontId="9" fillId="8" borderId="0" xfId="0" applyFont="1" applyFill="1"/>
    <xf numFmtId="0" fontId="0" fillId="9" borderId="0" xfId="0" applyFill="1"/>
    <xf numFmtId="0" fontId="0" fillId="10" borderId="0" xfId="0" applyFill="1"/>
    <xf numFmtId="0" fontId="6" fillId="2" borderId="0" xfId="0" applyFont="1" applyFill="1"/>
    <xf numFmtId="0" fontId="12" fillId="2" borderId="0" xfId="0" applyFont="1" applyFill="1"/>
    <xf numFmtId="166" fontId="0" fillId="7" borderId="1" xfId="0" applyNumberFormat="1" applyFill="1" applyBorder="1"/>
    <xf numFmtId="166" fontId="0" fillId="11" borderId="0" xfId="0" applyNumberFormat="1" applyFill="1"/>
    <xf numFmtId="166" fontId="0" fillId="0" borderId="0" xfId="0" quotePrefix="1" applyNumberFormat="1"/>
    <xf numFmtId="0" fontId="0" fillId="11" borderId="0" xfId="0" applyFill="1"/>
    <xf numFmtId="167" fontId="0" fillId="0" borderId="0" xfId="0" applyNumberFormat="1"/>
    <xf numFmtId="43" fontId="0" fillId="0" borderId="0" xfId="0" applyNumberFormat="1"/>
    <xf numFmtId="0" fontId="7" fillId="0" borderId="0" xfId="3" applyFont="1" applyProtection="1">
      <protection locked="0"/>
    </xf>
    <xf numFmtId="44" fontId="0" fillId="0" borderId="0" xfId="0" applyNumberFormat="1"/>
    <xf numFmtId="164" fontId="17" fillId="0" borderId="0" xfId="0" applyNumberFormat="1" applyFont="1"/>
    <xf numFmtId="166" fontId="0" fillId="7" borderId="0" xfId="0" applyNumberFormat="1" applyFill="1"/>
    <xf numFmtId="0" fontId="18" fillId="0" borderId="0" xfId="0" applyFont="1"/>
    <xf numFmtId="0" fontId="0" fillId="12" borderId="0" xfId="0" applyFill="1"/>
    <xf numFmtId="164" fontId="0" fillId="12" borderId="0" xfId="0" applyNumberFormat="1" applyFill="1"/>
    <xf numFmtId="166" fontId="0" fillId="12" borderId="0" xfId="0" applyNumberFormat="1" applyFill="1"/>
    <xf numFmtId="166" fontId="0" fillId="13" borderId="0" xfId="0" applyNumberFormat="1" applyFill="1"/>
    <xf numFmtId="0" fontId="0" fillId="13" borderId="0" xfId="0" applyFill="1"/>
    <xf numFmtId="43" fontId="0" fillId="13" borderId="0" xfId="0" applyNumberFormat="1" applyFill="1"/>
    <xf numFmtId="43" fontId="0" fillId="12" borderId="0" xfId="0" applyNumberFormat="1" applyFill="1"/>
    <xf numFmtId="44" fontId="0" fillId="12" borderId="0" xfId="0" applyNumberFormat="1" applyFill="1"/>
    <xf numFmtId="0" fontId="19" fillId="0" borderId="0" xfId="0" applyFont="1"/>
    <xf numFmtId="164" fontId="0" fillId="13" borderId="0" xfId="0" applyNumberFormat="1" applyFill="1"/>
    <xf numFmtId="10" fontId="0" fillId="13" borderId="0" xfId="0" applyNumberFormat="1" applyFill="1"/>
    <xf numFmtId="166" fontId="20" fillId="7" borderId="0" xfId="0" applyNumberFormat="1" applyFont="1" applyFill="1"/>
    <xf numFmtId="10" fontId="0" fillId="0" borderId="0" xfId="0" applyNumberFormat="1" applyAlignment="1">
      <alignment wrapText="1"/>
    </xf>
    <xf numFmtId="0" fontId="5" fillId="0" borderId="0" xfId="1" applyFont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1" fillId="0" borderId="3" xfId="1" applyFont="1" applyBorder="1" applyAlignment="1">
      <alignment horizontal="center" vertical="top" wrapText="1"/>
    </xf>
  </cellXfs>
  <cellStyles count="6">
    <cellStyle name="Migliaia (0)_C.E.  Confronto GIU 95_94" xfId="2" xr:uid="{5C195D46-F1C6-4F16-A696-423D31191390}"/>
    <cellStyle name="Migliaia [0] 2" xfId="5" xr:uid="{E6CFAB2D-9DE6-4A91-9502-23775FD717E4}"/>
    <cellStyle name="Normal" xfId="0" builtinId="0"/>
    <cellStyle name="Normale 2" xfId="1" xr:uid="{F466861F-ECC4-4B9D-BED7-93CFC2A7B44A}"/>
    <cellStyle name="Normale_Operazioni finanziarie" xfId="3" xr:uid="{F2F086AE-07BB-4A10-87B5-A5801D092D8B}"/>
    <cellStyle name="Per 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1</xdr:row>
      <xdr:rowOff>180975</xdr:rowOff>
    </xdr:from>
    <xdr:to>
      <xdr:col>6</xdr:col>
      <xdr:colOff>1895475</xdr:colOff>
      <xdr:row>4</xdr:row>
      <xdr:rowOff>66675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5B3D0D29-4331-AA38-9E96-E5160DCC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371475"/>
          <a:ext cx="230505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</xdr:row>
      <xdr:rowOff>85725</xdr:rowOff>
    </xdr:from>
    <xdr:to>
      <xdr:col>8</xdr:col>
      <xdr:colOff>104775</xdr:colOff>
      <xdr:row>4</xdr:row>
      <xdr:rowOff>66675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0AD156D0-2BDF-4AEF-37E7-D99D59F5A212}"/>
            </a:ext>
            <a:ext uri="{147F2762-F138-4A5C-976F-8EAC2B608ADB}">
              <a16:predDERef xmlns:a16="http://schemas.microsoft.com/office/drawing/2014/main" pred="{5B3D0D29-4331-AA38-9E96-E5160DCC1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50" y="276225"/>
          <a:ext cx="2295525" cy="5524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i365-my.sharepoint.com/personal/kleibj_usi_ch/Documents/BancoBPM.xlsx" TargetMode="External"/><Relationship Id="rId1" Type="http://schemas.openxmlformats.org/officeDocument/2006/relationships/externalLinkPath" Target="BancoBP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ziG49KP7eUqEs8MFWJkiR-IkReQBjhZKvlJ8Ih2AhgE2NacHAmRRSplQW1mLkIeP" itemId="01LOX4PHTXKCV2YMFARBFJRB3D2HQD3MIZ">
      <xxl21:absoluteUrl r:id="rId2"/>
    </xxl21:alternateUrls>
    <sheetNames>
      <sheetName val="BancoBPM_BalanceSheet (2)"/>
      <sheetName val="BancoBPM_BalanceSheet"/>
      <sheetName val="BancoBPM_IncomeStatement"/>
    </sheetNames>
    <sheetDataSet>
      <sheetData sheetId="0"/>
      <sheetData sheetId="1">
        <row r="18">
          <cell r="B18">
            <v>202131973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53F6CCC-9C0D-44E7-84B1-7B8F8AF57E11}">
  <we:reference id="WA104379190" version="2.0.0.0" store="it-IT" storeType="omex"/>
  <we:alternateReferences>
    <we:reference id="WA104379190" version="2.0.0.0" store="it-IT" storeType="omex"/>
  </we:alternateReferences>
  <we:properties/>
  <we:bindings>
    <we:binding id="RangeSelect" type="matrix" appref="{A27FF18A-B288-44B6-B687-6BAAE36D764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9DBF32DA-E99F-4159-B541-2FBCD6A627DD}">
  <we:reference id="WA104100404" version="3.0.0.1" store="it-IT" storeType="omex"/>
  <we:alternateReferences>
    <we:reference id="WA104100404" version="3.0.0.1" store="it-IT" storeType="omex"/>
  </we:alternateReferences>
  <we:properties>
    <we:property name="UniqueID" value="&quot;2025321743600736895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A135-87E2-4A3E-B116-066ADF71D4C6}">
  <dimension ref="A1:I31"/>
  <sheetViews>
    <sheetView workbookViewId="0">
      <selection activeCell="H26" sqref="H26"/>
    </sheetView>
  </sheetViews>
  <sheetFormatPr defaultRowHeight="15"/>
  <cols>
    <col min="1" max="1" width="54.5703125" bestFit="1" customWidth="1"/>
    <col min="2" max="2" width="20.28515625" customWidth="1"/>
    <col min="3" max="4" width="9" bestFit="1" customWidth="1"/>
    <col min="5" max="6" width="12.7109375" bestFit="1" customWidth="1"/>
    <col min="8" max="8" width="13.28515625" style="25" bestFit="1" customWidth="1"/>
    <col min="9" max="9" width="20.42578125" style="25" bestFit="1" customWidth="1"/>
  </cols>
  <sheetData>
    <row r="1" spans="1:9">
      <c r="A1" s="90" t="s">
        <v>0</v>
      </c>
      <c r="B1" s="90"/>
      <c r="C1" s="90"/>
      <c r="D1" s="90"/>
      <c r="H1" s="21"/>
    </row>
    <row r="2" spans="1:9">
      <c r="A2" s="9" t="s">
        <v>1</v>
      </c>
      <c r="B2" s="10" t="s">
        <v>2</v>
      </c>
      <c r="C2" s="14" t="s">
        <v>3</v>
      </c>
      <c r="D2" s="15" t="s">
        <v>4</v>
      </c>
      <c r="H2" s="22" t="s">
        <v>2</v>
      </c>
    </row>
    <row r="3" spans="1:9">
      <c r="A3" s="4" t="s">
        <v>5</v>
      </c>
      <c r="B3" s="5">
        <v>61000</v>
      </c>
      <c r="C3" s="4"/>
      <c r="D3" s="4"/>
      <c r="H3" s="23">
        <v>61000</v>
      </c>
      <c r="I3" s="25">
        <f>H3*1000000</f>
        <v>61000000000</v>
      </c>
    </row>
    <row r="4" spans="1:9">
      <c r="A4" s="4" t="s">
        <v>6</v>
      </c>
      <c r="B4" s="5">
        <v>57274</v>
      </c>
      <c r="C4" s="6">
        <v>1.2</v>
      </c>
      <c r="D4" s="7">
        <v>3.6499999999999998E-2</v>
      </c>
      <c r="H4" s="23">
        <v>57274</v>
      </c>
      <c r="I4" s="25">
        <f>H4*1000000</f>
        <v>57274000000</v>
      </c>
    </row>
    <row r="5" spans="1:9">
      <c r="A5" s="4" t="s">
        <v>7</v>
      </c>
      <c r="B5" s="5">
        <v>39434</v>
      </c>
      <c r="C5" s="6">
        <v>0.2</v>
      </c>
      <c r="D5" s="7">
        <v>4.0000000000000001E-3</v>
      </c>
      <c r="H5" s="23">
        <v>39434</v>
      </c>
      <c r="I5" s="25">
        <f>H5*1000000</f>
        <v>39434000000</v>
      </c>
    </row>
    <row r="6" spans="1:9">
      <c r="A6" s="4" t="s">
        <v>8</v>
      </c>
      <c r="B6" s="5">
        <v>429452</v>
      </c>
      <c r="C6" s="6">
        <v>14.55</v>
      </c>
      <c r="D6" s="7">
        <v>6.3500000000000001E-2</v>
      </c>
      <c r="H6" s="23">
        <v>429452</v>
      </c>
      <c r="I6" s="25">
        <f>H6*1000000</f>
        <v>429452000000</v>
      </c>
    </row>
    <row r="7" spans="1:9">
      <c r="A7" s="4" t="s">
        <v>9</v>
      </c>
      <c r="B7" s="5">
        <v>162953</v>
      </c>
      <c r="C7" s="6">
        <v>0.02</v>
      </c>
      <c r="D7" s="7">
        <v>3.0000000000000001E-3</v>
      </c>
      <c r="H7" s="23">
        <v>162953</v>
      </c>
      <c r="I7" s="25">
        <f>H7*1000000</f>
        <v>162953000000</v>
      </c>
    </row>
    <row r="8" spans="1:9">
      <c r="A8" s="4" t="s">
        <v>10</v>
      </c>
      <c r="B8" s="5">
        <v>-1340</v>
      </c>
      <c r="C8" s="6"/>
      <c r="D8" s="7"/>
      <c r="H8" s="23">
        <v>-1340</v>
      </c>
      <c r="I8" s="25">
        <f>H8*1000000</f>
        <v>-1340000000</v>
      </c>
    </row>
    <row r="9" spans="1:9">
      <c r="A9" s="4" t="s">
        <v>11</v>
      </c>
      <c r="B9" s="5">
        <v>8628</v>
      </c>
      <c r="C9" s="6"/>
      <c r="D9" s="7"/>
      <c r="H9" s="23">
        <v>8628</v>
      </c>
      <c r="I9" s="25">
        <f>H9*1000000</f>
        <v>8628000000</v>
      </c>
    </row>
    <row r="10" spans="1:9">
      <c r="A10" s="4" t="s">
        <v>12</v>
      </c>
      <c r="B10" s="5"/>
      <c r="C10" s="4"/>
      <c r="D10" s="4"/>
      <c r="H10" s="23"/>
      <c r="I10" s="25">
        <f>H10*1000000</f>
        <v>0</v>
      </c>
    </row>
    <row r="11" spans="1:9">
      <c r="A11" s="4" t="s">
        <v>13</v>
      </c>
      <c r="B11" s="5">
        <v>2272</v>
      </c>
      <c r="C11" s="8"/>
      <c r="D11" s="8"/>
      <c r="H11" s="23">
        <v>2272</v>
      </c>
      <c r="I11" s="25">
        <f>H11*1000000</f>
        <v>2272000000</v>
      </c>
    </row>
    <row r="12" spans="1:9">
      <c r="A12" s="4" t="s">
        <v>14</v>
      </c>
      <c r="B12" s="5">
        <v>11818</v>
      </c>
      <c r="C12" s="8"/>
      <c r="D12" s="8"/>
      <c r="H12" s="23">
        <v>11818</v>
      </c>
      <c r="I12" s="25">
        <f>H12*1000000</f>
        <v>11818000000</v>
      </c>
    </row>
    <row r="13" spans="1:9">
      <c r="A13" s="4" t="s">
        <v>15</v>
      </c>
      <c r="B13" s="5">
        <v>370</v>
      </c>
      <c r="C13" s="8"/>
      <c r="D13" s="8"/>
      <c r="H13" s="23">
        <v>370</v>
      </c>
      <c r="I13" s="25">
        <f>H13*1000000</f>
        <v>370000000</v>
      </c>
    </row>
    <row r="14" spans="1:9">
      <c r="A14" s="4" t="s">
        <v>16</v>
      </c>
      <c r="B14" s="5">
        <v>13112</v>
      </c>
      <c r="C14" s="6">
        <v>0.3</v>
      </c>
      <c r="D14" s="7">
        <v>8.5000000000000006E-3</v>
      </c>
      <c r="H14" s="23">
        <v>13112</v>
      </c>
      <c r="I14" s="25">
        <f>H14*1000000</f>
        <v>13112000000</v>
      </c>
    </row>
    <row r="15" spans="1:9">
      <c r="A15" s="9" t="s">
        <v>17</v>
      </c>
      <c r="B15" s="10">
        <v>784973</v>
      </c>
      <c r="C15" s="11"/>
      <c r="D15" s="12"/>
      <c r="E15" s="1"/>
      <c r="F15" s="1"/>
      <c r="H15" s="22">
        <v>784973</v>
      </c>
      <c r="I15" s="25">
        <f>H15*1000000</f>
        <v>784973000000</v>
      </c>
    </row>
    <row r="16" spans="1:9">
      <c r="A16" s="4" t="s">
        <v>18</v>
      </c>
      <c r="B16" s="5">
        <v>71042</v>
      </c>
      <c r="C16" s="6">
        <v>0.25</v>
      </c>
      <c r="D16" s="7">
        <v>4.0000000000000001E-3</v>
      </c>
      <c r="H16" s="23">
        <v>71042</v>
      </c>
      <c r="I16" s="25">
        <f>H16*1000000</f>
        <v>71042000000</v>
      </c>
    </row>
    <row r="17" spans="1:9">
      <c r="A17" s="4" t="s">
        <v>19</v>
      </c>
      <c r="B17" s="5">
        <v>495716</v>
      </c>
      <c r="C17" s="6">
        <v>1.1000000000000001</v>
      </c>
      <c r="D17" s="7">
        <v>3.5000000000000001E-3</v>
      </c>
      <c r="H17" s="23">
        <v>495716</v>
      </c>
      <c r="I17" s="25">
        <f>H17*1000000</f>
        <v>495716000000</v>
      </c>
    </row>
    <row r="18" spans="1:9">
      <c r="A18" s="4" t="s">
        <v>20</v>
      </c>
      <c r="B18" s="5">
        <v>89845</v>
      </c>
      <c r="C18" s="6">
        <v>0.04</v>
      </c>
      <c r="D18" s="7">
        <v>1.5E-3</v>
      </c>
      <c r="H18" s="23">
        <v>89845</v>
      </c>
      <c r="I18" s="25">
        <f>H18*1000000</f>
        <v>89845000000</v>
      </c>
    </row>
    <row r="19" spans="1:9">
      <c r="A19" s="4" t="s">
        <v>21</v>
      </c>
      <c r="B19" s="5">
        <v>38022</v>
      </c>
      <c r="C19" s="6">
        <v>1.65</v>
      </c>
      <c r="D19" s="7">
        <v>2.5000000000000001E-2</v>
      </c>
      <c r="H19" s="23">
        <v>38022</v>
      </c>
      <c r="I19" s="25">
        <f>H19*1000000</f>
        <v>38022000000</v>
      </c>
    </row>
    <row r="20" spans="1:9">
      <c r="A20" s="4" t="s">
        <v>22</v>
      </c>
      <c r="B20" s="5">
        <v>13751</v>
      </c>
      <c r="C20" s="6">
        <v>1.5</v>
      </c>
      <c r="D20" s="7">
        <v>3.2500000000000001E-2</v>
      </c>
      <c r="H20" s="23">
        <v>13751</v>
      </c>
      <c r="I20" s="25">
        <f>H20*1000000</f>
        <v>13751000000</v>
      </c>
    </row>
    <row r="21" spans="1:9">
      <c r="A21" s="4" t="s">
        <v>10</v>
      </c>
      <c r="B21" s="5">
        <v>-10573</v>
      </c>
      <c r="C21" s="6"/>
      <c r="D21" s="7"/>
      <c r="H21" s="23">
        <v>-10573</v>
      </c>
      <c r="I21" s="25">
        <f>H21*1000000</f>
        <v>-10573000000</v>
      </c>
    </row>
    <row r="22" spans="1:9">
      <c r="A22" s="4" t="s">
        <v>23</v>
      </c>
      <c r="B22" s="5">
        <v>1483</v>
      </c>
      <c r="C22" s="6"/>
      <c r="D22" s="7"/>
      <c r="H22" s="23">
        <v>1483</v>
      </c>
      <c r="I22" s="25">
        <f>H22*1000000</f>
        <v>1483000000</v>
      </c>
    </row>
    <row r="23" spans="1:9">
      <c r="A23" s="4" t="s">
        <v>24</v>
      </c>
      <c r="B23" s="5"/>
      <c r="C23" s="6"/>
      <c r="D23" s="7"/>
      <c r="H23" s="23"/>
      <c r="I23" s="25">
        <f>H23*1000000</f>
        <v>0</v>
      </c>
    </row>
    <row r="24" spans="1:9">
      <c r="A24" s="4" t="s">
        <v>25</v>
      </c>
      <c r="B24" s="5">
        <v>21445</v>
      </c>
      <c r="C24" s="6">
        <v>6.4</v>
      </c>
      <c r="D24" s="7">
        <v>3.3500000000000002E-2</v>
      </c>
      <c r="H24" s="23">
        <v>21445</v>
      </c>
      <c r="I24" s="25">
        <f>H24*1000000</f>
        <v>21445000000</v>
      </c>
    </row>
    <row r="25" spans="1:9">
      <c r="A25" s="4" t="s">
        <v>26</v>
      </c>
      <c r="B25" s="5">
        <v>164</v>
      </c>
      <c r="C25" s="4"/>
      <c r="D25" s="4"/>
      <c r="H25" s="23">
        <v>164</v>
      </c>
      <c r="I25" s="25">
        <f>H25*1000000</f>
        <v>164000000</v>
      </c>
    </row>
    <row r="26" spans="1:9">
      <c r="A26" s="4" t="s">
        <v>27</v>
      </c>
      <c r="B26" s="20">
        <v>54572</v>
      </c>
      <c r="C26" s="4"/>
      <c r="D26" s="4"/>
      <c r="H26" s="24">
        <v>54572</v>
      </c>
      <c r="I26" s="25">
        <f>H26*1000000</f>
        <v>54572000000</v>
      </c>
    </row>
    <row r="27" spans="1:9">
      <c r="A27" s="4" t="s">
        <v>28</v>
      </c>
      <c r="B27" s="5">
        <v>9506</v>
      </c>
      <c r="C27" s="4"/>
      <c r="D27" s="4"/>
      <c r="F27" s="1"/>
      <c r="H27" s="23">
        <v>9506</v>
      </c>
      <c r="I27" s="25">
        <f>H27*1000000</f>
        <v>9506000000</v>
      </c>
    </row>
    <row r="28" spans="1:9">
      <c r="A28" s="9" t="s">
        <v>29</v>
      </c>
      <c r="B28" s="10">
        <v>784973</v>
      </c>
      <c r="C28" s="13"/>
      <c r="D28" s="13"/>
      <c r="E28" s="1"/>
      <c r="F28" s="1"/>
      <c r="H28" s="22">
        <v>784973</v>
      </c>
      <c r="I28" s="25">
        <f>H28*1000000</f>
        <v>784973000000</v>
      </c>
    </row>
    <row r="29" spans="1:9">
      <c r="F29" s="1"/>
    </row>
    <row r="31" spans="1:9">
      <c r="A31" t="s">
        <v>30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selection activeCell="N32" sqref="N32"/>
    </sheetView>
  </sheetViews>
  <sheetFormatPr defaultRowHeight="14.45"/>
  <cols>
    <col min="1" max="1" width="54.5703125" bestFit="1" customWidth="1"/>
    <col min="2" max="2" width="13.85546875" bestFit="1" customWidth="1"/>
    <col min="3" max="4" width="9" bestFit="1" customWidth="1"/>
    <col min="5" max="6" width="12.7109375" bestFit="1" customWidth="1"/>
    <col min="7" max="7" width="32.5703125" style="25" customWidth="1"/>
    <col min="8" max="8" width="30.7109375" style="25" customWidth="1"/>
    <col min="9" max="9" width="17.28515625" customWidth="1"/>
    <col min="10" max="10" width="32.5703125" customWidth="1"/>
    <col min="11" max="11" width="20.5703125" customWidth="1"/>
    <col min="12" max="12" width="48.7109375" customWidth="1"/>
    <col min="13" max="13" width="17.85546875" customWidth="1"/>
  </cols>
  <sheetData>
    <row r="1" spans="1:13" ht="15">
      <c r="A1" s="90" t="s">
        <v>0</v>
      </c>
      <c r="B1" s="90"/>
      <c r="C1" s="90"/>
      <c r="D1" s="90"/>
    </row>
    <row r="2" spans="1:13" ht="15">
      <c r="A2" s="9" t="s">
        <v>1</v>
      </c>
      <c r="B2" s="10" t="s">
        <v>2</v>
      </c>
      <c r="C2" s="14" t="s">
        <v>3</v>
      </c>
      <c r="D2" s="15" t="s">
        <v>4</v>
      </c>
    </row>
    <row r="3" spans="1:13" ht="15">
      <c r="A3" s="4" t="s">
        <v>5</v>
      </c>
      <c r="B3" s="5">
        <v>61000</v>
      </c>
      <c r="C3" s="4"/>
      <c r="D3" s="4"/>
    </row>
    <row r="4" spans="1:13" ht="15">
      <c r="A4" s="4" t="s">
        <v>6</v>
      </c>
      <c r="B4" s="5">
        <v>57274</v>
      </c>
      <c r="C4" s="6">
        <v>1.2</v>
      </c>
      <c r="D4" s="7">
        <v>3.6499999999999998E-2</v>
      </c>
      <c r="F4" s="1"/>
    </row>
    <row r="5" spans="1:13" ht="15">
      <c r="A5" s="4" t="s">
        <v>7</v>
      </c>
      <c r="B5" s="5">
        <v>39434</v>
      </c>
      <c r="C5" s="6">
        <v>0.2</v>
      </c>
      <c r="D5" s="7">
        <v>4.0000000000000001E-3</v>
      </c>
    </row>
    <row r="6" spans="1:13" ht="15">
      <c r="A6" s="4" t="s">
        <v>8</v>
      </c>
      <c r="B6" s="5">
        <v>429452</v>
      </c>
      <c r="C6" s="6">
        <v>14.55</v>
      </c>
      <c r="D6" s="7">
        <v>6.3500000000000001E-2</v>
      </c>
      <c r="H6" s="59" t="s">
        <v>31</v>
      </c>
      <c r="I6" s="60" t="s">
        <v>32</v>
      </c>
      <c r="J6" s="61" t="s">
        <v>33</v>
      </c>
      <c r="K6" s="60" t="s">
        <v>34</v>
      </c>
    </row>
    <row r="7" spans="1:13" ht="15">
      <c r="A7" s="4" t="s">
        <v>9</v>
      </c>
      <c r="B7" s="5">
        <v>162953</v>
      </c>
      <c r="C7" s="6">
        <v>0.02</v>
      </c>
      <c r="D7" s="7">
        <v>3.0000000000000001E-3</v>
      </c>
      <c r="I7" s="28">
        <f xml:space="preserve"> B5+B6</f>
        <v>468886</v>
      </c>
      <c r="J7">
        <f xml:space="preserve"> I7 * 0.06</f>
        <v>28133.16</v>
      </c>
      <c r="K7" s="1">
        <f>B26 - J7</f>
        <v>26438.84</v>
      </c>
    </row>
    <row r="8" spans="1:13" ht="15">
      <c r="A8" s="4" t="s">
        <v>10</v>
      </c>
      <c r="B8" s="5">
        <v>-1340</v>
      </c>
      <c r="C8" s="6"/>
      <c r="D8" s="7"/>
    </row>
    <row r="9" spans="1:13" ht="15">
      <c r="A9" s="4" t="s">
        <v>11</v>
      </c>
      <c r="B9" s="5">
        <v>8628</v>
      </c>
      <c r="C9" s="6"/>
      <c r="D9" s="7"/>
    </row>
    <row r="10" spans="1:13" ht="15">
      <c r="A10" s="4" t="s">
        <v>12</v>
      </c>
      <c r="B10" s="5"/>
      <c r="C10" s="4"/>
      <c r="D10" s="4"/>
    </row>
    <row r="11" spans="1:13" ht="15">
      <c r="A11" s="4" t="s">
        <v>13</v>
      </c>
      <c r="B11" s="5">
        <v>2272</v>
      </c>
      <c r="C11" s="8"/>
      <c r="D11" s="8"/>
    </row>
    <row r="12" spans="1:13" ht="15">
      <c r="A12" s="4" t="s">
        <v>14</v>
      </c>
      <c r="B12" s="5">
        <v>11818</v>
      </c>
      <c r="C12" s="8"/>
      <c r="D12" s="8"/>
    </row>
    <row r="13" spans="1:13" ht="15">
      <c r="A13" s="4" t="s">
        <v>15</v>
      </c>
      <c r="B13" s="5">
        <v>370</v>
      </c>
      <c r="C13" s="8"/>
      <c r="D13" s="8"/>
      <c r="J13" s="1"/>
    </row>
    <row r="14" spans="1:13" ht="15">
      <c r="A14" s="4" t="s">
        <v>16</v>
      </c>
      <c r="B14" s="5">
        <v>13112</v>
      </c>
      <c r="C14" s="6">
        <v>0.3</v>
      </c>
      <c r="D14" s="7">
        <v>8.5000000000000006E-3</v>
      </c>
      <c r="L14" t="s">
        <v>35</v>
      </c>
    </row>
    <row r="15" spans="1:13" ht="15">
      <c r="A15" s="9" t="s">
        <v>17</v>
      </c>
      <c r="B15" s="10">
        <v>784973</v>
      </c>
      <c r="C15" s="11"/>
      <c r="D15" s="12"/>
      <c r="E15" s="1"/>
      <c r="F15" s="1"/>
      <c r="G15" s="67" t="s">
        <v>36</v>
      </c>
      <c r="H15" s="67" t="s">
        <v>37</v>
      </c>
      <c r="I15" s="69" t="s">
        <v>3</v>
      </c>
      <c r="J15" s="69" t="s">
        <v>4</v>
      </c>
      <c r="K15" s="69" t="s">
        <v>38</v>
      </c>
      <c r="L15" t="s">
        <v>39</v>
      </c>
      <c r="M15" s="69"/>
    </row>
    <row r="16" spans="1:13" ht="15">
      <c r="A16" s="4" t="s">
        <v>18</v>
      </c>
      <c r="B16" s="5">
        <v>71042</v>
      </c>
      <c r="C16" s="6">
        <v>0.25</v>
      </c>
      <c r="D16" s="7">
        <v>4.0000000000000001E-3</v>
      </c>
      <c r="G16" s="4" t="s">
        <v>6</v>
      </c>
      <c r="H16" s="5">
        <v>57274</v>
      </c>
      <c r="I16" s="6">
        <v>1.2</v>
      </c>
      <c r="J16" s="72">
        <v>3.6499999999999998E-2</v>
      </c>
      <c r="K16" s="70">
        <f>H16/H21</f>
        <v>8.1560753319804905E-2</v>
      </c>
      <c r="L16" s="25">
        <f>-(I16*H16*$M$32)/(J16+1)</f>
        <v>165.77134587554269</v>
      </c>
    </row>
    <row r="17" spans="1:15" ht="15">
      <c r="A17" s="4" t="s">
        <v>19</v>
      </c>
      <c r="B17" s="5">
        <v>495716</v>
      </c>
      <c r="C17" s="6">
        <v>1.1000000000000001</v>
      </c>
      <c r="D17" s="7">
        <v>3.5000000000000001E-3</v>
      </c>
      <c r="G17" s="4" t="s">
        <v>7</v>
      </c>
      <c r="H17" s="5">
        <v>39434</v>
      </c>
      <c r="I17" s="6">
        <v>0.2</v>
      </c>
      <c r="J17" s="72">
        <v>4.0000000000000001E-3</v>
      </c>
      <c r="K17" s="70">
        <f>H17/H21</f>
        <v>5.6155790522980524E-2</v>
      </c>
      <c r="L17" s="25">
        <f>-(I17*H17*$M$32)/(J17+1)</f>
        <v>19.638446215139446</v>
      </c>
    </row>
    <row r="18" spans="1:15" ht="15">
      <c r="A18" s="4" t="s">
        <v>20</v>
      </c>
      <c r="B18" s="5">
        <v>89845</v>
      </c>
      <c r="C18" s="6">
        <v>0.04</v>
      </c>
      <c r="D18" s="7">
        <v>1.5E-3</v>
      </c>
      <c r="G18" s="4" t="s">
        <v>8</v>
      </c>
      <c r="H18" s="5">
        <v>429452</v>
      </c>
      <c r="I18" s="6">
        <v>14.55</v>
      </c>
      <c r="J18" s="72">
        <v>6.3500000000000001E-2</v>
      </c>
      <c r="K18" s="70">
        <f>H18/H21</f>
        <v>0.61155897326355513</v>
      </c>
      <c r="L18" s="25">
        <f>-(I18*H18*$M$32)/(J18+1)</f>
        <v>14688.590973201695</v>
      </c>
    </row>
    <row r="19" spans="1:15" ht="15">
      <c r="A19" s="4" t="s">
        <v>21</v>
      </c>
      <c r="B19" s="5">
        <v>38022</v>
      </c>
      <c r="C19" s="6">
        <v>1.65</v>
      </c>
      <c r="D19" s="7">
        <v>2.5000000000000001E-2</v>
      </c>
      <c r="G19" s="4" t="s">
        <v>9</v>
      </c>
      <c r="H19" s="5">
        <v>162953</v>
      </c>
      <c r="I19" s="6">
        <v>0.02</v>
      </c>
      <c r="J19" s="72">
        <v>3.0000000000000001E-3</v>
      </c>
      <c r="K19" s="70">
        <f>H19/H21</f>
        <v>0.23205240485599346</v>
      </c>
      <c r="L19" s="25">
        <f>-(I19*H19*$M$32)/(J19+1)</f>
        <v>8.1232801595214372</v>
      </c>
    </row>
    <row r="20" spans="1:15" ht="15">
      <c r="A20" s="4" t="s">
        <v>22</v>
      </c>
      <c r="B20" s="5">
        <v>13751</v>
      </c>
      <c r="C20" s="6">
        <v>1.5</v>
      </c>
      <c r="D20" s="7">
        <v>3.2500000000000001E-2</v>
      </c>
      <c r="G20" s="4" t="s">
        <v>16</v>
      </c>
      <c r="H20" s="5">
        <v>13112</v>
      </c>
      <c r="I20" s="6">
        <v>0.3</v>
      </c>
      <c r="J20" s="72">
        <v>8.5000000000000006E-3</v>
      </c>
      <c r="K20" s="70">
        <f>H20/H21</f>
        <v>1.867207803766599E-2</v>
      </c>
      <c r="L20" s="25">
        <f>-(I20*H20*$M$32)/(J20+1)</f>
        <v>9.7511155180961833</v>
      </c>
      <c r="N20" s="69" t="s">
        <v>40</v>
      </c>
    </row>
    <row r="21" spans="1:15" ht="15">
      <c r="A21" s="4" t="s">
        <v>10</v>
      </c>
      <c r="B21" s="5">
        <v>-10573</v>
      </c>
      <c r="C21" s="6"/>
      <c r="D21" s="7"/>
      <c r="G21" s="80" t="s">
        <v>41</v>
      </c>
      <c r="H21" s="80">
        <f>SUM(H16:H20)</f>
        <v>702225</v>
      </c>
      <c r="I21" s="81"/>
      <c r="J21" s="81"/>
      <c r="K21" s="82">
        <f>SUM(K16:K20)</f>
        <v>1</v>
      </c>
      <c r="L21" s="80">
        <f>SUM(L16:L20)</f>
        <v>14891.875160969996</v>
      </c>
      <c r="N21" s="70" cm="1">
        <f t="array" ref="N21">SUM(K16:K20*I16:I20)</f>
        <v>9.0175297945815096</v>
      </c>
      <c r="O21" t="s">
        <v>42</v>
      </c>
    </row>
    <row r="22" spans="1:15" ht="15">
      <c r="A22" s="4" t="s">
        <v>23</v>
      </c>
      <c r="B22" s="5">
        <v>1483</v>
      </c>
      <c r="C22" s="6"/>
      <c r="D22" s="7"/>
      <c r="G22" s="4" t="s">
        <v>18</v>
      </c>
      <c r="H22" s="5">
        <v>71042</v>
      </c>
      <c r="I22" s="6">
        <v>0.25</v>
      </c>
      <c r="J22" s="72">
        <v>4.0000000000000001E-3</v>
      </c>
      <c r="K22" s="71">
        <f>H22/H28</f>
        <v>9.7341676931740798E-2</v>
      </c>
      <c r="L22" s="73">
        <f>-(H22*I22*$M$33)/(J22+1)</f>
        <v>26.53461155378486</v>
      </c>
    </row>
    <row r="23" spans="1:15" ht="15">
      <c r="A23" s="4" t="s">
        <v>24</v>
      </c>
      <c r="B23" s="5"/>
      <c r="C23" s="6"/>
      <c r="D23" s="7"/>
      <c r="G23" s="4" t="s">
        <v>19</v>
      </c>
      <c r="H23" s="5">
        <v>495716</v>
      </c>
      <c r="I23" s="6">
        <v>1.1000000000000001</v>
      </c>
      <c r="J23" s="72">
        <v>3.5000000000000001E-3</v>
      </c>
      <c r="K23" s="71">
        <f>H23/H28</f>
        <v>0.67922956450965377</v>
      </c>
      <c r="L23" s="73">
        <f>-(H23*I23*$M$33)/(J23+1)</f>
        <v>815.07862481315408</v>
      </c>
    </row>
    <row r="24" spans="1:15" ht="15">
      <c r="A24" s="4" t="s">
        <v>25</v>
      </c>
      <c r="B24" s="5">
        <v>21445</v>
      </c>
      <c r="C24" s="6">
        <v>6.4</v>
      </c>
      <c r="D24" s="7">
        <v>3.3500000000000002E-2</v>
      </c>
      <c r="G24" s="4" t="s">
        <v>20</v>
      </c>
      <c r="H24" s="5">
        <v>89845</v>
      </c>
      <c r="I24" s="6">
        <v>0.04</v>
      </c>
      <c r="J24" s="72">
        <v>1.5E-3</v>
      </c>
      <c r="K24" s="71">
        <f>H24/H28</f>
        <v>0.12310552861592089</v>
      </c>
      <c r="L24" s="73">
        <f>-(H24*I24*$M$33)/(J24+1)</f>
        <v>5.3826260609086374</v>
      </c>
    </row>
    <row r="25" spans="1:15" ht="15">
      <c r="A25" s="4" t="s">
        <v>26</v>
      </c>
      <c r="B25" s="5">
        <v>164</v>
      </c>
      <c r="C25" s="4"/>
      <c r="D25" s="4"/>
      <c r="G25" s="4" t="s">
        <v>21</v>
      </c>
      <c r="H25" s="5">
        <v>38022</v>
      </c>
      <c r="I25" s="6">
        <v>1.65</v>
      </c>
      <c r="J25" s="72">
        <v>2.5000000000000001E-2</v>
      </c>
      <c r="K25" s="71">
        <f>H25/H28</f>
        <v>5.2097706149864142E-2</v>
      </c>
      <c r="L25" s="73">
        <f>-(H25*I25*$M$33)/(J25+1)</f>
        <v>91.809219512195128</v>
      </c>
    </row>
    <row r="26" spans="1:15" ht="15">
      <c r="A26" s="4" t="s">
        <v>27</v>
      </c>
      <c r="B26" s="20">
        <v>54572</v>
      </c>
      <c r="C26" s="64"/>
      <c r="D26" s="4"/>
      <c r="G26" s="4" t="s">
        <v>22</v>
      </c>
      <c r="H26" s="5">
        <v>13751</v>
      </c>
      <c r="I26" s="6">
        <v>1.5</v>
      </c>
      <c r="J26" s="72">
        <v>3.2500000000000001E-2</v>
      </c>
      <c r="K26" s="71">
        <f>H26/H28</f>
        <v>1.8841606366492607E-2</v>
      </c>
      <c r="L26" s="73">
        <f>-(H26*I26*$M$33)/(J26+1)</f>
        <v>29.965859564164649</v>
      </c>
    </row>
    <row r="27" spans="1:15" ht="15">
      <c r="A27" s="4" t="s">
        <v>28</v>
      </c>
      <c r="B27" s="5">
        <v>9506</v>
      </c>
      <c r="C27" s="4"/>
      <c r="D27" s="4"/>
      <c r="F27" s="1"/>
      <c r="G27" s="4" t="s">
        <v>25</v>
      </c>
      <c r="H27" s="5">
        <v>21445</v>
      </c>
      <c r="I27" s="6">
        <v>6.4</v>
      </c>
      <c r="J27" s="72">
        <v>3.3500000000000002E-2</v>
      </c>
      <c r="K27" s="71">
        <f>H27/H28</f>
        <v>2.9383917426327826E-2</v>
      </c>
      <c r="L27" s="73">
        <f>-(H27*I27*$M$33)/(J27+1)</f>
        <v>199.19883889695211</v>
      </c>
      <c r="N27" s="69" t="s">
        <v>43</v>
      </c>
    </row>
    <row r="28" spans="1:15" ht="15">
      <c r="A28" s="9" t="s">
        <v>29</v>
      </c>
      <c r="B28" s="10">
        <v>784973</v>
      </c>
      <c r="C28" s="13"/>
      <c r="D28" s="13"/>
      <c r="E28" s="1"/>
      <c r="F28" s="1"/>
      <c r="G28" s="79" t="s">
        <v>44</v>
      </c>
      <c r="H28" s="79">
        <f>SUM(H22:H27)</f>
        <v>729821</v>
      </c>
      <c r="I28" s="77"/>
      <c r="J28" s="77"/>
      <c r="K28" s="83">
        <f>SUM(K22:K27)</f>
        <v>1</v>
      </c>
      <c r="L28" s="84">
        <f>SUM(L22:L27)</f>
        <v>1167.9697804011594</v>
      </c>
      <c r="N28" s="71" cm="1">
        <f t="array" ref="N28">SUM(K22:K27*I22:I27)</f>
        <v>1.0786928575637043</v>
      </c>
      <c r="O28" t="s">
        <v>42</v>
      </c>
    </row>
    <row r="29" spans="1:15" ht="15">
      <c r="F29" s="1"/>
      <c r="K29" t="s">
        <v>45</v>
      </c>
      <c r="L29" s="25">
        <f>L21-L28</f>
        <v>13723.905380568836</v>
      </c>
    </row>
    <row r="30" spans="1:15" ht="15"/>
    <row r="31" spans="1:15">
      <c r="G31" s="67" t="s">
        <v>46</v>
      </c>
    </row>
    <row r="32" spans="1:15">
      <c r="G32" s="25" t="s">
        <v>47</v>
      </c>
      <c r="H32" s="28">
        <f>N21-N28*H33</f>
        <v>7.8964465235501446</v>
      </c>
      <c r="I32" t="s">
        <v>42</v>
      </c>
      <c r="L32" t="s">
        <v>48</v>
      </c>
      <c r="M32">
        <v>-2.5000000000000001E-3</v>
      </c>
    </row>
    <row r="33" spans="7:13">
      <c r="G33" s="25" t="s">
        <v>49</v>
      </c>
      <c r="H33" s="28">
        <f>H36/H34</f>
        <v>1.0392979458150877</v>
      </c>
      <c r="L33" t="s">
        <v>50</v>
      </c>
      <c r="M33">
        <v>-1.5E-3</v>
      </c>
    </row>
    <row r="34" spans="7:13">
      <c r="G34" s="68" t="s">
        <v>51</v>
      </c>
      <c r="H34" s="25">
        <f>H21</f>
        <v>702225</v>
      </c>
    </row>
    <row r="35" spans="7:13" ht="15">
      <c r="G35" s="25" t="s">
        <v>52</v>
      </c>
      <c r="H35" s="25">
        <f>B26</f>
        <v>54572</v>
      </c>
    </row>
    <row r="36" spans="7:13">
      <c r="G36" s="25" t="s">
        <v>53</v>
      </c>
      <c r="H36" s="25">
        <f>H28</f>
        <v>729821</v>
      </c>
    </row>
    <row r="39" spans="7:13">
      <c r="G39" s="25" t="s">
        <v>54</v>
      </c>
      <c r="H39" s="25" t="s">
        <v>55</v>
      </c>
      <c r="I39" t="s">
        <v>56</v>
      </c>
    </row>
    <row r="40" spans="7:13">
      <c r="G40" s="25" t="s">
        <v>57</v>
      </c>
      <c r="H40">
        <v>-50</v>
      </c>
      <c r="I40" s="25">
        <f>-($H$32*$H$21*H40/10000)</f>
        <v>27725.410800000001</v>
      </c>
    </row>
    <row r="41" spans="7:13">
      <c r="H41">
        <v>100</v>
      </c>
      <c r="I41" s="25">
        <f>-($H$32*$H$21*H41/10000)</f>
        <v>-55450.821600000003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8983-2C36-4C6E-97ED-61A0D6FD03AB}">
  <dimension ref="A1:N56"/>
  <sheetViews>
    <sheetView tabSelected="1" topLeftCell="F12" workbookViewId="0">
      <selection activeCell="K23" sqref="K23"/>
    </sheetView>
  </sheetViews>
  <sheetFormatPr defaultRowHeight="15"/>
  <cols>
    <col min="1" max="1" width="47.5703125" customWidth="1"/>
    <col min="2" max="2" width="38.140625" customWidth="1"/>
    <col min="4" max="4" width="16.140625" bestFit="1" customWidth="1"/>
    <col min="6" max="6" width="47.7109375" customWidth="1"/>
    <col min="7" max="7" width="31.28515625" customWidth="1"/>
    <col min="8" max="8" width="25.28515625" customWidth="1"/>
    <col min="9" max="9" width="22.140625" customWidth="1"/>
    <col min="10" max="10" width="25.28515625" customWidth="1"/>
    <col min="11" max="11" width="46.140625" customWidth="1"/>
    <col min="13" max="13" width="38.85546875" customWidth="1"/>
  </cols>
  <sheetData>
    <row r="1" spans="1:11">
      <c r="A1" s="91" t="s">
        <v>58</v>
      </c>
      <c r="B1" s="91"/>
      <c r="C1" s="91"/>
      <c r="D1" s="91"/>
      <c r="H1" s="25"/>
    </row>
    <row r="2" spans="1:11" ht="29.25">
      <c r="A2" s="30" t="s">
        <v>59</v>
      </c>
      <c r="B2" s="31" t="s">
        <v>60</v>
      </c>
      <c r="C2" s="32" t="s">
        <v>61</v>
      </c>
      <c r="D2" s="33" t="s">
        <v>4</v>
      </c>
      <c r="H2" s="25"/>
    </row>
    <row r="3" spans="1:11">
      <c r="A3" s="34" t="s">
        <v>62</v>
      </c>
      <c r="B3" s="35">
        <v>18297496</v>
      </c>
      <c r="C3" s="36"/>
      <c r="D3" s="37"/>
      <c r="H3" s="25"/>
      <c r="J3" t="s">
        <v>63</v>
      </c>
    </row>
    <row r="4" spans="1:11">
      <c r="A4" s="34" t="s">
        <v>64</v>
      </c>
      <c r="B4" s="35">
        <v>109568359</v>
      </c>
      <c r="C4" s="38">
        <v>13.1</v>
      </c>
      <c r="D4" s="39">
        <v>5.1499999999999997E-2</v>
      </c>
      <c r="F4" s="1"/>
      <c r="G4" s="55" t="s">
        <v>31</v>
      </c>
      <c r="H4" s="27" t="s">
        <v>32</v>
      </c>
      <c r="I4" s="29" t="s">
        <v>65</v>
      </c>
      <c r="J4" s="27" t="s">
        <v>34</v>
      </c>
    </row>
    <row r="5" spans="1:11">
      <c r="A5" s="40" t="s">
        <v>66</v>
      </c>
      <c r="B5" s="35">
        <v>4141630</v>
      </c>
      <c r="C5" s="38"/>
      <c r="D5" s="39"/>
      <c r="H5" s="25">
        <f>B5+B6</f>
        <v>109568359</v>
      </c>
      <c r="I5" s="25">
        <f>H5*0.08</f>
        <v>8765468.7200000007</v>
      </c>
      <c r="J5" s="1">
        <f>B34-I5</f>
        <v>5272623.2799999993</v>
      </c>
    </row>
    <row r="6" spans="1:11">
      <c r="A6" s="40" t="s">
        <v>67</v>
      </c>
      <c r="B6" s="35">
        <v>105426729</v>
      </c>
      <c r="C6" s="34"/>
      <c r="D6" s="34"/>
      <c r="H6" s="25"/>
    </row>
    <row r="7" spans="1:11">
      <c r="A7" s="34" t="s">
        <v>68</v>
      </c>
      <c r="B7" s="35">
        <v>43706381</v>
      </c>
      <c r="C7" s="38">
        <v>1.75</v>
      </c>
      <c r="D7" s="39">
        <v>3.85E-2</v>
      </c>
      <c r="F7" s="1"/>
      <c r="H7" s="25"/>
    </row>
    <row r="8" spans="1:11">
      <c r="A8" s="40" t="s">
        <v>69</v>
      </c>
      <c r="B8" s="74">
        <v>7391989</v>
      </c>
      <c r="C8" s="38"/>
      <c r="D8" s="39"/>
      <c r="H8" s="25"/>
    </row>
    <row r="9" spans="1:11">
      <c r="A9" s="40" t="s">
        <v>70</v>
      </c>
      <c r="B9" s="74">
        <v>10692718</v>
      </c>
      <c r="C9" s="38"/>
      <c r="D9" s="39"/>
      <c r="F9" s="54" t="s">
        <v>71</v>
      </c>
      <c r="G9" s="53" t="s">
        <v>72</v>
      </c>
      <c r="H9" s="53" t="s">
        <v>73</v>
      </c>
      <c r="I9" s="54" t="s">
        <v>74</v>
      </c>
      <c r="J9" s="54" t="s">
        <v>75</v>
      </c>
      <c r="K9" s="54" t="s">
        <v>76</v>
      </c>
    </row>
    <row r="10" spans="1:11">
      <c r="A10" s="40" t="s">
        <v>77</v>
      </c>
      <c r="B10" s="35">
        <v>25621674</v>
      </c>
      <c r="C10" s="34"/>
      <c r="D10" s="34"/>
      <c r="G10" s="28">
        <f>UniCredit_BalanceSheet!B15/UniCredit_BalanceSheet!B26</f>
        <v>14.384171369933298</v>
      </c>
      <c r="H10" s="28">
        <f>B18/B34</f>
        <v>14.398820936634408</v>
      </c>
      <c r="I10" s="1">
        <f>B18*1000+UniCredit_BalanceSheet!B15*1000000</f>
        <v>987104973000</v>
      </c>
      <c r="J10" s="25">
        <f>(UniCredit_BalanceSheet!B26*1000+BancoBPM_BalanceSheet!B34)*1000</f>
        <v>68610092000</v>
      </c>
      <c r="K10" s="28">
        <f>I10/J10</f>
        <v>14.387168771031527</v>
      </c>
    </row>
    <row r="11" spans="1:11">
      <c r="A11" s="34" t="s">
        <v>78</v>
      </c>
      <c r="B11" s="35">
        <v>15345008</v>
      </c>
      <c r="C11" s="38">
        <v>11</v>
      </c>
      <c r="D11" s="39">
        <v>4.65E-2</v>
      </c>
      <c r="G11" t="s">
        <v>79</v>
      </c>
      <c r="H11" s="25"/>
    </row>
    <row r="12" spans="1:11">
      <c r="A12" s="34" t="s">
        <v>80</v>
      </c>
      <c r="B12" s="35">
        <v>1454249</v>
      </c>
      <c r="C12" s="38">
        <v>1.35</v>
      </c>
      <c r="D12" s="39">
        <v>4.4999999999999998E-2</v>
      </c>
      <c r="H12" s="25"/>
    </row>
    <row r="13" spans="1:11">
      <c r="A13" s="34" t="s">
        <v>11</v>
      </c>
      <c r="B13" s="35">
        <v>2857953</v>
      </c>
      <c r="C13" s="38"/>
      <c r="D13" s="39"/>
      <c r="H13" s="25"/>
    </row>
    <row r="14" spans="1:11">
      <c r="A14" s="34" t="s">
        <v>81</v>
      </c>
      <c r="B14" s="35">
        <v>1257425</v>
      </c>
      <c r="C14" s="34"/>
      <c r="D14" s="34"/>
      <c r="H14" s="25"/>
    </row>
    <row r="15" spans="1:11">
      <c r="A15" s="34" t="s">
        <v>14</v>
      </c>
      <c r="B15" s="35">
        <v>4201154</v>
      </c>
      <c r="C15" s="38"/>
      <c r="D15" s="39"/>
      <c r="H15" s="25"/>
    </row>
    <row r="16" spans="1:11">
      <c r="A16" s="34" t="s">
        <v>82</v>
      </c>
      <c r="B16" s="35">
        <v>468685</v>
      </c>
      <c r="C16" s="38"/>
      <c r="D16" s="39"/>
      <c r="H16" s="25"/>
    </row>
    <row r="17" spans="1:14">
      <c r="A17" s="34" t="s">
        <v>83</v>
      </c>
      <c r="B17" s="35">
        <v>4975263</v>
      </c>
      <c r="C17" s="38"/>
      <c r="D17" s="39"/>
      <c r="H17" s="25"/>
    </row>
    <row r="18" spans="1:14">
      <c r="A18" s="41" t="s">
        <v>17</v>
      </c>
      <c r="B18" s="42">
        <v>202131973</v>
      </c>
      <c r="C18" s="43"/>
      <c r="D18" s="43"/>
      <c r="F18" s="1"/>
      <c r="H18" s="25"/>
      <c r="K18" t="s">
        <v>35</v>
      </c>
    </row>
    <row r="19" spans="1:14">
      <c r="A19" s="34" t="s">
        <v>84</v>
      </c>
      <c r="B19" s="35">
        <v>120770064</v>
      </c>
      <c r="C19" s="38">
        <v>1.35</v>
      </c>
      <c r="D19" s="39">
        <v>4.4999999999999997E-3</v>
      </c>
      <c r="F19" s="67" t="s">
        <v>36</v>
      </c>
      <c r="G19" s="67" t="s">
        <v>37</v>
      </c>
      <c r="H19" s="69" t="s">
        <v>3</v>
      </c>
      <c r="I19" s="69" t="s">
        <v>4</v>
      </c>
      <c r="J19" s="69" t="s">
        <v>38</v>
      </c>
      <c r="K19" s="85" t="s">
        <v>39</v>
      </c>
    </row>
    <row r="20" spans="1:14">
      <c r="A20" s="40" t="s">
        <v>85</v>
      </c>
      <c r="B20" s="35">
        <v>101861964</v>
      </c>
      <c r="C20" s="38"/>
      <c r="D20" s="39"/>
      <c r="F20" s="34" t="s">
        <v>64</v>
      </c>
      <c r="G20" s="35">
        <v>109568359</v>
      </c>
      <c r="H20" s="38">
        <v>13.1</v>
      </c>
      <c r="I20" s="39">
        <v>5.1499999999999997E-2</v>
      </c>
      <c r="J20">
        <f>G20/$G$24</f>
        <v>0.64423933659888055</v>
      </c>
      <c r="K20" s="25">
        <f>-(H20*G20*$L$34)/(I20+1)</f>
        <v>3412614.1295767943</v>
      </c>
    </row>
    <row r="21" spans="1:14">
      <c r="A21" s="40" t="s">
        <v>86</v>
      </c>
      <c r="B21" s="35">
        <v>18908100</v>
      </c>
      <c r="C21" s="38"/>
      <c r="D21" s="39"/>
      <c r="F21" s="34" t="s">
        <v>68</v>
      </c>
      <c r="G21" s="35">
        <v>43706381</v>
      </c>
      <c r="H21" s="38">
        <v>1.75</v>
      </c>
      <c r="I21" s="39">
        <v>3.85E-2</v>
      </c>
      <c r="J21">
        <f>G21/$G$24</f>
        <v>0.25698449951758351</v>
      </c>
      <c r="K21" s="25">
        <f>-(H21*G21*$L$34)/(I21+1)</f>
        <v>184126.54489648531</v>
      </c>
    </row>
    <row r="22" spans="1:14">
      <c r="A22" s="34" t="s">
        <v>87</v>
      </c>
      <c r="B22" s="35">
        <v>15039762</v>
      </c>
      <c r="C22" s="38"/>
      <c r="D22" s="39"/>
      <c r="F22" s="34" t="s">
        <v>78</v>
      </c>
      <c r="G22" s="35">
        <v>15345008</v>
      </c>
      <c r="H22" s="38">
        <v>11</v>
      </c>
      <c r="I22" s="39">
        <v>4.65E-2</v>
      </c>
      <c r="J22">
        <f>G22/$G$24</f>
        <v>9.0225479912722936E-2</v>
      </c>
      <c r="K22" s="25">
        <f>-(H22*G22*$L$34)/(I22+1)</f>
        <v>403237.19063545152</v>
      </c>
    </row>
    <row r="23" spans="1:14">
      <c r="A23" s="40" t="s">
        <v>88</v>
      </c>
      <c r="B23" s="35">
        <v>2800121</v>
      </c>
      <c r="C23" s="38">
        <v>5.9</v>
      </c>
      <c r="D23" s="39">
        <v>3.95E-2</v>
      </c>
      <c r="F23" s="34" t="s">
        <v>80</v>
      </c>
      <c r="G23" s="35">
        <v>1454249</v>
      </c>
      <c r="H23" s="38">
        <v>1.35</v>
      </c>
      <c r="I23" s="39">
        <v>4.4999999999999998E-2</v>
      </c>
      <c r="J23">
        <f>G23/$G$24</f>
        <v>8.5506839708130097E-3</v>
      </c>
      <c r="K23" s="25">
        <f>-(H23*G23*$L$34)/(I23+1)</f>
        <v>4696.737200956939</v>
      </c>
    </row>
    <row r="24" spans="1:14">
      <c r="A24" s="40" t="s">
        <v>89</v>
      </c>
      <c r="B24" s="35">
        <v>12239641</v>
      </c>
      <c r="C24" s="38">
        <v>5.25</v>
      </c>
      <c r="D24" s="39">
        <v>5.0999999999999997E-2</v>
      </c>
      <c r="F24" s="81" t="s">
        <v>90</v>
      </c>
      <c r="G24" s="86">
        <f>SUM(G18:G23)</f>
        <v>170073997</v>
      </c>
      <c r="H24" s="87"/>
      <c r="I24" s="81"/>
      <c r="J24" s="81">
        <f>G24/$G$24</f>
        <v>1</v>
      </c>
      <c r="K24" s="80">
        <f>SUM(K20:K23)</f>
        <v>4004674.602309688</v>
      </c>
      <c r="M24" t="s">
        <v>40</v>
      </c>
    </row>
    <row r="25" spans="1:14">
      <c r="A25" s="34" t="s">
        <v>91</v>
      </c>
      <c r="B25" s="35">
        <v>21690773</v>
      </c>
      <c r="C25" s="38"/>
      <c r="D25" s="39"/>
      <c r="F25" s="34" t="s">
        <v>84</v>
      </c>
      <c r="G25" s="35">
        <v>120770064</v>
      </c>
      <c r="H25" s="38">
        <v>1.35</v>
      </c>
      <c r="I25" s="39">
        <v>4.4999999999999997E-3</v>
      </c>
      <c r="J25">
        <f>G25/$G$31</f>
        <v>0.73563361666836591</v>
      </c>
      <c r="K25" s="25">
        <f>-(H25*G25*$L$35)/(I25+1)</f>
        <v>243463.79253359884</v>
      </c>
      <c r="M25" cm="1">
        <f t="array" ref="M25">SUM(J20:J23*H20:H23)</f>
        <v>9.893281886001656</v>
      </c>
      <c r="N25" t="s">
        <v>42</v>
      </c>
    </row>
    <row r="26" spans="1:14">
      <c r="A26" s="34" t="s">
        <v>92</v>
      </c>
      <c r="B26" s="35">
        <v>670773</v>
      </c>
      <c r="C26" s="34"/>
      <c r="D26" s="34"/>
      <c r="F26" s="40" t="s">
        <v>88</v>
      </c>
      <c r="G26" s="35">
        <v>2800121</v>
      </c>
      <c r="H26" s="38">
        <v>5.9</v>
      </c>
      <c r="I26" s="39">
        <v>3.95E-2</v>
      </c>
      <c r="J26">
        <f>G26/$G$31</f>
        <v>1.7056073915296108E-2</v>
      </c>
      <c r="K26" s="25">
        <f>-(H26*G26*$L$35)/(I26+1)</f>
        <v>23839.413997113996</v>
      </c>
    </row>
    <row r="27" spans="1:14">
      <c r="A27" s="34" t="s">
        <v>93</v>
      </c>
      <c r="B27" s="35">
        <v>25697583</v>
      </c>
      <c r="C27" s="38">
        <v>2.1</v>
      </c>
      <c r="D27" s="39">
        <v>2.8500000000000001E-2</v>
      </c>
      <c r="F27" s="40" t="s">
        <v>89</v>
      </c>
      <c r="G27" s="35">
        <v>12239641</v>
      </c>
      <c r="H27" s="38">
        <v>5.25</v>
      </c>
      <c r="I27" s="39">
        <v>5.0999999999999997E-2</v>
      </c>
      <c r="J27">
        <f>G27/$G$31</f>
        <v>7.4554000199523074E-2</v>
      </c>
      <c r="K27" s="25">
        <f>-(H27*G27*$L$35)/(I27+1)</f>
        <v>91709.964676498581</v>
      </c>
    </row>
    <row r="28" spans="1:14">
      <c r="A28" s="34" t="s">
        <v>94</v>
      </c>
      <c r="B28" s="35">
        <v>72561</v>
      </c>
      <c r="C28" s="38">
        <v>1.2</v>
      </c>
      <c r="D28" s="39">
        <v>2.5499999999999998E-2</v>
      </c>
      <c r="F28" s="34" t="s">
        <v>93</v>
      </c>
      <c r="G28" s="35">
        <v>25697583</v>
      </c>
      <c r="H28" s="38">
        <v>2.1</v>
      </c>
      <c r="I28" s="39">
        <v>2.8500000000000001E-2</v>
      </c>
      <c r="J28">
        <f>G28/$G$31</f>
        <v>0.15652890539103728</v>
      </c>
      <c r="K28" s="25">
        <f>-(H28*G28*$L$35)/(I28+1)</f>
        <v>78704.31351482743</v>
      </c>
    </row>
    <row r="29" spans="1:14">
      <c r="A29" s="34" t="s">
        <v>95</v>
      </c>
      <c r="B29" s="35">
        <v>894841</v>
      </c>
      <c r="F29" s="34" t="s">
        <v>94</v>
      </c>
      <c r="G29" s="35">
        <v>72561</v>
      </c>
      <c r="H29" s="38">
        <v>1.2</v>
      </c>
      <c r="I29" s="39">
        <v>2.5499999999999998E-2</v>
      </c>
      <c r="J29">
        <f>G29/$G$31</f>
        <v>4.4198296408183818E-4</v>
      </c>
      <c r="K29" s="25">
        <f>-(H29*G29*$L$35)/(I29+1)</f>
        <v>127.36206728425158</v>
      </c>
      <c r="M29" t="s">
        <v>43</v>
      </c>
    </row>
    <row r="30" spans="1:14">
      <c r="A30" s="34" t="s">
        <v>23</v>
      </c>
      <c r="B30" s="35">
        <v>453929</v>
      </c>
      <c r="C30" s="34"/>
      <c r="D30" s="34"/>
      <c r="F30" s="34" t="s">
        <v>96</v>
      </c>
      <c r="G30" s="35">
        <v>2591516</v>
      </c>
      <c r="H30" s="38">
        <v>0.75</v>
      </c>
      <c r="I30" s="39">
        <v>2.9000000000000001E-2</v>
      </c>
      <c r="J30">
        <f>G30/$G$31</f>
        <v>1.5785420861695799E-2</v>
      </c>
      <c r="K30" s="25">
        <f>-(H30*G30*$L$35)/(I30+1)</f>
        <v>2833.290087463557</v>
      </c>
      <c r="M30" cm="1">
        <f t="array" ref="M30">SUM(J25:J30*H25:H30)</f>
        <v>1.8262248661743858</v>
      </c>
    </row>
    <row r="31" spans="1:14">
      <c r="A31" s="34" t="s">
        <v>97</v>
      </c>
      <c r="B31" s="35">
        <v>212011</v>
      </c>
      <c r="C31" s="34"/>
      <c r="D31" s="34"/>
      <c r="F31" s="77" t="s">
        <v>98</v>
      </c>
      <c r="G31" s="78">
        <f>SUM(G25:G30)</f>
        <v>164171486</v>
      </c>
      <c r="H31" s="79"/>
      <c r="I31" s="77"/>
      <c r="J31" s="77">
        <f>G31/$G$31</f>
        <v>1</v>
      </c>
      <c r="K31" s="79">
        <f>SUM(K25:K30)</f>
        <v>440678.13687678665</v>
      </c>
    </row>
    <row r="32" spans="1:14">
      <c r="A32" s="34" t="s">
        <v>96</v>
      </c>
      <c r="B32" s="35">
        <v>2591516</v>
      </c>
      <c r="C32" s="38">
        <v>0.75</v>
      </c>
      <c r="D32" s="39">
        <v>2.9000000000000001E-2</v>
      </c>
      <c r="H32" s="25"/>
      <c r="J32" s="85" t="s">
        <v>99</v>
      </c>
      <c r="K32" s="25">
        <f>K24-K31</f>
        <v>3563996.4654329014</v>
      </c>
    </row>
    <row r="33" spans="1:12">
      <c r="A33" s="34" t="s">
        <v>100</v>
      </c>
      <c r="B33" s="35">
        <v>68</v>
      </c>
      <c r="C33" s="34"/>
      <c r="D33" s="34"/>
      <c r="H33" s="25"/>
    </row>
    <row r="34" spans="1:12">
      <c r="A34" s="34" t="s">
        <v>101</v>
      </c>
      <c r="B34" s="44">
        <v>14038092</v>
      </c>
      <c r="C34" s="65" t="s">
        <v>102</v>
      </c>
      <c r="D34" s="34"/>
      <c r="F34" s="67" t="s">
        <v>46</v>
      </c>
      <c r="G34" s="25"/>
      <c r="H34" s="25"/>
      <c r="K34" t="s">
        <v>48</v>
      </c>
      <c r="L34">
        <v>-2.5000000000000001E-3</v>
      </c>
    </row>
    <row r="35" spans="1:12">
      <c r="A35" s="41" t="s">
        <v>29</v>
      </c>
      <c r="B35" s="42">
        <v>202131973</v>
      </c>
      <c r="C35" s="43"/>
      <c r="D35" s="43"/>
      <c r="E35" s="45"/>
      <c r="F35" s="25" t="s">
        <v>47</v>
      </c>
      <c r="G35" s="28">
        <f>M25-M30*G36</f>
        <v>8.1304371517181426</v>
      </c>
      <c r="H35" s="25" t="s">
        <v>42</v>
      </c>
      <c r="K35" t="s">
        <v>50</v>
      </c>
      <c r="L35">
        <v>-1.5E-3</v>
      </c>
    </row>
    <row r="36" spans="1:12">
      <c r="B36" s="1"/>
      <c r="F36" s="25" t="s">
        <v>49</v>
      </c>
      <c r="G36" s="28">
        <f>G39/G37</f>
        <v>0.96529445356658494</v>
      </c>
      <c r="H36" s="25"/>
    </row>
    <row r="37" spans="1:12">
      <c r="B37" s="1"/>
      <c r="F37" s="68" t="s">
        <v>51</v>
      </c>
      <c r="G37" s="25">
        <f>G24</f>
        <v>170073997</v>
      </c>
      <c r="H37" s="25"/>
      <c r="I37" s="52"/>
    </row>
    <row r="38" spans="1:12">
      <c r="B38" s="1"/>
      <c r="F38" s="25" t="s">
        <v>52</v>
      </c>
      <c r="G38" s="25">
        <f>B34</f>
        <v>14038092</v>
      </c>
      <c r="H38" s="25"/>
    </row>
    <row r="39" spans="1:12">
      <c r="F39" s="25" t="s">
        <v>53</v>
      </c>
      <c r="G39" s="25">
        <f>G31</f>
        <v>164171486</v>
      </c>
    </row>
    <row r="41" spans="1:12">
      <c r="F41" s="25" t="s">
        <v>54</v>
      </c>
      <c r="G41" s="25" t="s">
        <v>55</v>
      </c>
      <c r="H41" t="s">
        <v>56</v>
      </c>
    </row>
    <row r="42" spans="1:12">
      <c r="F42" s="25" t="s">
        <v>103</v>
      </c>
      <c r="G42">
        <v>-50</v>
      </c>
      <c r="H42" s="25">
        <f>-($G$35*$G$24*G42/10000)</f>
        <v>6913879.71875</v>
      </c>
    </row>
    <row r="43" spans="1:12">
      <c r="F43" s="25"/>
      <c r="G43">
        <v>100</v>
      </c>
      <c r="H43" s="25">
        <f>-($G$35*$G$24*G43/10000)</f>
        <v>-13827759.4375</v>
      </c>
    </row>
    <row r="44" spans="1:12">
      <c r="F44" s="75" t="s">
        <v>104</v>
      </c>
      <c r="G44" s="57" t="s">
        <v>105</v>
      </c>
      <c r="H44" s="58" t="s">
        <v>106</v>
      </c>
      <c r="I44" s="58" t="s">
        <v>107</v>
      </c>
    </row>
    <row r="45" spans="1:12">
      <c r="F45" t="s">
        <v>108</v>
      </c>
      <c r="G45">
        <v>40</v>
      </c>
      <c r="H45" s="1">
        <f>G49*(100-G45)/100</f>
        <v>10850824.199999999</v>
      </c>
      <c r="I45" s="26">
        <f>H45/G51</f>
        <v>0.21304957756361342</v>
      </c>
    </row>
    <row r="46" spans="1:12">
      <c r="F46" t="s">
        <v>109</v>
      </c>
      <c r="G46">
        <v>8</v>
      </c>
      <c r="H46" s="1">
        <f>G49*(100-G46)/100</f>
        <v>16637930.439999999</v>
      </c>
      <c r="I46" s="26">
        <f>H46/G51</f>
        <v>0.32667601893087395</v>
      </c>
    </row>
    <row r="47" spans="1:12">
      <c r="F47" s="76" t="s">
        <v>110</v>
      </c>
      <c r="G47">
        <v>0</v>
      </c>
      <c r="H47" s="1">
        <f>G49</f>
        <v>18084707</v>
      </c>
      <c r="I47" s="26">
        <f>H47/G51</f>
        <v>0.35508262927268908</v>
      </c>
    </row>
    <row r="49" spans="6:8">
      <c r="F49" t="s">
        <v>111</v>
      </c>
      <c r="G49" s="1">
        <f>SUM(B8:B9)</f>
        <v>18084707</v>
      </c>
    </row>
    <row r="51" spans="6:8">
      <c r="F51" t="s">
        <v>112</v>
      </c>
      <c r="G51" s="1">
        <f>B20/2</f>
        <v>50930982</v>
      </c>
    </row>
    <row r="53" spans="6:8">
      <c r="F53" s="75" t="s">
        <v>113</v>
      </c>
      <c r="G53" s="88" t="s">
        <v>114</v>
      </c>
      <c r="H53" s="88" t="s">
        <v>57</v>
      </c>
    </row>
    <row r="54" spans="6:8">
      <c r="F54" t="s">
        <v>115</v>
      </c>
      <c r="G54" s="26">
        <f>B3/B20</f>
        <v>0.17963030832588306</v>
      </c>
      <c r="H54" s="26">
        <f>UniCredit_BalanceSheet!B3/UniCredit_BalanceSheet!B17</f>
        <v>0.12305432949511413</v>
      </c>
    </row>
    <row r="55" spans="6:8">
      <c r="F55" t="s">
        <v>116</v>
      </c>
      <c r="G55" s="26">
        <f>((G49+B21)/B20)</f>
        <v>0.36316604890909032</v>
      </c>
      <c r="H55" s="26">
        <f>(UniCredit_BalanceSheet!B4+UniCredit_BalanceSheet!B3)/UniCredit_BalanceSheet!B17</f>
        <v>0.23859225847057589</v>
      </c>
    </row>
    <row r="56" spans="6:8" ht="16.5" customHeight="1">
      <c r="F56" t="s">
        <v>117</v>
      </c>
      <c r="G56" s="26">
        <f>B4/(B20+B25)</f>
        <v>0.88681450253910599</v>
      </c>
      <c r="H56" s="89">
        <f>(UniCredit_BalanceSheet!B5+UniCredit_BalanceSheet!B6)/(UniCredit_BalanceSheet!B17+UniCredit_BalanceSheet!B16)</f>
        <v>0.82731253903782564</v>
      </c>
    </row>
  </sheetData>
  <mergeCells count="1">
    <mergeCell ref="A1:D1"/>
  </mergeCells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B2AFF9D-D541-434C-9CE7-2016DE81E7D9}">
          <xm:f>BancoBPM_BalanceSheet!1:1048576</xm:f>
        </x15:webExtension>
        <x15:webExtension appRef="{A27FF18A-B288-44B6-B687-6BAAE36D7642}">
          <xm:f>BancoBPM_BalanceSheet!1:1048576</xm:f>
        </x15:webExtension>
        <x15:webExtension appRef="{A27FF18A-B288-44B6-B687-6BAAE36D7642}">
          <xm:f>BancoBPM_BalanceSheet!1:1048576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33C3-D780-47AF-920C-0BEDEC6CC9BA}">
  <dimension ref="A1:H34"/>
  <sheetViews>
    <sheetView workbookViewId="0">
      <selection activeCell="G7" sqref="G7"/>
    </sheetView>
  </sheetViews>
  <sheetFormatPr defaultRowHeight="15"/>
  <cols>
    <col min="1" max="1" width="33.140625" customWidth="1"/>
    <col min="2" max="2" width="34.42578125" customWidth="1"/>
    <col min="7" max="7" width="40.5703125" customWidth="1"/>
    <col min="8" max="8" width="34.7109375" customWidth="1"/>
    <col min="9" max="9" width="32.42578125" customWidth="1"/>
  </cols>
  <sheetData>
    <row r="1" spans="1:8">
      <c r="A1" s="92" t="s">
        <v>118</v>
      </c>
      <c r="B1" s="92"/>
      <c r="C1" s="46"/>
      <c r="D1" s="46"/>
    </row>
    <row r="2" spans="1:8">
      <c r="A2" s="30" t="s">
        <v>59</v>
      </c>
      <c r="B2" s="31" t="s">
        <v>119</v>
      </c>
    </row>
    <row r="3" spans="1:8">
      <c r="A3" t="s">
        <v>120</v>
      </c>
      <c r="B3" s="25">
        <v>3289228</v>
      </c>
    </row>
    <row r="4" spans="1:8">
      <c r="A4" t="s">
        <v>121</v>
      </c>
      <c r="B4" s="25">
        <v>144097</v>
      </c>
    </row>
    <row r="5" spans="1:8">
      <c r="A5" s="47" t="s">
        <v>122</v>
      </c>
      <c r="B5" s="48">
        <v>3433325</v>
      </c>
    </row>
    <row r="6" spans="1:8">
      <c r="A6" s="49" t="s">
        <v>123</v>
      </c>
      <c r="B6" s="25">
        <v>1860019</v>
      </c>
      <c r="F6" s="57" t="s">
        <v>124</v>
      </c>
      <c r="G6" s="58" t="s">
        <v>125</v>
      </c>
      <c r="H6" s="58" t="s">
        <v>126</v>
      </c>
    </row>
    <row r="7" spans="1:8">
      <c r="A7" s="49" t="s">
        <v>127</v>
      </c>
      <c r="B7" s="25">
        <v>81276</v>
      </c>
      <c r="G7" s="26">
        <f>(B32/BancoBPM_BalanceSheet!B18)</f>
        <v>6.2555813473408285E-3</v>
      </c>
      <c r="H7" s="26">
        <f>B32/BancoBPM_BalanceSheet!B34</f>
        <v>9.0072995674910811E-2</v>
      </c>
    </row>
    <row r="8" spans="1:8">
      <c r="A8" s="49" t="s">
        <v>128</v>
      </c>
      <c r="B8" s="25">
        <v>-79029</v>
      </c>
    </row>
    <row r="9" spans="1:8">
      <c r="A9" s="49" t="s">
        <v>129</v>
      </c>
      <c r="B9" s="25">
        <v>45851</v>
      </c>
      <c r="G9" t="s">
        <v>130</v>
      </c>
      <c r="H9" t="s">
        <v>131</v>
      </c>
    </row>
    <row r="10" spans="1:8">
      <c r="A10" s="50" t="s">
        <v>132</v>
      </c>
      <c r="B10" s="25">
        <v>1908117</v>
      </c>
      <c r="C10" s="25"/>
      <c r="F10" s="56" t="s">
        <v>133</v>
      </c>
      <c r="G10" s="56" t="s">
        <v>134</v>
      </c>
      <c r="H10" s="56" t="s">
        <v>135</v>
      </c>
    </row>
    <row r="11" spans="1:8">
      <c r="A11" s="47" t="s">
        <v>136</v>
      </c>
      <c r="B11" s="48">
        <v>5341442</v>
      </c>
      <c r="C11" s="25"/>
      <c r="G11" s="26">
        <f>-(B15/B11)</f>
        <v>0.48136121294586742</v>
      </c>
      <c r="H11" s="26">
        <f>B11/[1]BancoBPM_BalanceSheet!B18</f>
        <v>2.6425517550358053E-2</v>
      </c>
    </row>
    <row r="12" spans="1:8">
      <c r="A12" s="49" t="s">
        <v>137</v>
      </c>
      <c r="B12" s="25">
        <v>-1671952</v>
      </c>
    </row>
    <row r="13" spans="1:8">
      <c r="A13" s="49" t="s">
        <v>138</v>
      </c>
      <c r="B13" s="25">
        <v>-652393</v>
      </c>
    </row>
    <row r="14" spans="1:8">
      <c r="A14" s="49" t="s">
        <v>139</v>
      </c>
      <c r="B14" s="25">
        <v>-246818</v>
      </c>
    </row>
    <row r="15" spans="1:8">
      <c r="A15" s="50" t="s">
        <v>140</v>
      </c>
      <c r="B15" s="25">
        <v>-2571163</v>
      </c>
      <c r="C15" s="25"/>
    </row>
    <row r="16" spans="1:8">
      <c r="A16" s="47" t="s">
        <v>141</v>
      </c>
      <c r="B16" s="48">
        <v>2770279</v>
      </c>
      <c r="C16" s="25"/>
    </row>
    <row r="17" spans="1:3">
      <c r="A17" s="49" t="s">
        <v>142</v>
      </c>
      <c r="B17" s="25">
        <v>-558594</v>
      </c>
    </row>
    <row r="18" spans="1:3">
      <c r="A18" s="49" t="s">
        <v>143</v>
      </c>
      <c r="B18" s="25">
        <v>-146847</v>
      </c>
    </row>
    <row r="19" spans="1:3">
      <c r="A19" s="49" t="s">
        <v>144</v>
      </c>
      <c r="B19" s="25">
        <v>-1986</v>
      </c>
    </row>
    <row r="20" spans="1:3">
      <c r="A20" s="49" t="s">
        <v>145</v>
      </c>
      <c r="B20" s="25">
        <v>-22189</v>
      </c>
    </row>
    <row r="21" spans="1:3">
      <c r="A21" s="49" t="s">
        <v>146</v>
      </c>
      <c r="B21" s="25">
        <v>342</v>
      </c>
    </row>
    <row r="22" spans="1:3">
      <c r="A22" s="47" t="s">
        <v>147</v>
      </c>
      <c r="B22" s="48">
        <v>2041005</v>
      </c>
      <c r="C22" s="25"/>
    </row>
    <row r="23" spans="1:3">
      <c r="A23" s="49" t="s">
        <v>148</v>
      </c>
      <c r="B23" s="25">
        <v>-604751</v>
      </c>
    </row>
    <row r="24" spans="1:3">
      <c r="A24" s="47" t="s">
        <v>149</v>
      </c>
      <c r="B24" s="48">
        <v>1436254</v>
      </c>
      <c r="C24" s="25"/>
    </row>
    <row r="25" spans="1:3">
      <c r="A25" s="49" t="s">
        <v>150</v>
      </c>
      <c r="B25" s="25">
        <v>-126577</v>
      </c>
    </row>
    <row r="26" spans="1:3">
      <c r="A26" s="49" t="s">
        <v>151</v>
      </c>
      <c r="B26" s="25">
        <v>8802</v>
      </c>
    </row>
    <row r="27" spans="1:3">
      <c r="A27" s="49" t="s">
        <v>152</v>
      </c>
      <c r="B27" s="25">
        <v>-22245</v>
      </c>
    </row>
    <row r="28" spans="1:3">
      <c r="A28" s="49" t="s">
        <v>153</v>
      </c>
      <c r="B28" s="25"/>
    </row>
    <row r="29" spans="1:3">
      <c r="A29" s="49" t="s">
        <v>154</v>
      </c>
      <c r="B29" s="25">
        <v>-3463</v>
      </c>
    </row>
    <row r="30" spans="1:3">
      <c r="A30" s="49" t="s">
        <v>155</v>
      </c>
      <c r="B30" s="25">
        <v>-28340</v>
      </c>
    </row>
    <row r="31" spans="1:3">
      <c r="A31" t="s">
        <v>156</v>
      </c>
      <c r="B31" s="25">
        <v>22</v>
      </c>
    </row>
    <row r="32" spans="1:3">
      <c r="A32" s="51" t="s">
        <v>157</v>
      </c>
      <c r="B32" s="66">
        <v>1264453</v>
      </c>
      <c r="C32" s="25"/>
    </row>
    <row r="33" spans="2:2">
      <c r="B33" s="25"/>
    </row>
    <row r="34" spans="2:2">
      <c r="B34" s="25"/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54CA-FA98-4E94-B204-A0B4659EB47E}">
  <dimension ref="A1:H29"/>
  <sheetViews>
    <sheetView zoomScale="106" workbookViewId="0">
      <selection activeCell="H14" sqref="H14"/>
    </sheetView>
  </sheetViews>
  <sheetFormatPr defaultRowHeight="14.45"/>
  <cols>
    <col min="1" max="1" width="69.7109375" bestFit="1" customWidth="1"/>
    <col min="2" max="2" width="8.7109375" bestFit="1" customWidth="1"/>
    <col min="7" max="7" width="16.7109375" customWidth="1"/>
    <col min="8" max="8" width="19" customWidth="1"/>
    <col min="11" max="11" width="36.28515625" customWidth="1"/>
  </cols>
  <sheetData>
    <row r="1" spans="1:8">
      <c r="A1" s="90" t="s">
        <v>158</v>
      </c>
      <c r="B1" s="90"/>
      <c r="C1" s="90"/>
      <c r="D1" s="90"/>
    </row>
    <row r="2" spans="1:8" ht="15" thickBot="1">
      <c r="A2" s="16" t="s">
        <v>1</v>
      </c>
      <c r="B2" s="17" t="s">
        <v>119</v>
      </c>
    </row>
    <row r="3" spans="1:8">
      <c r="A3" s="3" t="s">
        <v>159</v>
      </c>
      <c r="B3" s="3">
        <v>14005</v>
      </c>
    </row>
    <row r="4" spans="1:8">
      <c r="A4" s="3" t="s">
        <v>160</v>
      </c>
      <c r="B4" s="3">
        <v>459</v>
      </c>
    </row>
    <row r="5" spans="1:8">
      <c r="A5" s="3" t="s">
        <v>161</v>
      </c>
      <c r="B5" s="3">
        <v>7463</v>
      </c>
    </row>
    <row r="6" spans="1:8">
      <c r="A6" s="3" t="s">
        <v>162</v>
      </c>
      <c r="B6" s="3">
        <v>1845</v>
      </c>
    </row>
    <row r="7" spans="1:8">
      <c r="A7" s="3" t="s">
        <v>163</v>
      </c>
      <c r="B7" s="3">
        <v>72</v>
      </c>
    </row>
    <row r="8" spans="1:8">
      <c r="A8" s="18" t="s">
        <v>164</v>
      </c>
      <c r="B8" s="19">
        <f>SUM(B3:B7)</f>
        <v>23844</v>
      </c>
    </row>
    <row r="9" spans="1:8">
      <c r="A9" s="3" t="s">
        <v>165</v>
      </c>
      <c r="B9" s="3">
        <v>-5860</v>
      </c>
    </row>
    <row r="10" spans="1:8">
      <c r="A10" s="3" t="s">
        <v>166</v>
      </c>
      <c r="B10" s="3">
        <v>-3075</v>
      </c>
      <c r="F10" s="63" t="s">
        <v>124</v>
      </c>
      <c r="G10" s="63" t="s">
        <v>125</v>
      </c>
      <c r="H10" s="63" t="s">
        <v>126</v>
      </c>
    </row>
    <row r="11" spans="1:8">
      <c r="A11" s="3" t="s">
        <v>167</v>
      </c>
      <c r="B11" s="3">
        <v>542</v>
      </c>
      <c r="G11" s="26">
        <f>B29/UniCredit_BalanceSheet!B15</f>
        <v>1.2111244590578274E-2</v>
      </c>
      <c r="H11" s="26">
        <f>UniCredit_IncomeStatement!B29/UniCredit_BalanceSheet!B26</f>
        <v>0.17421021769405556</v>
      </c>
    </row>
    <row r="12" spans="1:8">
      <c r="A12" s="3" t="s">
        <v>168</v>
      </c>
      <c r="B12" s="3">
        <v>-1078</v>
      </c>
    </row>
    <row r="13" spans="1:8">
      <c r="A13" s="2" t="s">
        <v>169</v>
      </c>
      <c r="B13" s="3">
        <v>-9471</v>
      </c>
    </row>
    <row r="14" spans="1:8">
      <c r="A14" s="18" t="s">
        <v>170</v>
      </c>
      <c r="B14" s="19">
        <v>14373</v>
      </c>
      <c r="F14" s="62" t="s">
        <v>133</v>
      </c>
      <c r="G14" s="62" t="s">
        <v>171</v>
      </c>
      <c r="H14" s="62" t="s">
        <v>135</v>
      </c>
    </row>
    <row r="15" spans="1:8">
      <c r="A15" s="3" t="s">
        <v>172</v>
      </c>
      <c r="B15" s="3">
        <v>-548</v>
      </c>
      <c r="G15" s="26">
        <f>-(B13/UniCredit_IncomeStatement!B8)</f>
        <v>0.39720684448917964</v>
      </c>
      <c r="H15" s="26">
        <f>B8/UniCredit_BalanceSheet!B15</f>
        <v>3.0375567057720456E-2</v>
      </c>
    </row>
    <row r="16" spans="1:8">
      <c r="A16" s="18" t="s">
        <v>173</v>
      </c>
      <c r="B16" s="19">
        <v>13825</v>
      </c>
    </row>
    <row r="17" spans="1:2">
      <c r="A17" s="3" t="s">
        <v>174</v>
      </c>
      <c r="B17" s="3">
        <v>-1041</v>
      </c>
    </row>
    <row r="18" spans="1:2">
      <c r="A18" s="3" t="s">
        <v>175</v>
      </c>
      <c r="B18" s="3">
        <v>-955</v>
      </c>
    </row>
    <row r="19" spans="1:2">
      <c r="A19" s="3" t="s">
        <v>176</v>
      </c>
      <c r="B19" s="3">
        <v>-1060</v>
      </c>
    </row>
    <row r="20" spans="1:2">
      <c r="A20" s="3" t="s">
        <v>177</v>
      </c>
      <c r="B20" s="3">
        <v>-272</v>
      </c>
    </row>
    <row r="21" spans="1:2">
      <c r="A21" s="18" t="s">
        <v>178</v>
      </c>
      <c r="B21" s="19">
        <v>11452</v>
      </c>
    </row>
    <row r="22" spans="1:2">
      <c r="A22" s="3" t="s">
        <v>179</v>
      </c>
      <c r="B22" s="3">
        <v>-1914</v>
      </c>
    </row>
    <row r="23" spans="1:2">
      <c r="A23" s="3" t="s">
        <v>180</v>
      </c>
      <c r="B23" s="3"/>
    </row>
    <row r="24" spans="1:2">
      <c r="A24" s="18" t="s">
        <v>181</v>
      </c>
      <c r="B24" s="19">
        <v>9538</v>
      </c>
    </row>
    <row r="25" spans="1:2">
      <c r="A25" s="3" t="s">
        <v>26</v>
      </c>
      <c r="B25" s="3">
        <v>-27</v>
      </c>
    </row>
    <row r="26" spans="1:2">
      <c r="A26" s="18" t="s">
        <v>182</v>
      </c>
      <c r="B26" s="19">
        <v>9511</v>
      </c>
    </row>
    <row r="27" spans="1:2">
      <c r="A27" s="3" t="s">
        <v>183</v>
      </c>
      <c r="B27" s="3">
        <v>-4</v>
      </c>
    </row>
    <row r="28" spans="1:2">
      <c r="A28" s="3" t="s">
        <v>184</v>
      </c>
      <c r="B28" s="3"/>
    </row>
    <row r="29" spans="1:2" ht="15" thickBot="1">
      <c r="A29" s="16" t="s">
        <v>185</v>
      </c>
      <c r="B29" s="17">
        <v>9507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Giacomo Bezzi</dc:creator>
  <cp:keywords/>
  <dc:description/>
  <cp:lastModifiedBy>Kleibs Joel</cp:lastModifiedBy>
  <cp:revision/>
  <dcterms:created xsi:type="dcterms:W3CDTF">2025-01-13T20:10:50Z</dcterms:created>
  <dcterms:modified xsi:type="dcterms:W3CDTF">2025-04-02T14:32:36Z</dcterms:modified>
  <cp:category/>
  <cp:contentStatus/>
</cp:coreProperties>
</file>