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ancopa/Desktop/"/>
    </mc:Choice>
  </mc:AlternateContent>
  <xr:revisionPtr revIDLastSave="0" documentId="8_{36F7C302-1CDE-3641-82C0-51FFF34B8835}" xr6:coauthVersionLast="47" xr6:coauthVersionMax="47" xr10:uidLastSave="{00000000-0000-0000-0000-000000000000}"/>
  <bookViews>
    <workbookView xWindow="14000" yWindow="-21600" windowWidth="38400" windowHeight="21600" xr2:uid="{00000000-000D-0000-FFFF-FFFF00000000}"/>
  </bookViews>
  <sheets>
    <sheet name="ABC_XYZ" sheetId="9" r:id="rId1"/>
    <sheet name="HistSample" sheetId="10" r:id="rId2"/>
    <sheet name="Sheet1" sheetId="11" r:id="rId3"/>
    <sheet name="sheet2" sheetId="12" r:id="rId4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HistSample!$F$5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9" l="1"/>
  <c r="V8" i="9" s="1"/>
  <c r="U8" i="9" s="1"/>
  <c r="W14" i="9"/>
  <c r="P54" i="10"/>
  <c r="P53" i="10"/>
  <c r="U54" i="10"/>
  <c r="U53" i="10"/>
  <c r="V53" i="10" s="1"/>
  <c r="U6" i="9"/>
  <c r="R6" i="9"/>
  <c r="T6" i="9"/>
  <c r="S8" i="9"/>
  <c r="P6" i="9"/>
  <c r="Q6" i="9" s="1"/>
  <c r="S6" i="9"/>
  <c r="Q46" i="10"/>
  <c r="Q25" i="10"/>
  <c r="P6" i="10"/>
  <c r="P4" i="10"/>
  <c r="B40" i="10"/>
  <c r="B39" i="10"/>
  <c r="B38" i="10"/>
  <c r="Q47" i="10"/>
  <c r="Q31" i="10"/>
  <c r="R32" i="10"/>
  <c r="T34" i="10"/>
  <c r="S33" i="10"/>
  <c r="T28" i="10"/>
  <c r="S27" i="10"/>
  <c r="R26" i="10"/>
  <c r="S4" i="10"/>
  <c r="R4" i="10"/>
  <c r="Q4" i="10"/>
  <c r="V54" i="10" l="1"/>
  <c r="R47" i="10"/>
  <c r="R46" i="10"/>
  <c r="C39" i="10"/>
  <c r="P16" i="10" a="1"/>
  <c r="P16" i="10" s="1"/>
  <c r="P20" i="10" s="1" a="1"/>
  <c r="P20" i="10" s="1"/>
  <c r="C38" i="10"/>
  <c r="P9" i="10"/>
  <c r="Q6" i="10"/>
  <c r="Q9" i="10" s="1"/>
  <c r="R6" i="10"/>
  <c r="R9" i="10" s="1"/>
  <c r="S6" i="10"/>
  <c r="S9" i="10" s="1"/>
  <c r="S5" i="10" a="1"/>
  <c r="S5" i="10" s="1"/>
  <c r="Q5" i="10" a="1"/>
  <c r="Q5" i="10" s="1"/>
  <c r="P5" i="10" a="1"/>
  <c r="P5" i="10" s="1"/>
  <c r="R5" i="10" a="1"/>
  <c r="R5" i="10" s="1"/>
  <c r="P7" i="10" a="1"/>
  <c r="P7" i="10" s="1"/>
  <c r="Q7" i="10" a="1"/>
  <c r="Q7" i="10" s="1"/>
  <c r="R7" i="10" a="1"/>
  <c r="R7" i="10" s="1"/>
  <c r="S7" i="10" a="1"/>
  <c r="S7" i="10" s="1"/>
  <c r="P10" i="10" l="1"/>
  <c r="P11" i="10" s="1"/>
  <c r="P37" i="10" a="1"/>
  <c r="P37" i="10" s="1"/>
  <c r="F6" i="9" s="1"/>
  <c r="Q10" i="10"/>
  <c r="Q11" i="10" s="1"/>
  <c r="S10" i="10"/>
  <c r="S11" i="10" s="1"/>
  <c r="R10" i="10"/>
  <c r="R11" i="10" s="1"/>
  <c r="I18" i="10" l="1"/>
  <c r="I15" i="10"/>
  <c r="I17" i="10"/>
  <c r="I25" i="10"/>
  <c r="I24" i="10"/>
  <c r="I13" i="10"/>
  <c r="I26" i="10"/>
  <c r="I23" i="10"/>
  <c r="I14" i="10"/>
  <c r="I22" i="10"/>
  <c r="I11" i="10"/>
  <c r="I33" i="10"/>
  <c r="I35" i="10"/>
  <c r="I34" i="10"/>
  <c r="I32" i="10"/>
  <c r="I10" i="10"/>
  <c r="I9" i="10"/>
  <c r="I8" i="10"/>
  <c r="I21" i="10"/>
  <c r="I20" i="10"/>
  <c r="I28" i="10"/>
  <c r="I7" i="10"/>
  <c r="I31" i="10"/>
  <c r="I27" i="10"/>
  <c r="I19" i="10"/>
  <c r="I29" i="10"/>
  <c r="I36" i="10"/>
  <c r="I30" i="10"/>
  <c r="I16" i="10"/>
  <c r="I12" i="10"/>
  <c r="I6" i="10"/>
  <c r="I5" i="10"/>
  <c r="F7" i="9"/>
  <c r="Q42" i="10"/>
  <c r="K31" i="10" l="1"/>
  <c r="K33" i="10"/>
  <c r="K7" i="10"/>
  <c r="K22" i="10"/>
  <c r="K28" i="10"/>
  <c r="K20" i="10"/>
  <c r="K21" i="10"/>
  <c r="K16" i="10"/>
  <c r="K23" i="10"/>
  <c r="K26" i="10"/>
  <c r="K13" i="10"/>
  <c r="K15" i="10"/>
  <c r="K14" i="10"/>
  <c r="K6" i="10"/>
  <c r="K12" i="10"/>
  <c r="K8" i="10"/>
  <c r="K9" i="10"/>
  <c r="K24" i="10"/>
  <c r="K30" i="10"/>
  <c r="K10" i="10"/>
  <c r="K25" i="10"/>
  <c r="K36" i="10"/>
  <c r="K32" i="10"/>
  <c r="K17" i="10"/>
  <c r="K29" i="10"/>
  <c r="K34" i="10"/>
  <c r="K19" i="10"/>
  <c r="K35" i="10"/>
  <c r="K18" i="10"/>
  <c r="P51" i="10"/>
  <c r="K11" i="10"/>
  <c r="Q43" i="10"/>
  <c r="K27" i="10"/>
  <c r="K5" i="10"/>
  <c r="Q44" i="10"/>
  <c r="C5" i="10" s="1"/>
  <c r="P52" i="10"/>
  <c r="H7" i="9" l="1"/>
  <c r="M5" i="10"/>
  <c r="M8" i="10"/>
  <c r="M28" i="10"/>
  <c r="M12" i="10"/>
  <c r="H6" i="9"/>
  <c r="M16" i="10"/>
  <c r="M9" i="10"/>
  <c r="M7" i="10"/>
  <c r="M6" i="10"/>
  <c r="M18" i="10"/>
  <c r="M11" i="10"/>
  <c r="M21" i="10"/>
  <c r="M22" i="10"/>
  <c r="M33" i="10"/>
  <c r="M32" i="10"/>
  <c r="M10" i="10"/>
  <c r="M23" i="10"/>
  <c r="M25" i="10"/>
  <c r="M24" i="10"/>
  <c r="M20" i="10"/>
  <c r="M14" i="10"/>
  <c r="M35" i="10"/>
  <c r="M31" i="10"/>
  <c r="M19" i="10"/>
  <c r="M15" i="10"/>
  <c r="M29" i="10"/>
  <c r="M34" i="10"/>
  <c r="M27" i="10"/>
  <c r="M17" i="10"/>
  <c r="M36" i="10"/>
  <c r="M26" i="10"/>
  <c r="M30" i="10"/>
  <c r="M13" i="10"/>
  <c r="G6" i="9"/>
  <c r="J8" i="10"/>
  <c r="S44" i="10"/>
  <c r="J20" i="10" l="1"/>
  <c r="G7" i="9"/>
  <c r="J25" i="10"/>
  <c r="J14" i="10"/>
  <c r="J10" i="10"/>
  <c r="J30" i="10"/>
  <c r="J23" i="10"/>
  <c r="J33" i="10"/>
  <c r="J31" i="10"/>
  <c r="J29" i="10"/>
  <c r="J26" i="10"/>
  <c r="C8" i="10"/>
  <c r="C15" i="10"/>
  <c r="C14" i="10"/>
  <c r="C6" i="10"/>
  <c r="C27" i="10"/>
  <c r="C26" i="10"/>
  <c r="C31" i="10"/>
  <c r="C30" i="10"/>
  <c r="C13" i="10"/>
  <c r="C28" i="10"/>
  <c r="C17" i="10"/>
  <c r="C34" i="10"/>
  <c r="C29" i="10"/>
  <c r="C9" i="10"/>
  <c r="C18" i="10"/>
  <c r="C21" i="10"/>
  <c r="C7" i="10"/>
  <c r="C19" i="10"/>
  <c r="C24" i="10"/>
  <c r="C23" i="10"/>
  <c r="C22" i="10"/>
  <c r="C33" i="10"/>
  <c r="C20" i="10"/>
  <c r="C32" i="10"/>
  <c r="C12" i="10"/>
  <c r="C16" i="10"/>
  <c r="C36" i="10"/>
  <c r="C25" i="10"/>
  <c r="C11" i="10"/>
  <c r="C35" i="10"/>
  <c r="C10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<sst xmlns="http://schemas.openxmlformats.org/spreadsheetml/2006/main" count="225" uniqueCount="155">
  <si>
    <t>Balance sheet</t>
  </si>
  <si>
    <t>1.5)</t>
  </si>
  <si>
    <t>2.1)</t>
  </si>
  <si>
    <t>Current market values, Merton model</t>
  </si>
  <si>
    <t>Firm</t>
  </si>
  <si>
    <t>ROS (%)</t>
  </si>
  <si>
    <t>Leverage</t>
  </si>
  <si>
    <t>ICR</t>
  </si>
  <si>
    <t>CRR</t>
  </si>
  <si>
    <t>Z-Score</t>
  </si>
  <si>
    <t>Prediction</t>
  </si>
  <si>
    <t>Rating</t>
  </si>
  <si>
    <t>Y1 (1-Year PD)</t>
  </si>
  <si>
    <t>Y2 (2-Year PD)</t>
  </si>
  <si>
    <t>equity market cap</t>
  </si>
  <si>
    <t>asset volatility</t>
  </si>
  <si>
    <t>face value debt</t>
  </si>
  <si>
    <t>asset value</t>
  </si>
  <si>
    <t>ABC</t>
  </si>
  <si>
    <t>0.03%</t>
  </si>
  <si>
    <t>XYZ</t>
  </si>
  <si>
    <t>26.12%</t>
  </si>
  <si>
    <t>35.92%</t>
  </si>
  <si>
    <t>excluded</t>
  </si>
  <si>
    <t>(Table 24)</t>
  </si>
  <si>
    <t>return on sales</t>
  </si>
  <si>
    <t>leverage D/V</t>
  </si>
  <si>
    <t> interest coverage ratio</t>
  </si>
  <si>
    <t xml:space="preserve"> customer retention rate (yearly)</t>
  </si>
  <si>
    <t>1.1)</t>
  </si>
  <si>
    <t>Metric</t>
  </si>
  <si>
    <t>ROS</t>
  </si>
  <si>
    <t>S&amp;P Rating</t>
  </si>
  <si>
    <t>Defaulted</t>
  </si>
  <si>
    <t>Error Type</t>
  </si>
  <si>
    <t>Z-score</t>
  </si>
  <si>
    <t>Error Amount</t>
  </si>
  <si>
    <t>Mean Good</t>
  </si>
  <si>
    <t>AAA</t>
  </si>
  <si>
    <t>Firm 1</t>
  </si>
  <si>
    <t>Std Good</t>
  </si>
  <si>
    <t>AA</t>
  </si>
  <si>
    <t>0.02%</t>
  </si>
  <si>
    <t>0.05%</t>
  </si>
  <si>
    <t>Firm 2</t>
  </si>
  <si>
    <t>Mean Bad (defaulted)</t>
  </si>
  <si>
    <t>A</t>
  </si>
  <si>
    <t>0.11%</t>
  </si>
  <si>
    <t>Firm 3</t>
  </si>
  <si>
    <t>Std Bad (defaulted)</t>
  </si>
  <si>
    <t>BBB</t>
  </si>
  <si>
    <t>0.14%</t>
  </si>
  <si>
    <t>0.38%</t>
  </si>
  <si>
    <t>Firm 4</t>
  </si>
  <si>
    <t>I</t>
  </si>
  <si>
    <t>BB</t>
  </si>
  <si>
    <t>0.56%</t>
  </si>
  <si>
    <t>1.76%</t>
  </si>
  <si>
    <t>Firm 5</t>
  </si>
  <si>
    <t>Difference means</t>
  </si>
  <si>
    <t>B</t>
  </si>
  <si>
    <t>2.93%</t>
  </si>
  <si>
    <t>6.93%</t>
  </si>
  <si>
    <t>Firm 6</t>
  </si>
  <si>
    <t>Pooled Standard Deviation</t>
  </si>
  <si>
    <t>CCC/C</t>
  </si>
  <si>
    <t>Firm 7</t>
  </si>
  <si>
    <t>Signal to Noise Ration</t>
  </si>
  <si>
    <t>current yield on a 2-year U.S. Treasury bond (4.8%)</t>
  </si>
  <si>
    <t>Firm 8</t>
  </si>
  <si>
    <t>Firm 9</t>
  </si>
  <si>
    <t>2.2)</t>
  </si>
  <si>
    <t>d1</t>
  </si>
  <si>
    <t>d2</t>
  </si>
  <si>
    <t>Firm 10</t>
  </si>
  <si>
    <t>1.2)</t>
  </si>
  <si>
    <t>VCV good/bad</t>
  </si>
  <si>
    <t>Firm 11</t>
  </si>
  <si>
    <t>Firm 12</t>
  </si>
  <si>
    <t>coupon</t>
  </si>
  <si>
    <t>Firm 13</t>
  </si>
  <si>
    <t>Firm 14</t>
  </si>
  <si>
    <t>Firm 15</t>
  </si>
  <si>
    <t>VCV^-1</t>
  </si>
  <si>
    <t>Firm 16</t>
  </si>
  <si>
    <t>Firm 17</t>
  </si>
  <si>
    <t>Firm 18</t>
  </si>
  <si>
    <t>2.3)</t>
  </si>
  <si>
    <t>Firm 19</t>
  </si>
  <si>
    <t>Firm 20</t>
  </si>
  <si>
    <t>VCV good</t>
  </si>
  <si>
    <t>Firm 21</t>
  </si>
  <si>
    <t>Firm 22</t>
  </si>
  <si>
    <t>Firm 23</t>
  </si>
  <si>
    <t>Firm 24</t>
  </si>
  <si>
    <t>Firm 25</t>
  </si>
  <si>
    <t>II</t>
  </si>
  <si>
    <t>Firm 26</t>
  </si>
  <si>
    <t>VCV bad</t>
  </si>
  <si>
    <t>Firm 27</t>
  </si>
  <si>
    <t>Firm 28</t>
  </si>
  <si>
    <t>Firm 29</t>
  </si>
  <si>
    <t>Firm 30</t>
  </si>
  <si>
    <t>Firm 31</t>
  </si>
  <si>
    <t>Firm 32</t>
  </si>
  <si>
    <t>γ</t>
  </si>
  <si>
    <t>good firms</t>
  </si>
  <si>
    <t>bad firms</t>
  </si>
  <si>
    <t>similar</t>
  </si>
  <si>
    <t>Total Firms</t>
  </si>
  <si>
    <t>1.3)</t>
  </si>
  <si>
    <t>see Z-score column  + colored ones</t>
  </si>
  <si>
    <t>loan</t>
  </si>
  <si>
    <t>value</t>
  </si>
  <si>
    <t>time</t>
  </si>
  <si>
    <t>mean z-s good</t>
  </si>
  <si>
    <t>requested</t>
  </si>
  <si>
    <t>100M</t>
  </si>
  <si>
    <t>2 years</t>
  </si>
  <si>
    <t>mean z-s bad</t>
  </si>
  <si>
    <t>Fitch Global Corporate Average Cumulative Default rates in 2 years:</t>
  </si>
  <si>
    <t>CCC to C rated</t>
  </si>
  <si>
    <t>α (cutoff)</t>
  </si>
  <si>
    <t>Rate</t>
  </si>
  <si>
    <t>Type I errors</t>
  </si>
  <si>
    <t>Type II errors</t>
  </si>
  <si>
    <t>1.4)</t>
  </si>
  <si>
    <t>Threshold</t>
  </si>
  <si>
    <t>rf</t>
  </si>
  <si>
    <t>T</t>
  </si>
  <si>
    <t>current yield on a 2-year U.S. Treasury bond (4.8%)-&gt;rf</t>
  </si>
  <si>
    <t>Probability of Default (PD)</t>
  </si>
  <si>
    <t>B= V - E</t>
  </si>
  <si>
    <t>Market Value of Debt</t>
  </si>
  <si>
    <t>credit spread</t>
  </si>
  <si>
    <t>loan value:</t>
  </si>
  <si>
    <t>LEVERAGE L</t>
  </si>
  <si>
    <t>credit spread 2.2</t>
  </si>
  <si>
    <t>coupon 2.2</t>
  </si>
  <si>
    <t>yield y</t>
  </si>
  <si>
    <t>new cutoff</t>
  </si>
  <si>
    <t>new prediction</t>
  </si>
  <si>
    <t>New error type</t>
  </si>
  <si>
    <t>1) Goal: Minimize type 2 errors: say its good when its bad very conservative approach</t>
  </si>
  <si>
    <t>C</t>
  </si>
  <si>
    <t>Z value</t>
  </si>
  <si>
    <t>Bond: Tapestry Inc.</t>
  </si>
  <si>
    <t>price</t>
  </si>
  <si>
    <t>YTM</t>
  </si>
  <si>
    <r>
      <t>Maturity</t>
    </r>
    <r>
      <rPr>
        <sz val="12"/>
        <color theme="1"/>
        <rFont val="Microsoft YaHei"/>
        <family val="2"/>
      </rPr>
      <t>: 07/15/2027</t>
    </r>
  </si>
  <si>
    <t>Coupon:</t>
  </si>
  <si>
    <t>OAS (Option-Adjusted Spread)</t>
  </si>
  <si>
    <r>
      <t>Seniority</t>
    </r>
    <r>
      <rPr>
        <sz val="12"/>
        <color theme="1"/>
        <rFont val="Microsoft YaHei"/>
        <family val="2"/>
      </rPr>
      <t>:</t>
    </r>
  </si>
  <si>
    <t>Senior unsecured</t>
  </si>
  <si>
    <t>Total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</si>
</sst>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_([$$-409]* #,##0.00_);_([$$-409]* \(#,##0.00\);_([$$-409]* &quot;-&quot;??_);_(@_)"/>
    <numFmt numFmtId="171" formatCode="0.000000000000000%"/>
    <numFmt numFmtId="172" formatCode="0.0%"/>
    <numFmt numFmtId="173" formatCode="&quot;$&quot;#,##0.00"/>
    <numFmt numFmtId="174" formatCode="&quot;$&quot;#,##0.0"/>
  </numFmts>
  <fonts count="17" x14ac:knownFonts="1">
    <font>
      <sz val="12"/>
      <color theme="1"/>
      <name val="Microsoft YaHei"/>
      <family val="2"/>
    </font>
    <font>
      <sz val="12"/>
      <color theme="1"/>
      <name val="Microsoft YaHei"/>
      <family val="2"/>
    </font>
    <font>
      <b/>
      <sz val="12"/>
      <color theme="1"/>
      <name val="Microsoft YaHei"/>
      <family val="2"/>
    </font>
    <font>
      <b/>
      <sz val="12"/>
      <color theme="1"/>
      <name val="Microsoft YaHei"/>
      <family val="2"/>
      <charset val="134"/>
    </font>
    <font>
      <sz val="8"/>
      <name val="Microsoft YaHei"/>
      <family val="2"/>
    </font>
    <font>
      <sz val="12"/>
      <color rgb="FF000000"/>
      <name val="Helvetica"/>
      <family val="2"/>
    </font>
    <font>
      <sz val="12"/>
      <color rgb="FF000000"/>
      <name val="Helvetica Neue"/>
      <family val="2"/>
    </font>
    <font>
      <sz val="10"/>
      <color theme="1"/>
      <name val="Arial Unicode MS"/>
      <family val="2"/>
    </font>
    <font>
      <sz val="12"/>
      <color rgb="FFFF0000"/>
      <name val="Microsoft YaHei"/>
      <family val="2"/>
    </font>
    <font>
      <sz val="12"/>
      <color theme="1"/>
      <name val="Microsoft YaHei"/>
      <family val="2"/>
      <charset val="134"/>
    </font>
    <font>
      <i/>
      <sz val="12"/>
      <color theme="1"/>
      <name val="Microsoft YaHei"/>
      <family val="2"/>
    </font>
    <font>
      <sz val="12"/>
      <color theme="0"/>
      <name val="Microsoft YaHei"/>
      <family val="2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2"/>
      <color rgb="FF000000"/>
      <name val="Microsoft YaHei"/>
      <family val="2"/>
    </font>
    <font>
      <sz val="11"/>
      <color rgb="FF242424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5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9" fillId="0" borderId="1" xfId="0" applyFont="1" applyBorder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0" fillId="0" borderId="3" xfId="0" applyBorder="1"/>
    <xf numFmtId="0" fontId="10" fillId="0" borderId="4" xfId="0" applyFont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/>
    <xf numFmtId="0" fontId="0" fillId="6" borderId="0" xfId="0" applyFill="1"/>
    <xf numFmtId="0" fontId="0" fillId="6" borderId="1" xfId="0" applyFill="1" applyBorder="1"/>
    <xf numFmtId="0" fontId="0" fillId="2" borderId="0" xfId="0" applyFill="1"/>
    <xf numFmtId="0" fontId="3" fillId="0" borderId="6" xfId="0" applyFont="1" applyBorder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3" borderId="3" xfId="0" applyFill="1" applyBorder="1"/>
    <xf numFmtId="0" fontId="13" fillId="0" borderId="0" xfId="0" applyFont="1"/>
    <xf numFmtId="10" fontId="12" fillId="0" borderId="0" xfId="0" applyNumberFormat="1" applyFont="1"/>
    <xf numFmtId="0" fontId="14" fillId="0" borderId="0" xfId="0" applyFont="1"/>
    <xf numFmtId="2" fontId="14" fillId="0" borderId="0" xfId="0" applyNumberFormat="1" applyFont="1"/>
    <xf numFmtId="10" fontId="0" fillId="7" borderId="0" xfId="0" applyNumberFormat="1" applyFill="1" applyAlignment="1">
      <alignment horizontal="center"/>
    </xf>
    <xf numFmtId="10" fontId="0" fillId="7" borderId="0" xfId="0" applyNumberFormat="1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2" fontId="15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2" borderId="0" xfId="0" applyNumberFormat="1" applyFill="1"/>
    <xf numFmtId="171" fontId="0" fillId="0" borderId="0" xfId="0" applyNumberFormat="1"/>
    <xf numFmtId="0" fontId="5" fillId="2" borderId="0" xfId="0" applyFont="1" applyFill="1"/>
    <xf numFmtId="173" fontId="0" fillId="0" borderId="0" xfId="0" applyNumberFormat="1"/>
    <xf numFmtId="0" fontId="0" fillId="0" borderId="0" xfId="0" applyNumberFormat="1"/>
    <xf numFmtId="166" fontId="0" fillId="2" borderId="0" xfId="0" applyNumberFormat="1" applyFill="1"/>
    <xf numFmtId="172" fontId="0" fillId="3" borderId="0" xfId="0" applyNumberFormat="1" applyFill="1"/>
    <xf numFmtId="0" fontId="5" fillId="3" borderId="0" xfId="0" applyFont="1" applyFill="1"/>
    <xf numFmtId="165" fontId="0" fillId="3" borderId="0" xfId="0" applyNumberFormat="1" applyFill="1"/>
    <xf numFmtId="174" fontId="0" fillId="3" borderId="0" xfId="0" applyNumberFormat="1" applyFill="1"/>
    <xf numFmtId="0" fontId="5" fillId="2" borderId="0" xfId="0" applyFont="1" applyFill="1" applyAlignment="1">
      <alignment horizontal="center" vertical="center"/>
    </xf>
    <xf numFmtId="166" fontId="0" fillId="8" borderId="0" xfId="0" applyNumberFormat="1" applyFill="1"/>
    <xf numFmtId="9" fontId="0" fillId="2" borderId="0" xfId="0" applyNumberFormat="1" applyFill="1"/>
    <xf numFmtId="173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Z-values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HistSample!$I$5:$I$36</c:f>
              <c:numCache>
                <c:formatCode>0.00</c:formatCode>
                <c:ptCount val="32"/>
                <c:pt idx="0">
                  <c:v>7.3011017293250395</c:v>
                </c:pt>
                <c:pt idx="1">
                  <c:v>8.8706349422506889</c:v>
                </c:pt>
                <c:pt idx="2">
                  <c:v>8.6080492120995284</c:v>
                </c:pt>
                <c:pt idx="3">
                  <c:v>6.1508217363586608</c:v>
                </c:pt>
                <c:pt idx="4">
                  <c:v>10.206961554125229</c:v>
                </c:pt>
                <c:pt idx="5">
                  <c:v>4.8866144264916649</c:v>
                </c:pt>
                <c:pt idx="6">
                  <c:v>10.30461106945846</c:v>
                </c:pt>
                <c:pt idx="7">
                  <c:v>8.4116347807116458</c:v>
                </c:pt>
                <c:pt idx="8">
                  <c:v>7.405339958828943</c:v>
                </c:pt>
                <c:pt idx="9">
                  <c:v>5.9289556339393048</c:v>
                </c:pt>
                <c:pt idx="10">
                  <c:v>8.5400254618435092</c:v>
                </c:pt>
                <c:pt idx="11">
                  <c:v>7.8873794584454773</c:v>
                </c:pt>
                <c:pt idx="12">
                  <c:v>8.1861115918805343</c:v>
                </c:pt>
                <c:pt idx="13">
                  <c:v>7.0069337948050832</c:v>
                </c:pt>
                <c:pt idx="14">
                  <c:v>11.582737743934018</c:v>
                </c:pt>
                <c:pt idx="15">
                  <c:v>6.820626820935046</c:v>
                </c:pt>
                <c:pt idx="16">
                  <c:v>9.2234914035113871</c:v>
                </c:pt>
                <c:pt idx="17">
                  <c:v>7.5808386873986837</c:v>
                </c:pt>
                <c:pt idx="18">
                  <c:v>6.8480719330943662</c:v>
                </c:pt>
                <c:pt idx="19">
                  <c:v>8.669768209041921</c:v>
                </c:pt>
                <c:pt idx="20">
                  <c:v>6.5279268498917169</c:v>
                </c:pt>
                <c:pt idx="21">
                  <c:v>4.6278577473251188</c:v>
                </c:pt>
                <c:pt idx="22">
                  <c:v>5.1714975434460317</c:v>
                </c:pt>
                <c:pt idx="23">
                  <c:v>6.3204043088425994</c:v>
                </c:pt>
                <c:pt idx="24">
                  <c:v>11.08962047090324</c:v>
                </c:pt>
                <c:pt idx="25">
                  <c:v>7.1116159751630512</c:v>
                </c:pt>
                <c:pt idx="26">
                  <c:v>7.4812314287523876</c:v>
                </c:pt>
                <c:pt idx="27">
                  <c:v>4.2389885679000372</c:v>
                </c:pt>
                <c:pt idx="28">
                  <c:v>7.289340914348279</c:v>
                </c:pt>
                <c:pt idx="29">
                  <c:v>3.5751944378205329</c:v>
                </c:pt>
                <c:pt idx="30">
                  <c:v>4.3290747997949239</c:v>
                </c:pt>
                <c:pt idx="31">
                  <c:v>4.0082919380293127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8-2B41-B2ED-327160D50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993488"/>
        <c:axId val="526995200"/>
      </c:barChart>
      <c:catAx>
        <c:axId val="52699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95200"/>
        <c:crosses val="autoZero"/>
        <c:auto val="1"/>
        <c:lblAlgn val="ctr"/>
        <c:lblOffset val="100"/>
        <c:noMultiLvlLbl val="0"/>
      </c:catAx>
      <c:valAx>
        <c:axId val="5269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9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1066800</xdr:colOff>
      <xdr:row>37</xdr:row>
      <xdr:rowOff>222250</xdr:rowOff>
    </xdr:from>
    <xdr:to>
      <xdr:col>9</xdr:col>
      <xdr:colOff>1447800</xdr:colOff>
      <xdr:row>49</xdr:row>
      <xdr:rowOff>222250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AE5740-B5AE-1129-4FFE-45E29DD68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showGridLines="0" tabSelected="1" topLeftCell="L1" zoomScale="110" zoomScaleNormal="115" workbookViewId="0">
      <selection activeCell="W14" sqref="W14"/>
    </sheetView>
  </sheetViews>
  <sheetFormatPr baseColWidth="10" defaultColWidth="11.5703125" defaultRowHeight="17.25" customHeight="1" x14ac:dyDescent="0.25"/>
  <cols>
    <col min="1" max="1" width="7.85546875" customWidth="1"/>
    <col min="9" max="9" width="14.85546875" customWidth="1"/>
    <col min="10" max="10" width="16.28515625" customWidth="1"/>
    <col min="11" max="11" width="5.7109375" customWidth="1"/>
    <col min="12" max="12" width="18.28515625" bestFit="1" customWidth="1"/>
    <col min="13" max="13" width="13.85546875" bestFit="1" customWidth="1"/>
    <col min="14" max="14" width="15.7109375" bestFit="1" customWidth="1"/>
    <col min="15" max="15" width="12" bestFit="1" customWidth="1"/>
    <col min="16" max="16" width="18.140625" bestFit="1" customWidth="1"/>
    <col min="18" max="18" width="21.7109375" customWidth="1"/>
    <col min="19" max="19" width="19" customWidth="1"/>
    <col min="20" max="21" width="26.140625" customWidth="1"/>
    <col min="22" max="22" width="16.5703125" customWidth="1"/>
    <col min="23" max="23" width="21.28515625" customWidth="1"/>
  </cols>
  <sheetData>
    <row r="1" spans="1:23" ht="17.25" customHeight="1" x14ac:dyDescent="0.25">
      <c r="O1" t="s">
        <v>129</v>
      </c>
      <c r="P1">
        <v>2</v>
      </c>
      <c r="R1" t="s">
        <v>135</v>
      </c>
      <c r="S1" s="72">
        <v>100000000</v>
      </c>
    </row>
    <row r="2" spans="1:23" ht="17.25" customHeight="1" x14ac:dyDescent="0.25">
      <c r="L2" t="s">
        <v>130</v>
      </c>
      <c r="O2" t="s">
        <v>128</v>
      </c>
      <c r="P2" s="46">
        <v>4.8000000000000001E-2</v>
      </c>
    </row>
    <row r="4" spans="1:23" ht="18" x14ac:dyDescent="0.25">
      <c r="B4" s="67" t="s">
        <v>0</v>
      </c>
      <c r="C4" s="67"/>
      <c r="D4" s="67"/>
      <c r="E4" s="10"/>
      <c r="F4" s="63" t="s">
        <v>1</v>
      </c>
      <c r="G4" s="63" t="s">
        <v>1</v>
      </c>
      <c r="H4" s="63" t="s">
        <v>1</v>
      </c>
      <c r="I4" s="26" t="s">
        <v>2</v>
      </c>
      <c r="J4" s="26" t="s">
        <v>2</v>
      </c>
      <c r="L4" s="67" t="s">
        <v>3</v>
      </c>
      <c r="M4" s="67"/>
      <c r="N4" s="67"/>
      <c r="O4" s="67"/>
      <c r="P4" t="s">
        <v>71</v>
      </c>
      <c r="R4" s="41" t="s">
        <v>71</v>
      </c>
      <c r="S4" s="29" t="s">
        <v>132</v>
      </c>
      <c r="T4" s="29" t="s">
        <v>134</v>
      </c>
      <c r="U4" s="76" t="s">
        <v>79</v>
      </c>
    </row>
    <row r="5" spans="1:23" ht="18" x14ac:dyDescent="0.25">
      <c r="A5" s="16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11</v>
      </c>
      <c r="L5" s="1" t="s">
        <v>14</v>
      </c>
      <c r="M5" s="5" t="s">
        <v>15</v>
      </c>
      <c r="N5" s="1" t="s">
        <v>16</v>
      </c>
      <c r="O5" s="6" t="s">
        <v>17</v>
      </c>
      <c r="P5" s="9" t="s">
        <v>72</v>
      </c>
      <c r="Q5" t="s">
        <v>73</v>
      </c>
      <c r="R5" t="s">
        <v>131</v>
      </c>
      <c r="S5" s="29" t="s">
        <v>133</v>
      </c>
      <c r="T5" s="29"/>
      <c r="U5" s="29"/>
    </row>
    <row r="6" spans="1:23" ht="18" x14ac:dyDescent="0.25">
      <c r="A6" s="15" t="s">
        <v>18</v>
      </c>
      <c r="B6" s="3">
        <v>1.9</v>
      </c>
      <c r="C6" s="2">
        <v>-0.14000000000000001</v>
      </c>
      <c r="D6" s="2">
        <v>1.1499999999999999</v>
      </c>
      <c r="E6" s="2">
        <v>0.18</v>
      </c>
      <c r="F6" s="62">
        <f>HistSample!$P$37*B6 + HistSample!$P$38*C6 + HistSample!$P$39*D6</f>
        <v>14.986697563247343</v>
      </c>
      <c r="G6" s="10">
        <f>IF(F6&gt;HistSample!$Q$44, 0, 1)</f>
        <v>0</v>
      </c>
      <c r="H6" s="2" t="str">
        <f>IF(F6&lt;=HistSample!P$51, "Default",
 IF(F6&lt;=HistSample!P$52, "C",
 IF(F6&lt;=HistSample!P$53, "B",
 IF(F6&gt;HistSample!P$53, "A"))))</f>
        <v>A</v>
      </c>
      <c r="I6" s="46">
        <v>0</v>
      </c>
      <c r="J6" t="s">
        <v>19</v>
      </c>
      <c r="K6" s="2"/>
      <c r="L6" s="14">
        <v>2747</v>
      </c>
      <c r="M6" s="2">
        <v>0.22</v>
      </c>
      <c r="N6" s="14">
        <v>3700</v>
      </c>
      <c r="O6" s="14">
        <v>6522</v>
      </c>
      <c r="P6" s="12">
        <f xml:space="preserve"> (LN(O6/N6) + (P2 + 0.5 * M6^2) * P1) / (M6 * SQRT(P1))</f>
        <v>2.2860384824489612</v>
      </c>
      <c r="Q6" s="12">
        <f xml:space="preserve"> P6 - M6 * SQRT(P1)</f>
        <v>1.9749114987268803</v>
      </c>
      <c r="R6" s="69">
        <f xml:space="preserve"> _xlfn.NORM.S.DIST(-Q6, TRUE)</f>
        <v>2.4139096130469561E-2</v>
      </c>
      <c r="S6" s="77">
        <f>O6-L6</f>
        <v>3775</v>
      </c>
      <c r="T6" s="75">
        <f>(-1/P1)*LN(S6/N6)-P2</f>
        <v>-5.8033781525404587E-2</v>
      </c>
      <c r="U6" s="78">
        <f>T6*S1</f>
        <v>-5803378.1525404584</v>
      </c>
    </row>
    <row r="7" spans="1:23" ht="18" x14ac:dyDescent="0.25">
      <c r="A7" s="15" t="s">
        <v>20</v>
      </c>
      <c r="B7" s="3">
        <v>0.5</v>
      </c>
      <c r="C7" s="2">
        <v>0.11</v>
      </c>
      <c r="D7" s="2">
        <v>2.46</v>
      </c>
      <c r="E7" s="2">
        <v>0.16</v>
      </c>
      <c r="F7" s="62">
        <f>HistSample!$P$37*B7 + HistSample!$P$38*C7 + HistSample!$P$39*D7</f>
        <v>5.9640557746824321</v>
      </c>
      <c r="G7" s="10">
        <f>IF(F7&gt;HistSample!$Q$44, 0, 1)</f>
        <v>1</v>
      </c>
      <c r="H7" s="2" t="str">
        <f>IF(F7&lt;=HistSample!P$51, "Default",
 IF(F7&lt;=HistSample!P$52, "C",
 IF(F7&lt;=HistSample!P$53, "B",
 IF(F7&gt;HistSample!P$53, "A"))))</f>
        <v>Default</v>
      </c>
      <c r="I7" t="s">
        <v>21</v>
      </c>
      <c r="J7" t="s">
        <v>22</v>
      </c>
      <c r="K7" s="2"/>
      <c r="L7" s="14">
        <v>1343</v>
      </c>
      <c r="M7" s="2">
        <v>0.31</v>
      </c>
      <c r="N7" s="14">
        <v>2100</v>
      </c>
      <c r="O7" s="14">
        <v>3215</v>
      </c>
      <c r="S7" t="s">
        <v>136</v>
      </c>
      <c r="T7" s="41" t="s">
        <v>137</v>
      </c>
      <c r="U7" s="71" t="s">
        <v>138</v>
      </c>
      <c r="V7" t="s">
        <v>139</v>
      </c>
    </row>
    <row r="8" spans="1:23" ht="17.25" customHeight="1" x14ac:dyDescent="0.25">
      <c r="S8" s="73">
        <f>N6*EXP(-P2*P1)/O6</f>
        <v>0.51538130319751807</v>
      </c>
      <c r="T8" s="69">
        <f xml:space="preserve"> - (1/P1) * LN( (1/S8) *  _xlfn.NORM.S.DIST(-P6, TRUE) + 1 -  _xlfn.NORM.S.DIST(-Q6, TRUE) )</f>
        <v>1.2772244498849253E-3</v>
      </c>
      <c r="U8" s="74">
        <f>V8*S1</f>
        <v>4927722.4449884929</v>
      </c>
      <c r="V8" s="46">
        <f>T8+P2</f>
        <v>4.9277224449884929E-2</v>
      </c>
    </row>
    <row r="13" spans="1:23" ht="17.25" customHeight="1" x14ac:dyDescent="0.25">
      <c r="P13" t="s">
        <v>87</v>
      </c>
      <c r="Q13" t="s">
        <v>147</v>
      </c>
      <c r="R13" t="s">
        <v>148</v>
      </c>
      <c r="S13" s="24" t="s">
        <v>149</v>
      </c>
      <c r="T13" s="70" t="s">
        <v>150</v>
      </c>
      <c r="U13" t="s">
        <v>151</v>
      </c>
      <c r="V13" s="24" t="s">
        <v>152</v>
      </c>
      <c r="W13" t="s">
        <v>154</v>
      </c>
    </row>
    <row r="14" spans="1:23" ht="17.25" customHeight="1" x14ac:dyDescent="0.25">
      <c r="P14" t="s">
        <v>146</v>
      </c>
      <c r="Q14">
        <v>98.63</v>
      </c>
      <c r="R14" s="46">
        <v>4.8000000000000001E-2</v>
      </c>
      <c r="S14">
        <v>2</v>
      </c>
      <c r="T14" s="46">
        <v>4.1250000000000002E-2</v>
      </c>
      <c r="U14" s="81">
        <v>0.01</v>
      </c>
      <c r="V14" t="s">
        <v>153</v>
      </c>
      <c r="W14" s="82">
        <f>S1*(R14+U14)</f>
        <v>5800000</v>
      </c>
    </row>
    <row r="21" spans="21:21" ht="17.25" customHeight="1" x14ac:dyDescent="0.25">
      <c r="U21" s="80"/>
    </row>
  </sheetData>
  <mergeCells count="2">
    <mergeCell ref="L4:O4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4"/>
  <sheetViews>
    <sheetView topLeftCell="E10" zoomScale="93" zoomScaleNormal="87" workbookViewId="0">
      <selection activeCell="P54" sqref="P54"/>
    </sheetView>
  </sheetViews>
  <sheetFormatPr baseColWidth="10" defaultColWidth="11.5703125" defaultRowHeight="18" x14ac:dyDescent="0.25"/>
  <cols>
    <col min="1" max="1" width="12.140625" customWidth="1"/>
    <col min="2" max="2" width="12.85546875" customWidth="1"/>
    <col min="3" max="4" width="10.140625" customWidth="1"/>
    <col min="5" max="5" width="13.5703125" style="10" customWidth="1"/>
    <col min="6" max="6" width="13.28515625" style="10" customWidth="1"/>
    <col min="7" max="7" width="18.85546875" style="10" customWidth="1"/>
    <col min="8" max="10" width="23.5703125" style="18" customWidth="1"/>
    <col min="11" max="11" width="11.5703125" customWidth="1"/>
    <col min="12" max="13" width="14.140625" customWidth="1"/>
    <col min="14" max="14" width="16.140625" customWidth="1"/>
    <col min="15" max="15" width="22.140625" customWidth="1"/>
    <col min="16" max="16" width="13.5703125" customWidth="1"/>
    <col min="25" max="25" width="18.140625" customWidth="1"/>
    <col min="26" max="26" width="20.5703125" customWidth="1"/>
    <col min="27" max="27" width="28.28515625" customWidth="1"/>
    <col min="28" max="28" width="22.85546875" customWidth="1"/>
    <col min="29" max="29" width="16.28515625" customWidth="1"/>
    <col min="30" max="30" width="27.7109375" customWidth="1"/>
    <col min="31" max="31" width="29.42578125" customWidth="1"/>
    <col min="32" max="32" width="21.28515625" customWidth="1"/>
    <col min="33" max="33" width="14.42578125" customWidth="1"/>
  </cols>
  <sheetData>
    <row r="2" spans="1:34" x14ac:dyDescent="0.25">
      <c r="E2" s="68" t="s">
        <v>0</v>
      </c>
      <c r="F2" s="68"/>
      <c r="G2" s="68"/>
      <c r="H2" s="68"/>
      <c r="I2" s="10"/>
      <c r="J2" s="10"/>
      <c r="P2" s="23"/>
      <c r="S2" t="s">
        <v>23</v>
      </c>
      <c r="X2" t="s">
        <v>24</v>
      </c>
    </row>
    <row r="3" spans="1:34" x14ac:dyDescent="0.25">
      <c r="E3" s="22" t="s">
        <v>25</v>
      </c>
      <c r="F3" s="10" t="s">
        <v>26</v>
      </c>
      <c r="G3" s="17" t="s">
        <v>27</v>
      </c>
      <c r="H3" s="21" t="s">
        <v>28</v>
      </c>
      <c r="I3" s="21"/>
      <c r="J3" s="21"/>
      <c r="K3" s="79" t="s">
        <v>126</v>
      </c>
      <c r="L3" s="79" t="s">
        <v>126</v>
      </c>
      <c r="M3" s="79" t="s">
        <v>126</v>
      </c>
      <c r="N3" s="26" t="s">
        <v>29</v>
      </c>
      <c r="O3" s="24" t="s">
        <v>30</v>
      </c>
      <c r="P3" s="31" t="s">
        <v>31</v>
      </c>
      <c r="Q3" s="31" t="s">
        <v>6</v>
      </c>
      <c r="R3" s="31" t="s">
        <v>7</v>
      </c>
      <c r="S3" s="32" t="s">
        <v>8</v>
      </c>
      <c r="X3" s="26" t="s">
        <v>2</v>
      </c>
      <c r="Y3" t="s">
        <v>32</v>
      </c>
      <c r="Z3" t="s">
        <v>12</v>
      </c>
      <c r="AA3" t="s">
        <v>13</v>
      </c>
    </row>
    <row r="4" spans="1:34" ht="19" thickBot="1" x14ac:dyDescent="0.3">
      <c r="A4" s="7" t="s">
        <v>4</v>
      </c>
      <c r="B4" s="7" t="s">
        <v>33</v>
      </c>
      <c r="C4" s="38" t="s">
        <v>10</v>
      </c>
      <c r="D4" s="42" t="s">
        <v>34</v>
      </c>
      <c r="E4" s="8" t="s">
        <v>5</v>
      </c>
      <c r="F4" s="8" t="s">
        <v>6</v>
      </c>
      <c r="G4" s="8" t="s">
        <v>7</v>
      </c>
      <c r="H4" s="8" t="s">
        <v>8</v>
      </c>
      <c r="I4" s="37" t="s">
        <v>35</v>
      </c>
      <c r="J4" s="36" t="s">
        <v>36</v>
      </c>
      <c r="K4" s="36" t="s">
        <v>141</v>
      </c>
      <c r="L4" s="36" t="s">
        <v>142</v>
      </c>
      <c r="M4" s="42" t="s">
        <v>11</v>
      </c>
      <c r="O4" t="s">
        <v>37</v>
      </c>
      <c r="P4" s="27">
        <f>AVERAGEIFS(E3:E36, $B3:$B36, 0)</f>
        <v>0.85786115187952394</v>
      </c>
      <c r="Q4" s="27">
        <f>AVERAGEIFS(F3:F36, $B3:$B36, 0)</f>
        <v>4.4615064491159345E-2</v>
      </c>
      <c r="R4" s="27">
        <f>AVERAGEIFS(G3:G36, $B3:$B36, 0)</f>
        <v>1.4028595843379013</v>
      </c>
      <c r="S4" s="27">
        <f>AVERAGEIFS(H3:H36, $B3:$B36, 0)</f>
        <v>0.11938896395209149</v>
      </c>
      <c r="Y4" t="s">
        <v>38</v>
      </c>
      <c r="Z4" s="46">
        <v>0</v>
      </c>
      <c r="AA4" t="s">
        <v>19</v>
      </c>
    </row>
    <row r="5" spans="1:34" x14ac:dyDescent="0.25">
      <c r="A5" t="s">
        <v>39</v>
      </c>
      <c r="B5" s="59">
        <v>0</v>
      </c>
      <c r="C5" s="59">
        <f>IF(I5&gt;$Q$44, 0, 1)</f>
        <v>0</v>
      </c>
      <c r="D5" s="61"/>
      <c r="E5" s="12">
        <v>0.85174108096560563</v>
      </c>
      <c r="F5" s="12">
        <v>-0.13910824915311137</v>
      </c>
      <c r="G5" s="12">
        <v>1.9301736503189186</v>
      </c>
      <c r="H5" s="19">
        <v>0.11029999694814906</v>
      </c>
      <c r="I5" s="19">
        <f>$P$37*E5 + $P$38*F5 + $P$39*G5</f>
        <v>7.3011017293250395</v>
      </c>
      <c r="J5" s="19"/>
      <c r="K5">
        <f>IF(I5&gt;$U$51, 0, 1)</f>
        <v>1</v>
      </c>
      <c r="L5" s="10" t="s">
        <v>54</v>
      </c>
      <c r="M5" s="10" t="str">
        <f>IF(I5&lt;=P$51, "Default",M5
 IF(I5&lt;=P$52, "C",
 IF(I5&lt;=P$53, "B",
 IF(I5&gt;P$53, "A"))))</f>
        <v>Default</v>
      </c>
      <c r="O5" s="11" t="s">
        <v>40</v>
      </c>
      <c r="P5" s="28" cm="1">
        <f t="array" ref="P5">_xlfn.STDEV.S(_xlfn._xlws.FILTER(E2:E110, $B2:$B110=0))</f>
        <v>0.16608446429365842</v>
      </c>
      <c r="Q5" s="28" cm="1">
        <f t="array" ref="Q5">_xlfn.STDEV.S(_xlfn._xlws.FILTER(F2:F110, $B2:$B110=0))</f>
        <v>0.27467318399392593</v>
      </c>
      <c r="R5" s="28" cm="1">
        <f t="array" ref="R5">_xlfn.STDEV.S(_xlfn._xlws.FILTER(G2:G110, $B2:$B110=0))</f>
        <v>0.92100657027519528</v>
      </c>
      <c r="S5" s="28" cm="1">
        <f t="array" ref="S5">_xlfn.STDEV.S(_xlfn._xlws.FILTER(H2:H110, $B2:$B110=0))</f>
        <v>5.4845664653511129E-2</v>
      </c>
      <c r="Y5" t="s">
        <v>41</v>
      </c>
      <c r="Z5" t="s">
        <v>42</v>
      </c>
      <c r="AA5" t="s">
        <v>43</v>
      </c>
    </row>
    <row r="6" spans="1:34" x14ac:dyDescent="0.25">
      <c r="A6" t="s">
        <v>44</v>
      </c>
      <c r="B6">
        <v>0</v>
      </c>
      <c r="C6">
        <f t="shared" ref="C6:C36" si="0">IF(I6&gt;$Q$44, 0, 1)</f>
        <v>0</v>
      </c>
      <c r="D6" s="10"/>
      <c r="E6" s="12">
        <v>1.1025666066469313</v>
      </c>
      <c r="F6" s="12">
        <v>-0.32683126316110722</v>
      </c>
      <c r="G6" s="12">
        <v>2.576464125492111</v>
      </c>
      <c r="H6" s="19">
        <v>0.18652912991729487</v>
      </c>
      <c r="I6" s="19">
        <f>$P$37*E6 + $P$38*F6 + $P$39*G6</f>
        <v>8.8706349422506889</v>
      </c>
      <c r="J6" s="19"/>
      <c r="K6">
        <f t="shared" ref="K6:K36" si="1">IF(I6&gt;$U$51, 0, 1)</f>
        <v>0</v>
      </c>
      <c r="L6" s="10"/>
      <c r="M6" s="10" t="str">
        <f t="shared" ref="M6:M36" si="2">IF(I6&lt;=P$51, "Default",
 IF(I6&lt;=P$52, "C",
 IF(I6&lt;=P$53, "B",
 IF(I6&gt;P$53, "A"))))</f>
        <v>B</v>
      </c>
      <c r="O6" t="s">
        <v>45</v>
      </c>
      <c r="P6" s="27">
        <f>AVERAGEIFS(E4:E36, $B4:$B36, 1)</f>
        <v>0.55818268379772329</v>
      </c>
      <c r="Q6" s="27">
        <f>AVERAGEIFS(F4:F112, $B4:$B112, 1)</f>
        <v>0.23542130802331612</v>
      </c>
      <c r="R6" s="27">
        <f>AVERAGEIFS(G4:G112, $B4:$B112, 1)</f>
        <v>1.0681783501693776</v>
      </c>
      <c r="S6" s="27">
        <f>AVERAGEIFS(H4:H112, $B4:$B112, 1)</f>
        <v>0.1151010773033844</v>
      </c>
      <c r="U6" s="25"/>
      <c r="V6" s="25"/>
      <c r="W6" s="25"/>
      <c r="X6" s="25"/>
      <c r="Y6" t="s">
        <v>46</v>
      </c>
      <c r="Z6" t="s">
        <v>43</v>
      </c>
      <c r="AA6" t="s">
        <v>47</v>
      </c>
    </row>
    <row r="7" spans="1:34" x14ac:dyDescent="0.25">
      <c r="A7" t="s">
        <v>48</v>
      </c>
      <c r="B7">
        <v>0</v>
      </c>
      <c r="C7">
        <f t="shared" si="0"/>
        <v>0</v>
      </c>
      <c r="D7" s="10"/>
      <c r="E7" s="12">
        <v>1.0170720542008729</v>
      </c>
      <c r="F7" s="12">
        <v>0.10460036011841178</v>
      </c>
      <c r="G7" s="12">
        <v>0.32685323648792991</v>
      </c>
      <c r="H7" s="19">
        <v>5.8980071413312178E-2</v>
      </c>
      <c r="I7" s="19">
        <f t="shared" ref="I7:I36" si="3">$P$37*E7 + $P$38*F7 + $P$39*G7</f>
        <v>8.6080492120995284</v>
      </c>
      <c r="J7" s="19"/>
      <c r="K7">
        <f t="shared" si="1"/>
        <v>0</v>
      </c>
      <c r="L7" s="10"/>
      <c r="M7" s="10" t="str">
        <f t="shared" si="2"/>
        <v>B</v>
      </c>
      <c r="O7" t="s">
        <v>49</v>
      </c>
      <c r="P7" s="27" cm="1">
        <f t="array" ref="P7">_xlfn.STDEV.P(_xlfn._xlws.FILTER(E3:E111, $B3:$B111=1))</f>
        <v>0.29380236202385507</v>
      </c>
      <c r="Q7" s="27" cm="1">
        <f t="array" ref="Q7">_xlfn.STDEV.P(_xlfn._xlws.FILTER(F3:F111, $B3:$B111=1))</f>
        <v>0.19835596325443994</v>
      </c>
      <c r="R7" s="27" cm="1">
        <f t="array" ref="R7">_xlfn.STDEV.P(_xlfn._xlws.FILTER(G3:G111, $B3:$B111=1))</f>
        <v>0.69368136709096695</v>
      </c>
      <c r="S7" s="27" cm="1">
        <f t="array" ref="S7">_xlfn.STDEV.P(_xlfn._xlws.FILTER(H3:H111, $B3:$B111=1))</f>
        <v>4.154059948103387E-2</v>
      </c>
      <c r="U7" s="25"/>
      <c r="Y7" t="s">
        <v>50</v>
      </c>
      <c r="Z7" t="s">
        <v>51</v>
      </c>
      <c r="AA7" t="s">
        <v>52</v>
      </c>
    </row>
    <row r="8" spans="1:34" x14ac:dyDescent="0.25">
      <c r="A8" t="s">
        <v>53</v>
      </c>
      <c r="B8" s="39">
        <v>0</v>
      </c>
      <c r="C8" s="39">
        <f>IF(I8&gt;$Q$44, 0, 1)</f>
        <v>1</v>
      </c>
      <c r="D8" s="43" t="s">
        <v>54</v>
      </c>
      <c r="E8" s="12">
        <v>0.65985900448622092</v>
      </c>
      <c r="F8" s="12">
        <v>0.11428693502609333</v>
      </c>
      <c r="G8" s="12">
        <v>0.78133487960448011</v>
      </c>
      <c r="H8" s="19">
        <v>1.5045625171666617E-2</v>
      </c>
      <c r="I8" s="19">
        <f>$P$37*E8 + $P$38*F8 + $P$39*G8</f>
        <v>6.1508217363586608</v>
      </c>
      <c r="J8" s="19">
        <f>I8-Q44</f>
        <v>-0.7794070725662694</v>
      </c>
      <c r="K8">
        <f t="shared" si="1"/>
        <v>1</v>
      </c>
      <c r="L8" s="10" t="s">
        <v>54</v>
      </c>
      <c r="M8" s="10" t="str">
        <f t="shared" si="2"/>
        <v>Default</v>
      </c>
      <c r="P8" s="25"/>
      <c r="Y8" t="s">
        <v>55</v>
      </c>
      <c r="Z8" t="s">
        <v>56</v>
      </c>
      <c r="AA8" t="s">
        <v>57</v>
      </c>
    </row>
    <row r="9" spans="1:34" x14ac:dyDescent="0.25">
      <c r="A9" t="s">
        <v>58</v>
      </c>
      <c r="B9">
        <v>0</v>
      </c>
      <c r="C9">
        <f t="shared" si="0"/>
        <v>0</v>
      </c>
      <c r="D9" s="10"/>
      <c r="E9" s="12">
        <v>0.91092257454145931</v>
      </c>
      <c r="F9" s="12">
        <v>0.34724204229865419</v>
      </c>
      <c r="G9" s="12">
        <v>2.4788659321878721</v>
      </c>
      <c r="H9" s="19">
        <v>9.5968504898220786E-2</v>
      </c>
      <c r="I9" s="19">
        <f t="shared" si="3"/>
        <v>10.206961554125229</v>
      </c>
      <c r="J9" s="19"/>
      <c r="K9">
        <f t="shared" si="1"/>
        <v>0</v>
      </c>
      <c r="L9" s="10"/>
      <c r="M9" s="10" t="str">
        <f t="shared" si="2"/>
        <v>A</v>
      </c>
      <c r="O9" t="s">
        <v>59</v>
      </c>
      <c r="P9">
        <f>ABS(P4 - P6)</f>
        <v>0.29967846808180065</v>
      </c>
      <c r="Q9">
        <f>ABS(Q4 - Q6)</f>
        <v>0.19080624353215678</v>
      </c>
      <c r="R9">
        <f>ABS(R4 - R6)</f>
        <v>0.33468123416852369</v>
      </c>
      <c r="S9">
        <f>ABS(S4 - S6)</f>
        <v>4.2878866487070927E-3</v>
      </c>
      <c r="Y9" t="s">
        <v>60</v>
      </c>
      <c r="Z9" t="s">
        <v>61</v>
      </c>
      <c r="AA9" t="s">
        <v>62</v>
      </c>
    </row>
    <row r="10" spans="1:34" x14ac:dyDescent="0.25">
      <c r="A10" t="s">
        <v>63</v>
      </c>
      <c r="B10" s="39">
        <v>0</v>
      </c>
      <c r="C10" s="39">
        <f t="shared" si="0"/>
        <v>1</v>
      </c>
      <c r="D10" s="43" t="s">
        <v>54</v>
      </c>
      <c r="E10" s="12">
        <v>0.7042634357737968</v>
      </c>
      <c r="F10" s="12">
        <v>-0.31874507889034703</v>
      </c>
      <c r="G10" s="12">
        <v>1.1691640980254525</v>
      </c>
      <c r="H10" s="19">
        <v>9.7549363689077434E-2</v>
      </c>
      <c r="I10" s="19">
        <f t="shared" si="3"/>
        <v>4.8866144264916649</v>
      </c>
      <c r="J10" s="19">
        <f>I10-Q44</f>
        <v>-2.0436143824332653</v>
      </c>
      <c r="K10">
        <f t="shared" si="1"/>
        <v>1</v>
      </c>
      <c r="L10" s="10" t="s">
        <v>54</v>
      </c>
      <c r="M10" s="10" t="str">
        <f t="shared" si="2"/>
        <v>Default</v>
      </c>
      <c r="O10" t="s">
        <v>64</v>
      </c>
      <c r="P10">
        <f>SQRT(((52-1)*P5^2 + (33-1)*P7^2) / (52 + 33 - 2))</f>
        <v>0.22411864884397248</v>
      </c>
      <c r="Q10">
        <f>SQRT(((52-1)*Q5^2 + (33-1)*Q7^2) / (52 + 33 - 2))</f>
        <v>0.24804673285269799</v>
      </c>
      <c r="R10">
        <f>SQRT(((52-1)*R5^2 + (33-1)*R7^2) / (52 + 33 - 2))</f>
        <v>0.84067608389375614</v>
      </c>
      <c r="S10">
        <f>SQRT(((52-1)*S5^2 + (33-1)*S7^2) / (52 + 33 - 2))</f>
        <v>5.013599318664666E-2</v>
      </c>
      <c r="Y10" t="s">
        <v>65</v>
      </c>
      <c r="Z10" t="s">
        <v>21</v>
      </c>
      <c r="AA10" t="s">
        <v>22</v>
      </c>
    </row>
    <row r="11" spans="1:34" x14ac:dyDescent="0.25">
      <c r="A11" t="s">
        <v>66</v>
      </c>
      <c r="B11">
        <v>0</v>
      </c>
      <c r="C11">
        <f t="shared" si="0"/>
        <v>0</v>
      </c>
      <c r="D11" s="10"/>
      <c r="E11" s="12">
        <v>0.93013092440565193</v>
      </c>
      <c r="F11" s="12">
        <v>0.50363109225745417</v>
      </c>
      <c r="G11" s="12">
        <v>1.3536484878078554</v>
      </c>
      <c r="H11" s="19">
        <v>0.1846552934354686</v>
      </c>
      <c r="I11" s="19">
        <f t="shared" si="3"/>
        <v>10.30461106945846</v>
      </c>
      <c r="J11" s="19"/>
      <c r="K11">
        <f t="shared" si="1"/>
        <v>0</v>
      </c>
      <c r="L11" s="10"/>
      <c r="M11" s="10" t="str">
        <f t="shared" si="2"/>
        <v>A</v>
      </c>
      <c r="O11" t="s">
        <v>67</v>
      </c>
      <c r="P11" s="30">
        <f>P9 / P10</f>
        <v>1.3371420434112631</v>
      </c>
      <c r="Q11" s="30">
        <f>Q9 / Q10</f>
        <v>0.76923506041688783</v>
      </c>
      <c r="R11" s="30">
        <f>R9 / R10</f>
        <v>0.39810961746215251</v>
      </c>
      <c r="S11" s="29">
        <f>S9 / S10</f>
        <v>8.5525116312029872E-2</v>
      </c>
      <c r="AC11" t="s">
        <v>68</v>
      </c>
    </row>
    <row r="12" spans="1:34" x14ac:dyDescent="0.25">
      <c r="A12" t="s">
        <v>69</v>
      </c>
      <c r="B12">
        <v>0</v>
      </c>
      <c r="C12">
        <f t="shared" si="0"/>
        <v>0</v>
      </c>
      <c r="D12" s="10"/>
      <c r="E12" s="12">
        <v>0.99866939298684643</v>
      </c>
      <c r="F12" s="12">
        <v>-0.26643757438886684</v>
      </c>
      <c r="G12" s="12">
        <v>2.7214880825220495</v>
      </c>
      <c r="H12" s="19">
        <v>7.3134556108279666E-2</v>
      </c>
      <c r="I12" s="19">
        <f t="shared" si="3"/>
        <v>8.4116347807116458</v>
      </c>
      <c r="J12" s="19"/>
      <c r="K12">
        <f t="shared" si="1"/>
        <v>0</v>
      </c>
      <c r="L12" s="10"/>
      <c r="M12" s="10" t="str">
        <f t="shared" si="2"/>
        <v>B</v>
      </c>
    </row>
    <row r="13" spans="1:34" x14ac:dyDescent="0.25">
      <c r="A13" t="s">
        <v>70</v>
      </c>
      <c r="B13" s="59">
        <v>0</v>
      </c>
      <c r="C13" s="59">
        <f t="shared" si="0"/>
        <v>0</v>
      </c>
      <c r="D13" s="60"/>
      <c r="E13" s="12">
        <v>0.7633716849269081</v>
      </c>
      <c r="F13" s="12">
        <v>0.1416901150547808</v>
      </c>
      <c r="G13" s="12">
        <v>1.2904751731925412</v>
      </c>
      <c r="H13" s="19">
        <v>0.18245185705130162</v>
      </c>
      <c r="I13" s="19">
        <f t="shared" si="3"/>
        <v>7.405339958828943</v>
      </c>
      <c r="J13" s="19"/>
      <c r="K13">
        <f t="shared" si="1"/>
        <v>1</v>
      </c>
      <c r="L13" s="10" t="s">
        <v>54</v>
      </c>
      <c r="M13" s="10" t="str">
        <f t="shared" si="2"/>
        <v>Default</v>
      </c>
      <c r="X13" s="26"/>
      <c r="AH13" s="65"/>
    </row>
    <row r="14" spans="1:34" x14ac:dyDescent="0.25">
      <c r="A14" t="s">
        <v>74</v>
      </c>
      <c r="B14" s="39">
        <v>0</v>
      </c>
      <c r="C14" s="39">
        <f t="shared" si="0"/>
        <v>1</v>
      </c>
      <c r="D14" s="43" t="s">
        <v>54</v>
      </c>
      <c r="E14" s="12">
        <v>0.63217261268959624</v>
      </c>
      <c r="F14" s="12">
        <v>0.11644886623737305</v>
      </c>
      <c r="G14" s="12">
        <v>0.75835444196905422</v>
      </c>
      <c r="H14" s="19">
        <v>0.1578661458174383</v>
      </c>
      <c r="I14" s="19">
        <f t="shared" si="3"/>
        <v>5.9289556339393048</v>
      </c>
      <c r="J14" s="19">
        <f>I14-Q44</f>
        <v>-1.0012731749856254</v>
      </c>
      <c r="K14">
        <f t="shared" si="1"/>
        <v>1</v>
      </c>
      <c r="L14" s="10" t="s">
        <v>54</v>
      </c>
      <c r="M14" s="10" t="str">
        <f t="shared" si="2"/>
        <v>Default</v>
      </c>
      <c r="N14" s="26" t="s">
        <v>75</v>
      </c>
      <c r="P14" t="s">
        <v>76</v>
      </c>
      <c r="Y14" s="64"/>
      <c r="Z14" s="46"/>
      <c r="AA14" s="64"/>
      <c r="AC14" s="46"/>
      <c r="AD14" s="66"/>
      <c r="AE14" s="2"/>
      <c r="AF14" s="12"/>
    </row>
    <row r="15" spans="1:34" x14ac:dyDescent="0.25">
      <c r="A15" t="s">
        <v>77</v>
      </c>
      <c r="B15">
        <v>0</v>
      </c>
      <c r="C15">
        <f t="shared" si="0"/>
        <v>0</v>
      </c>
      <c r="D15" s="10"/>
      <c r="E15" s="12">
        <v>0.61519821771904659</v>
      </c>
      <c r="F15" s="12">
        <v>0.45590014343699459</v>
      </c>
      <c r="G15" s="12">
        <v>2.7538987395855585</v>
      </c>
      <c r="H15" s="19">
        <v>0.13863338114566484</v>
      </c>
      <c r="I15" s="19">
        <f t="shared" si="3"/>
        <v>8.5400254618435092</v>
      </c>
      <c r="J15" s="19"/>
      <c r="K15">
        <f t="shared" si="1"/>
        <v>0</v>
      </c>
      <c r="L15" s="10"/>
      <c r="M15" s="10" t="str">
        <f t="shared" si="2"/>
        <v>B</v>
      </c>
    </row>
    <row r="16" spans="1:34" x14ac:dyDescent="0.25">
      <c r="A16" t="s">
        <v>78</v>
      </c>
      <c r="B16">
        <v>0</v>
      </c>
      <c r="C16">
        <f t="shared" si="0"/>
        <v>0</v>
      </c>
      <c r="D16" s="10"/>
      <c r="E16" s="12">
        <v>0.76309701834162413</v>
      </c>
      <c r="F16" s="12">
        <v>0.40319956053346351</v>
      </c>
      <c r="G16" s="12">
        <v>0.29709768974883266</v>
      </c>
      <c r="H16" s="19">
        <v>0.1239906002990814</v>
      </c>
      <c r="I16" s="19">
        <f t="shared" si="3"/>
        <v>7.8873794584454773</v>
      </c>
      <c r="J16" s="19"/>
      <c r="K16">
        <f t="shared" si="1"/>
        <v>0</v>
      </c>
      <c r="L16" s="10"/>
      <c r="M16" s="10" t="str">
        <f t="shared" si="2"/>
        <v>C</v>
      </c>
      <c r="P16" cm="1">
        <f t="array" ref="P16:R18">((B38-1)*Q25:S27 + (B39-1)*Q31:S33) / (B38 + B39 - 2)</f>
        <v>4.4327108579773414E-2</v>
      </c>
      <c r="Q16">
        <v>-9.3324619902010759E-3</v>
      </c>
      <c r="R16">
        <v>-1.0276163235605968E-2</v>
      </c>
    </row>
    <row r="17" spans="1:29" x14ac:dyDescent="0.25">
      <c r="A17" t="s">
        <v>80</v>
      </c>
      <c r="B17">
        <v>0</v>
      </c>
      <c r="C17">
        <f t="shared" si="0"/>
        <v>0</v>
      </c>
      <c r="D17" s="10"/>
      <c r="E17" s="12">
        <v>0.73251747184667493</v>
      </c>
      <c r="F17" s="12">
        <v>0.21376384777367474</v>
      </c>
      <c r="G17" s="12">
        <v>2.3964659566026794</v>
      </c>
      <c r="H17" s="19">
        <v>0.13871883297219764</v>
      </c>
      <c r="I17" s="19">
        <f t="shared" si="3"/>
        <v>8.1861115918805343</v>
      </c>
      <c r="J17" s="19"/>
      <c r="K17">
        <f t="shared" si="1"/>
        <v>0</v>
      </c>
      <c r="L17" s="10"/>
      <c r="M17" s="10" t="str">
        <f t="shared" si="2"/>
        <v>B</v>
      </c>
      <c r="P17">
        <v>-9.3324619902010759E-3</v>
      </c>
      <c r="Q17">
        <v>6.2866833233205091E-2</v>
      </c>
      <c r="R17">
        <v>-9.9882312964917289E-3</v>
      </c>
      <c r="Z17" s="46"/>
      <c r="AA17" s="46"/>
      <c r="AB17" s="64"/>
      <c r="AC17" s="46"/>
    </row>
    <row r="18" spans="1:29" x14ac:dyDescent="0.25">
      <c r="A18" t="s">
        <v>81</v>
      </c>
      <c r="B18" s="59">
        <v>0</v>
      </c>
      <c r="C18" s="59">
        <f t="shared" si="0"/>
        <v>0</v>
      </c>
      <c r="D18" s="60"/>
      <c r="E18" s="12">
        <v>0.77296670430616166</v>
      </c>
      <c r="F18" s="12">
        <v>0.15676747947630243</v>
      </c>
      <c r="G18" s="12">
        <v>0.45466475417340613</v>
      </c>
      <c r="H18" s="19">
        <v>2.0722067934202094E-2</v>
      </c>
      <c r="I18" s="19">
        <f t="shared" si="3"/>
        <v>7.0069337948050832</v>
      </c>
      <c r="J18" s="19"/>
      <c r="K18">
        <f t="shared" si="1"/>
        <v>1</v>
      </c>
      <c r="L18" s="10" t="s">
        <v>54</v>
      </c>
      <c r="M18" s="10" t="str">
        <f t="shared" si="2"/>
        <v>Default</v>
      </c>
      <c r="P18">
        <v>-1.0276163235605968E-2</v>
      </c>
      <c r="Q18">
        <v>-9.9882312964917289E-3</v>
      </c>
      <c r="R18">
        <v>0.71114545201494672</v>
      </c>
    </row>
    <row r="19" spans="1:29" x14ac:dyDescent="0.25">
      <c r="A19" t="s">
        <v>82</v>
      </c>
      <c r="B19">
        <v>0</v>
      </c>
      <c r="C19">
        <f t="shared" si="0"/>
        <v>0</v>
      </c>
      <c r="D19" s="10"/>
      <c r="E19" s="12">
        <v>1.1415692617572557</v>
      </c>
      <c r="F19" s="12">
        <v>0.30751304666280099</v>
      </c>
      <c r="G19" s="12">
        <v>2.0814233832819609</v>
      </c>
      <c r="H19" s="19">
        <v>0.18038270210882901</v>
      </c>
      <c r="I19" s="19">
        <f t="shared" si="3"/>
        <v>11.582737743934018</v>
      </c>
      <c r="J19" s="19"/>
      <c r="K19">
        <f t="shared" si="1"/>
        <v>0</v>
      </c>
      <c r="L19" s="10"/>
      <c r="M19" s="10" t="str">
        <f t="shared" si="2"/>
        <v>A</v>
      </c>
      <c r="P19" t="s">
        <v>83</v>
      </c>
    </row>
    <row r="20" spans="1:29" x14ac:dyDescent="0.25">
      <c r="A20" t="s">
        <v>84</v>
      </c>
      <c r="B20" s="39">
        <v>0</v>
      </c>
      <c r="C20" s="39">
        <f t="shared" si="0"/>
        <v>1</v>
      </c>
      <c r="D20" s="43" t="s">
        <v>54</v>
      </c>
      <c r="E20" s="12">
        <v>0.85783867915890988</v>
      </c>
      <c r="F20" s="12">
        <v>-0.37557298501541186</v>
      </c>
      <c r="G20" s="12">
        <v>2.6881618701742607</v>
      </c>
      <c r="H20" s="19">
        <v>3.1562242500076297E-2</v>
      </c>
      <c r="I20" s="19">
        <f t="shared" si="3"/>
        <v>6.820626820935046</v>
      </c>
      <c r="J20" s="19">
        <f>I20-Q44</f>
        <v>-0.10960198798988419</v>
      </c>
      <c r="K20">
        <f t="shared" si="1"/>
        <v>1</v>
      </c>
      <c r="L20" s="10" t="s">
        <v>54</v>
      </c>
      <c r="M20" s="10" t="str">
        <f t="shared" si="2"/>
        <v>Default</v>
      </c>
      <c r="P20" cm="1">
        <f t="array" ref="P20:R22">MINVERSE(_xlfn.ANCHORARRAY(P16))</f>
        <v>23.393535323088088</v>
      </c>
      <c r="Q20">
        <v>3.5343202879362039</v>
      </c>
      <c r="R20">
        <v>0.38768074149753967</v>
      </c>
    </row>
    <row r="21" spans="1:29" x14ac:dyDescent="0.25">
      <c r="A21" t="s">
        <v>85</v>
      </c>
      <c r="B21">
        <v>0</v>
      </c>
      <c r="C21">
        <f t="shared" si="0"/>
        <v>0</v>
      </c>
      <c r="D21" s="10"/>
      <c r="E21" s="12">
        <v>1.0671712393566697</v>
      </c>
      <c r="F21" s="12">
        <v>2.0762352366710424E-2</v>
      </c>
      <c r="G21" s="12">
        <v>1.2341685232093265</v>
      </c>
      <c r="H21" s="19">
        <v>0.14608600115970335</v>
      </c>
      <c r="I21" s="19">
        <f t="shared" si="3"/>
        <v>9.2234914035113871</v>
      </c>
      <c r="J21" s="19"/>
      <c r="K21">
        <f t="shared" si="1"/>
        <v>0</v>
      </c>
      <c r="L21" s="10"/>
      <c r="M21" s="10" t="str">
        <f t="shared" si="2"/>
        <v>B</v>
      </c>
      <c r="P21">
        <v>3.5343202879362039</v>
      </c>
      <c r="Q21">
        <v>16.476182614740829</v>
      </c>
      <c r="R21">
        <v>0.28248394822159595</v>
      </c>
    </row>
    <row r="22" spans="1:29" x14ac:dyDescent="0.25">
      <c r="A22" t="s">
        <v>86</v>
      </c>
      <c r="B22">
        <v>0</v>
      </c>
      <c r="C22">
        <f t="shared" si="0"/>
        <v>0</v>
      </c>
      <c r="D22" s="10"/>
      <c r="E22" s="12">
        <v>0.79184545426801356</v>
      </c>
      <c r="F22" s="12">
        <v>0.24658589434492018</v>
      </c>
      <c r="G22" s="12">
        <v>0.51738029114658046</v>
      </c>
      <c r="H22" s="19">
        <v>0.1228186895352031</v>
      </c>
      <c r="I22" s="19">
        <f t="shared" si="3"/>
        <v>7.5808386873986837</v>
      </c>
      <c r="J22" s="19"/>
      <c r="K22">
        <f t="shared" si="1"/>
        <v>0</v>
      </c>
      <c r="L22" s="10"/>
      <c r="M22" s="10" t="str">
        <f t="shared" si="2"/>
        <v>C</v>
      </c>
      <c r="P22">
        <v>0.38768074149753962</v>
      </c>
      <c r="Q22">
        <v>0.28248394822159589</v>
      </c>
      <c r="R22">
        <v>1.4157517041593233</v>
      </c>
      <c r="X22" s="26" t="s">
        <v>87</v>
      </c>
    </row>
    <row r="23" spans="1:29" ht="19" thickBot="1" x14ac:dyDescent="0.3">
      <c r="A23" t="s">
        <v>88</v>
      </c>
      <c r="B23" s="39">
        <v>0</v>
      </c>
      <c r="C23" s="39">
        <f t="shared" si="0"/>
        <v>1</v>
      </c>
      <c r="D23" s="43" t="s">
        <v>54</v>
      </c>
      <c r="E23" s="12">
        <v>0.77864314706869708</v>
      </c>
      <c r="F23" s="12">
        <v>-2.3655507065034997E-2</v>
      </c>
      <c r="G23" s="12">
        <v>1.3432111575670644</v>
      </c>
      <c r="H23" s="19">
        <v>0.15815912350840786</v>
      </c>
      <c r="I23" s="19">
        <f t="shared" si="3"/>
        <v>6.8480719330943662</v>
      </c>
      <c r="J23" s="19">
        <f>I23-Q44</f>
        <v>-8.2156875830563969E-2</v>
      </c>
      <c r="K23">
        <f t="shared" si="1"/>
        <v>1</v>
      </c>
      <c r="L23" s="10" t="s">
        <v>54</v>
      </c>
      <c r="M23" s="10" t="str">
        <f t="shared" si="2"/>
        <v>Default</v>
      </c>
    </row>
    <row r="24" spans="1:29" x14ac:dyDescent="0.25">
      <c r="A24" t="s">
        <v>89</v>
      </c>
      <c r="B24">
        <v>0</v>
      </c>
      <c r="C24">
        <f t="shared" si="0"/>
        <v>0</v>
      </c>
      <c r="D24" s="10"/>
      <c r="E24" s="12">
        <v>1.1790887173070468</v>
      </c>
      <c r="F24" s="12">
        <v>-0.12956205938901943</v>
      </c>
      <c r="G24" s="12">
        <v>1.9226660969878233E-2</v>
      </c>
      <c r="H24" s="19">
        <v>7.6137577440717807E-2</v>
      </c>
      <c r="I24" s="19">
        <f>$P$37*E24 + $P$38*F24 + $P$39*G24</f>
        <v>8.669768209041921</v>
      </c>
      <c r="J24" s="19"/>
      <c r="K24">
        <f t="shared" si="1"/>
        <v>0</v>
      </c>
      <c r="L24" s="10"/>
      <c r="M24" s="10" t="str">
        <f t="shared" si="2"/>
        <v>B</v>
      </c>
      <c r="P24" s="34" t="s">
        <v>90</v>
      </c>
      <c r="Q24" s="34" t="s">
        <v>5</v>
      </c>
      <c r="R24" s="34" t="s">
        <v>6</v>
      </c>
      <c r="S24" s="34" t="s">
        <v>7</v>
      </c>
      <c r="T24" s="50" t="s">
        <v>8</v>
      </c>
    </row>
    <row r="25" spans="1:29" x14ac:dyDescent="0.25">
      <c r="A25" t="s">
        <v>91</v>
      </c>
      <c r="B25" s="39">
        <v>0</v>
      </c>
      <c r="C25" s="39">
        <f t="shared" si="0"/>
        <v>1</v>
      </c>
      <c r="D25" s="43" t="s">
        <v>54</v>
      </c>
      <c r="E25" s="12">
        <v>0.86487014374217952</v>
      </c>
      <c r="F25" s="12">
        <v>-0.27702261421552171</v>
      </c>
      <c r="G25" s="12">
        <v>1.4905240028077027</v>
      </c>
      <c r="H25" s="19">
        <v>0.18840907010101626</v>
      </c>
      <c r="I25" s="19">
        <f t="shared" si="3"/>
        <v>6.5279268498917169</v>
      </c>
      <c r="J25" s="19">
        <f>I25-Q44</f>
        <v>-0.40230195903321331</v>
      </c>
      <c r="K25">
        <f t="shared" si="1"/>
        <v>1</v>
      </c>
      <c r="L25" s="10" t="s">
        <v>54</v>
      </c>
      <c r="M25" s="10" t="str">
        <f t="shared" si="2"/>
        <v>Default</v>
      </c>
      <c r="P25" t="s">
        <v>5</v>
      </c>
      <c r="Q25">
        <f>VARP(HistSample!$E$5:$E$26)</f>
        <v>2.6330228857906427E-2</v>
      </c>
      <c r="R25">
        <v>-8.1090808730481401E-3</v>
      </c>
      <c r="S25">
        <v>1.4602242874815945E-2</v>
      </c>
    </row>
    <row r="26" spans="1:29" x14ac:dyDescent="0.25">
      <c r="A26" s="11" t="s">
        <v>92</v>
      </c>
      <c r="B26" s="40">
        <v>0</v>
      </c>
      <c r="C26" s="39">
        <f t="shared" si="0"/>
        <v>1</v>
      </c>
      <c r="D26" s="44" t="s">
        <v>54</v>
      </c>
      <c r="E26" s="13">
        <v>0.73736991485335857</v>
      </c>
      <c r="F26" s="13">
        <v>-0.29392498550370805</v>
      </c>
      <c r="G26" s="13">
        <v>0.19986571855830559</v>
      </c>
      <c r="H26" s="20">
        <v>0.13845637379070405</v>
      </c>
      <c r="I26" s="19">
        <f t="shared" si="3"/>
        <v>4.6278577473251188</v>
      </c>
      <c r="J26" s="19">
        <f>I26-Q44</f>
        <v>-2.3023710615998114</v>
      </c>
      <c r="K26">
        <f t="shared" si="1"/>
        <v>1</v>
      </c>
      <c r="L26" s="10" t="s">
        <v>54</v>
      </c>
      <c r="M26" s="10" t="str">
        <f t="shared" si="2"/>
        <v>Default</v>
      </c>
      <c r="P26" t="s">
        <v>6</v>
      </c>
      <c r="Q26">
        <v>-8.1090808730481401E-3</v>
      </c>
      <c r="R26">
        <f>VARP(HistSample!$F$5:$F$26)</f>
        <v>7.2947581122322955E-2</v>
      </c>
      <c r="S26">
        <v>-1.8706933843141534E-2</v>
      </c>
    </row>
    <row r="27" spans="1:29" x14ac:dyDescent="0.25">
      <c r="A27" t="s">
        <v>93</v>
      </c>
      <c r="B27">
        <v>1</v>
      </c>
      <c r="C27">
        <f t="shared" si="0"/>
        <v>1</v>
      </c>
      <c r="D27" s="10"/>
      <c r="E27" s="12">
        <v>0.3458235419782098</v>
      </c>
      <c r="F27" s="12">
        <v>0.43168431653798017</v>
      </c>
      <c r="G27" s="12">
        <v>0.95333719901120029</v>
      </c>
      <c r="H27" s="19">
        <v>7.1395001068147834E-2</v>
      </c>
      <c r="I27" s="19">
        <f t="shared" si="3"/>
        <v>5.1714975434460317</v>
      </c>
      <c r="J27" s="19"/>
      <c r="K27">
        <f t="shared" si="1"/>
        <v>1</v>
      </c>
      <c r="L27" s="10"/>
      <c r="M27" s="10" t="str">
        <f t="shared" si="2"/>
        <v>Default</v>
      </c>
      <c r="P27" t="s">
        <v>7</v>
      </c>
      <c r="Q27">
        <v>1.4602242874815945E-2</v>
      </c>
      <c r="R27">
        <v>-1.8706933843141534E-2</v>
      </c>
      <c r="S27">
        <f>VARP(HistSample!$G$5:$G$26)</f>
        <v>0.80969614328598416</v>
      </c>
    </row>
    <row r="28" spans="1:29" ht="19" thickBot="1" x14ac:dyDescent="0.3">
      <c r="A28" t="s">
        <v>94</v>
      </c>
      <c r="B28">
        <v>1</v>
      </c>
      <c r="C28">
        <f t="shared" si="0"/>
        <v>1</v>
      </c>
      <c r="D28" s="10"/>
      <c r="E28" s="12">
        <v>0.38149204992828151</v>
      </c>
      <c r="F28" s="12">
        <v>0.50246589556566046</v>
      </c>
      <c r="G28" s="12">
        <v>1.8323313089388715</v>
      </c>
      <c r="H28" s="19">
        <v>9.23429059724723E-2</v>
      </c>
      <c r="I28" s="19">
        <f t="shared" si="3"/>
        <v>6.3204043088425994</v>
      </c>
      <c r="J28" s="19"/>
      <c r="K28">
        <f t="shared" si="1"/>
        <v>1</v>
      </c>
      <c r="L28" s="10"/>
      <c r="M28" s="10" t="str">
        <f t="shared" si="2"/>
        <v>Default</v>
      </c>
      <c r="P28" s="51" t="s">
        <v>8</v>
      </c>
      <c r="Q28" s="33">
        <v>8.1533636529362223E-4</v>
      </c>
      <c r="R28" s="33">
        <v>2.3142157494223329E-3</v>
      </c>
      <c r="S28" s="33">
        <v>8.3159005784165813E-3</v>
      </c>
      <c r="T28" s="33">
        <f>VARP(HistSample!$H$5:$H$26)</f>
        <v>2.8713175253178846E-3</v>
      </c>
    </row>
    <row r="29" spans="1:29" ht="19" thickBot="1" x14ac:dyDescent="0.3">
      <c r="A29" t="s">
        <v>95</v>
      </c>
      <c r="B29" s="41">
        <v>1</v>
      </c>
      <c r="C29" s="41">
        <f t="shared" si="0"/>
        <v>0</v>
      </c>
      <c r="D29" s="45" t="s">
        <v>96</v>
      </c>
      <c r="E29" s="12">
        <v>1.2</v>
      </c>
      <c r="F29" s="12">
        <v>0.37024140140995515</v>
      </c>
      <c r="G29" s="12">
        <v>0.18781090731528671</v>
      </c>
      <c r="H29" s="19">
        <v>0.16304818872646262</v>
      </c>
      <c r="I29" s="19">
        <f t="shared" si="3"/>
        <v>11.08962047090324</v>
      </c>
      <c r="J29" s="19">
        <f>I29-Q44</f>
        <v>4.1593916619783098</v>
      </c>
      <c r="K29">
        <f t="shared" si="1"/>
        <v>0</v>
      </c>
      <c r="L29" s="10" t="s">
        <v>96</v>
      </c>
      <c r="M29" s="10" t="str">
        <f t="shared" si="2"/>
        <v>A</v>
      </c>
    </row>
    <row r="30" spans="1:29" x14ac:dyDescent="0.25">
      <c r="A30" t="s">
        <v>97</v>
      </c>
      <c r="B30" s="41">
        <v>1</v>
      </c>
      <c r="C30" s="41">
        <f t="shared" si="0"/>
        <v>0</v>
      </c>
      <c r="D30" s="45" t="s">
        <v>96</v>
      </c>
      <c r="E30" s="12">
        <v>0.65091097750785853</v>
      </c>
      <c r="F30" s="12">
        <v>0.21678518021179843</v>
      </c>
      <c r="G30" s="12">
        <v>1.6979888302255317</v>
      </c>
      <c r="H30" s="19">
        <v>7.1687978759117407E-2</v>
      </c>
      <c r="I30" s="19">
        <f t="shared" si="3"/>
        <v>7.1116159751630512</v>
      </c>
      <c r="J30" s="19">
        <f>I30-Q44</f>
        <v>0.18138716623812101</v>
      </c>
      <c r="K30">
        <f t="shared" si="1"/>
        <v>1</v>
      </c>
      <c r="L30" s="10"/>
      <c r="M30" s="10" t="str">
        <f t="shared" si="2"/>
        <v>Default</v>
      </c>
      <c r="P30" s="34" t="s">
        <v>98</v>
      </c>
      <c r="Q30" s="34" t="s">
        <v>5</v>
      </c>
      <c r="R30" s="34" t="s">
        <v>6</v>
      </c>
      <c r="S30" s="34" t="s">
        <v>7</v>
      </c>
      <c r="T30" s="50" t="s">
        <v>8</v>
      </c>
    </row>
    <row r="31" spans="1:29" x14ac:dyDescent="0.25">
      <c r="A31" t="s">
        <v>99</v>
      </c>
      <c r="B31" s="41">
        <v>1</v>
      </c>
      <c r="C31" s="41">
        <f t="shared" si="0"/>
        <v>0</v>
      </c>
      <c r="D31" s="45" t="s">
        <v>96</v>
      </c>
      <c r="E31" s="12">
        <v>0.75220954008606222</v>
      </c>
      <c r="F31" s="12">
        <v>0.10689107943968013</v>
      </c>
      <c r="G31" s="12">
        <v>1.7760551774651325</v>
      </c>
      <c r="H31" s="19">
        <v>0.11933347575304423</v>
      </c>
      <c r="I31" s="19">
        <f t="shared" si="3"/>
        <v>7.4812314287523876</v>
      </c>
      <c r="J31" s="19">
        <f>I31-Q44</f>
        <v>0.55100261982745735</v>
      </c>
      <c r="K31">
        <f t="shared" si="1"/>
        <v>1</v>
      </c>
      <c r="L31" s="10"/>
      <c r="M31" s="10" t="str">
        <f t="shared" si="2"/>
        <v>Default</v>
      </c>
      <c r="P31" t="s">
        <v>5</v>
      </c>
      <c r="Q31">
        <f>VARP(HistSample!$E$27:$E$36)</f>
        <v>8.63198279307964E-2</v>
      </c>
      <c r="R31">
        <v>-1.218701793022459E-2</v>
      </c>
      <c r="S31">
        <v>-6.8325777493257106E-2</v>
      </c>
    </row>
    <row r="32" spans="1:29" x14ac:dyDescent="0.25">
      <c r="A32" t="s">
        <v>100</v>
      </c>
      <c r="B32">
        <v>1</v>
      </c>
      <c r="C32">
        <f t="shared" si="0"/>
        <v>1</v>
      </c>
      <c r="D32" s="10"/>
      <c r="E32" s="12">
        <v>0.26</v>
      </c>
      <c r="F32" s="12">
        <v>0.25894650105288858</v>
      </c>
      <c r="G32" s="12">
        <v>1.6995757927182837</v>
      </c>
      <c r="H32" s="19">
        <v>0.14818567461165197</v>
      </c>
      <c r="I32" s="19">
        <f t="shared" si="3"/>
        <v>4.2389885679000372</v>
      </c>
      <c r="J32" s="19"/>
      <c r="K32">
        <f t="shared" si="1"/>
        <v>1</v>
      </c>
      <c r="L32" s="10"/>
      <c r="M32" s="10" t="str">
        <f t="shared" si="2"/>
        <v>Default</v>
      </c>
      <c r="P32" t="s">
        <v>6</v>
      </c>
      <c r="Q32">
        <v>-1.218701793022459E-2</v>
      </c>
      <c r="R32">
        <f>VARP(HistSample!$F$27:$F$36)</f>
        <v>3.9345088158596726E-2</v>
      </c>
      <c r="S32">
        <v>1.0355407979024487E-2</v>
      </c>
    </row>
    <row r="33" spans="1:20" x14ac:dyDescent="0.25">
      <c r="A33" t="s">
        <v>101</v>
      </c>
      <c r="B33" s="41">
        <v>1</v>
      </c>
      <c r="C33" s="41">
        <f t="shared" si="0"/>
        <v>0</v>
      </c>
      <c r="D33" s="45" t="s">
        <v>96</v>
      </c>
      <c r="E33" s="12">
        <v>0.80827204199346903</v>
      </c>
      <c r="F33" s="12">
        <v>0.15061799981688889</v>
      </c>
      <c r="G33" s="12">
        <v>0.50581377605517741</v>
      </c>
      <c r="H33" s="19">
        <v>0.17882839442121601</v>
      </c>
      <c r="I33" s="19">
        <f t="shared" si="3"/>
        <v>7.289340914348279</v>
      </c>
      <c r="J33" s="19">
        <f>I33-Q44</f>
        <v>0.35911210542334882</v>
      </c>
      <c r="K33">
        <f t="shared" si="1"/>
        <v>1</v>
      </c>
      <c r="L33" s="10"/>
      <c r="M33" s="10" t="str">
        <f t="shared" si="2"/>
        <v>Default</v>
      </c>
      <c r="P33" t="s">
        <v>7</v>
      </c>
      <c r="Q33">
        <v>-6.8325777493257106E-2</v>
      </c>
      <c r="R33">
        <v>1.0355407979024487E-2</v>
      </c>
      <c r="S33">
        <f>VARP(HistSample!$G$27:$G$36)</f>
        <v>0.48119383904919288</v>
      </c>
    </row>
    <row r="34" spans="1:20" ht="19" thickBot="1" x14ac:dyDescent="0.3">
      <c r="A34" t="s">
        <v>102</v>
      </c>
      <c r="B34">
        <v>1</v>
      </c>
      <c r="C34">
        <f t="shared" si="0"/>
        <v>1</v>
      </c>
      <c r="E34" s="12">
        <v>0.2</v>
      </c>
      <c r="F34" s="12">
        <v>0.43720511490218811</v>
      </c>
      <c r="G34" s="12">
        <v>0.20715964232306894</v>
      </c>
      <c r="H34" s="19">
        <v>0.117590868861964</v>
      </c>
      <c r="I34" s="19">
        <f t="shared" si="3"/>
        <v>3.5751944378205329</v>
      </c>
      <c r="J34" s="19"/>
      <c r="K34">
        <f t="shared" si="1"/>
        <v>1</v>
      </c>
      <c r="L34" s="10"/>
      <c r="M34" s="10" t="str">
        <f t="shared" si="2"/>
        <v>Default</v>
      </c>
      <c r="P34" s="51" t="s">
        <v>8</v>
      </c>
      <c r="Q34" s="33">
        <v>6.2400259890865676E-3</v>
      </c>
      <c r="R34" s="33">
        <v>-1.051083913570538E-3</v>
      </c>
      <c r="S34" s="33">
        <v>-1.5851063447485613E-2</v>
      </c>
      <c r="T34" s="33">
        <f>VARP(HistSample!$H$27:$H$36)</f>
        <v>1.7256214052436714E-3</v>
      </c>
    </row>
    <row r="35" spans="1:20" x14ac:dyDescent="0.25">
      <c r="A35" t="s">
        <v>103</v>
      </c>
      <c r="B35">
        <v>1</v>
      </c>
      <c r="C35">
        <f t="shared" si="0"/>
        <v>1</v>
      </c>
      <c r="E35" s="12">
        <v>0.63311868648335223</v>
      </c>
      <c r="F35" s="12">
        <v>-0.17255470442823573</v>
      </c>
      <c r="G35" s="12">
        <v>0.19104586931974243</v>
      </c>
      <c r="H35" s="19">
        <v>0.14225287636951811</v>
      </c>
      <c r="I35" s="19">
        <f t="shared" si="3"/>
        <v>4.3290747997949239</v>
      </c>
      <c r="J35" s="19"/>
      <c r="K35">
        <f t="shared" si="1"/>
        <v>1</v>
      </c>
      <c r="L35" s="10"/>
      <c r="M35" s="10" t="str">
        <f t="shared" si="2"/>
        <v>Default</v>
      </c>
    </row>
    <row r="36" spans="1:20" x14ac:dyDescent="0.25">
      <c r="A36" t="s">
        <v>104</v>
      </c>
      <c r="B36">
        <v>1</v>
      </c>
      <c r="C36">
        <f t="shared" si="0"/>
        <v>1</v>
      </c>
      <c r="E36" s="12">
        <v>0.35</v>
      </c>
      <c r="F36" s="12">
        <v>5.1930295724356812E-2</v>
      </c>
      <c r="G36" s="12">
        <v>1.630664998321482</v>
      </c>
      <c r="H36" s="19">
        <v>4.6345408490249339E-2</v>
      </c>
      <c r="I36" s="19">
        <f t="shared" si="3"/>
        <v>4.0082919380293127</v>
      </c>
      <c r="J36" s="19"/>
      <c r="K36">
        <f t="shared" si="1"/>
        <v>1</v>
      </c>
      <c r="L36" s="10"/>
      <c r="M36" s="10" t="str">
        <f t="shared" si="2"/>
        <v>Default</v>
      </c>
      <c r="P36" s="35" t="s">
        <v>105</v>
      </c>
    </row>
    <row r="37" spans="1:20" x14ac:dyDescent="0.25">
      <c r="M37" s="10"/>
      <c r="P37" cm="1">
        <f t="array" ref="P37:P39">MMULT(_xlfn.ANCHORARRAY(P20), TRANSPOSE(P9:R9))</f>
        <v>7.8146586752488929</v>
      </c>
    </row>
    <row r="38" spans="1:20" x14ac:dyDescent="0.25">
      <c r="A38" t="s">
        <v>106</v>
      </c>
      <c r="B38">
        <f>COUNTIFS(B3:B36, 0)</f>
        <v>22</v>
      </c>
      <c r="C38" s="46">
        <f>B38/B40</f>
        <v>0.6875</v>
      </c>
      <c r="E38" s="2"/>
      <c r="F38" s="2"/>
      <c r="G38" s="2"/>
      <c r="H38" s="19"/>
      <c r="I38" s="19"/>
      <c r="J38" s="19"/>
      <c r="M38" s="10"/>
      <c r="P38">
        <v>4.2974602784912781</v>
      </c>
    </row>
    <row r="39" spans="1:20" x14ac:dyDescent="0.25">
      <c r="A39" t="s">
        <v>107</v>
      </c>
      <c r="B39">
        <f>COUNTIFS(B3:B36, 1)</f>
        <v>10</v>
      </c>
      <c r="C39" s="57">
        <f>B39/B40</f>
        <v>0.3125</v>
      </c>
      <c r="D39" s="58" t="s">
        <v>108</v>
      </c>
      <c r="E39" s="2"/>
      <c r="F39" s="2"/>
      <c r="G39" s="2"/>
      <c r="H39" s="19"/>
      <c r="I39" s="19"/>
      <c r="J39" s="19"/>
      <c r="M39" s="10"/>
      <c r="P39">
        <v>0.64390479935932721</v>
      </c>
    </row>
    <row r="40" spans="1:20" x14ac:dyDescent="0.25">
      <c r="A40" t="s">
        <v>109</v>
      </c>
      <c r="B40">
        <f>COUNT(B3:B36)</f>
        <v>32</v>
      </c>
      <c r="M40" s="10"/>
    </row>
    <row r="41" spans="1:20" x14ac:dyDescent="0.25">
      <c r="M41" s="10"/>
      <c r="N41" s="26" t="s">
        <v>110</v>
      </c>
      <c r="P41" t="s">
        <v>111</v>
      </c>
    </row>
    <row r="42" spans="1:20" x14ac:dyDescent="0.25">
      <c r="A42" t="s">
        <v>112</v>
      </c>
      <c r="B42" t="s">
        <v>113</v>
      </c>
      <c r="C42" t="s">
        <v>114</v>
      </c>
      <c r="M42" s="10"/>
      <c r="P42" t="s">
        <v>115</v>
      </c>
      <c r="Q42" s="12">
        <f>AVERAGE(I5:I26)</f>
        <v>7.7989315793498202</v>
      </c>
    </row>
    <row r="43" spans="1:20" x14ac:dyDescent="0.25">
      <c r="A43" t="s">
        <v>116</v>
      </c>
      <c r="B43" t="s">
        <v>117</v>
      </c>
      <c r="C43" t="s">
        <v>118</v>
      </c>
      <c r="M43" s="10"/>
      <c r="P43" t="s">
        <v>119</v>
      </c>
      <c r="Q43" s="12">
        <f>AVERAGE(I27:I36)</f>
        <v>6.0615260385000393</v>
      </c>
    </row>
    <row r="44" spans="1:20" x14ac:dyDescent="0.25">
      <c r="A44" t="s">
        <v>120</v>
      </c>
      <c r="F44" s="56">
        <v>0.2843</v>
      </c>
      <c r="G44" s="10" t="s">
        <v>121</v>
      </c>
      <c r="M44" s="10"/>
      <c r="P44" t="s">
        <v>122</v>
      </c>
      <c r="Q44">
        <f>(Q42+Q43)/2</f>
        <v>6.9302288089249302</v>
      </c>
      <c r="R44">
        <v>8</v>
      </c>
      <c r="S44">
        <f>(Q42+Q43)/2</f>
        <v>6.9302288089249302</v>
      </c>
    </row>
    <row r="45" spans="1:20" x14ac:dyDescent="0.25">
      <c r="M45" s="10"/>
      <c r="R45" s="10" t="s">
        <v>123</v>
      </c>
    </row>
    <row r="46" spans="1:20" x14ac:dyDescent="0.25">
      <c r="M46" s="10"/>
      <c r="P46" t="s">
        <v>124</v>
      </c>
      <c r="Q46">
        <f>COUNTIF(D3:D1011, "I")</f>
        <v>7</v>
      </c>
      <c r="R46" s="47">
        <f>Q46/B38</f>
        <v>0.31818181818181818</v>
      </c>
    </row>
    <row r="47" spans="1:20" x14ac:dyDescent="0.25">
      <c r="M47" s="10"/>
      <c r="P47" t="s">
        <v>125</v>
      </c>
      <c r="Q47">
        <f>COUNTIF(D3:D1011, "II")</f>
        <v>4</v>
      </c>
      <c r="R47" s="47">
        <f>Q47/B39</f>
        <v>0.4</v>
      </c>
    </row>
    <row r="50" spans="11:22" ht="19" customHeight="1" x14ac:dyDescent="0.25">
      <c r="K50" s="26" t="s">
        <v>126</v>
      </c>
      <c r="L50" s="26"/>
      <c r="M50" s="26"/>
      <c r="N50" s="52" t="s">
        <v>11</v>
      </c>
      <c r="O50" s="52" t="s">
        <v>127</v>
      </c>
      <c r="P50" s="52" t="s">
        <v>145</v>
      </c>
      <c r="Q50" s="52"/>
      <c r="R50" s="24"/>
      <c r="T50" s="52" t="s">
        <v>143</v>
      </c>
    </row>
    <row r="51" spans="11:22" ht="19" customHeight="1" x14ac:dyDescent="0.25">
      <c r="N51" s="48" t="s">
        <v>33</v>
      </c>
      <c r="O51" s="53">
        <v>0.57999999999999996</v>
      </c>
      <c r="P51" s="54">
        <f>_xlfn.PERCENTILE.EXC(I5:I36, O51)</f>
        <v>7.4951764449628691</v>
      </c>
      <c r="Q51" s="54"/>
      <c r="R51" s="25"/>
      <c r="T51" t="s">
        <v>140</v>
      </c>
      <c r="U51">
        <v>7.5</v>
      </c>
    </row>
    <row r="52" spans="11:22" ht="19" customHeight="1" x14ac:dyDescent="0.25">
      <c r="N52" s="48" t="s">
        <v>144</v>
      </c>
      <c r="O52" s="53">
        <v>0.65</v>
      </c>
      <c r="P52" s="54">
        <f>_xlfn.PERCENTILE.EXC(I5:I36, O52)</f>
        <v>8.0218089184912529</v>
      </c>
      <c r="Q52" s="54"/>
      <c r="R52" s="25"/>
      <c r="V52" s="10" t="s">
        <v>123</v>
      </c>
    </row>
    <row r="53" spans="11:22" ht="19" customHeight="1" x14ac:dyDescent="0.25">
      <c r="N53" s="48" t="s">
        <v>60</v>
      </c>
      <c r="O53" s="53">
        <v>0.87</v>
      </c>
      <c r="P53" s="54">
        <f>_xlfn.PERCENTILE.EXC(I5:I36, O53)</f>
        <v>9.9217552104472162</v>
      </c>
      <c r="Q53" s="54"/>
      <c r="R53" s="25"/>
      <c r="T53" t="s">
        <v>124</v>
      </c>
      <c r="U53">
        <f>COUNTIF(L5:L1013, "I")</f>
        <v>10</v>
      </c>
      <c r="V53" s="47">
        <f>U53/B38</f>
        <v>0.45454545454545453</v>
      </c>
    </row>
    <row r="54" spans="11:22" ht="19" customHeight="1" x14ac:dyDescent="0.25">
      <c r="N54" s="48" t="s">
        <v>46</v>
      </c>
      <c r="O54" s="53">
        <v>1</v>
      </c>
      <c r="P54" s="54" t="e">
        <f>_xlfn.PERCENTILE.EXC(I5:I36, O54)</f>
        <v>#NUM!</v>
      </c>
      <c r="Q54" s="54"/>
      <c r="R54" s="25"/>
      <c r="T54" t="s">
        <v>125</v>
      </c>
      <c r="U54">
        <f>COUNTIF(L5:L1013, "II")</f>
        <v>1</v>
      </c>
      <c r="V54" s="47">
        <f>U54/B39</f>
        <v>0.1</v>
      </c>
    </row>
    <row r="55" spans="11:22" ht="19" customHeight="1" x14ac:dyDescent="0.25">
      <c r="N55" s="48"/>
      <c r="O55" s="53"/>
      <c r="P55" s="54"/>
      <c r="Q55" s="54"/>
      <c r="R55" s="25"/>
    </row>
    <row r="56" spans="11:22" ht="19" customHeight="1" x14ac:dyDescent="0.25">
      <c r="N56" s="48"/>
      <c r="O56" s="53"/>
      <c r="P56" s="54"/>
      <c r="Q56" s="54"/>
      <c r="R56" s="25"/>
    </row>
    <row r="57" spans="11:22" ht="19" customHeight="1" x14ac:dyDescent="0.25">
      <c r="N57" s="48"/>
      <c r="O57" s="48"/>
      <c r="P57" s="55"/>
      <c r="Q57" s="54"/>
      <c r="R57" s="25"/>
    </row>
    <row r="58" spans="11:22" ht="19" customHeight="1" x14ac:dyDescent="0.25">
      <c r="Q58" s="25"/>
    </row>
    <row r="59" spans="11:22" ht="19" customHeight="1" x14ac:dyDescent="0.25">
      <c r="Q59" s="25"/>
    </row>
    <row r="60" spans="11:22" ht="19" customHeight="1" x14ac:dyDescent="0.25">
      <c r="O60" s="53"/>
      <c r="P60" s="54"/>
      <c r="Q60" s="48"/>
    </row>
    <row r="61" spans="11:22" ht="19" customHeight="1" x14ac:dyDescent="0.25">
      <c r="O61" s="48"/>
      <c r="P61" s="55"/>
      <c r="Q61" s="48"/>
    </row>
    <row r="62" spans="11:22" ht="19" customHeight="1" x14ac:dyDescent="0.25">
      <c r="P62" s="49"/>
    </row>
    <row r="63" spans="11:22" x14ac:dyDescent="0.25">
      <c r="P63" s="49"/>
      <c r="Q63" s="48"/>
    </row>
    <row r="64" spans="11:22" x14ac:dyDescent="0.25">
      <c r="Q64" s="48"/>
    </row>
  </sheetData>
  <mergeCells count="1">
    <mergeCell ref="E2:H2"/>
  </mergeCells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BE3-95FE-DA42-B8BD-CDE48DBBAC2D}">
  <dimension ref="A1"/>
  <sheetViews>
    <sheetView workbookViewId="0"/>
  </sheetViews>
  <sheetFormatPr baseColWidth="10" defaultColWidth="11.5703125" defaultRowHeight="1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F503-2B62-E347-8B11-8D5B6C90CD81}">
  <dimension ref="A1:E5"/>
  <sheetViews>
    <sheetView workbookViewId="0">
      <selection activeCell="D25" sqref="D25"/>
    </sheetView>
  </sheetViews>
  <sheetFormatPr baseColWidth="10" defaultColWidth="11.5703125" defaultRowHeight="18" x14ac:dyDescent="0.25"/>
  <sheetData>
    <row r="1" spans="1:5" x14ac:dyDescent="0.25">
      <c r="A1" s="34"/>
      <c r="B1" s="34"/>
      <c r="C1" s="34"/>
      <c r="D1" s="34"/>
      <c r="E1" s="34"/>
    </row>
    <row r="5" spans="1:5" ht="19" thickBot="1" x14ac:dyDescent="0.3">
      <c r="A5" s="33"/>
      <c r="B5" s="33"/>
      <c r="C5" s="33"/>
      <c r="D5" s="33"/>
      <c r="E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ABC_XYZ</vt:lpstr>
      <vt:lpstr>HistSample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Copa Alan</cp:lastModifiedBy>
  <cp:revision/>
  <dcterms:created xsi:type="dcterms:W3CDTF">2017-04-13T14:55:53Z</dcterms:created>
  <dcterms:modified xsi:type="dcterms:W3CDTF">2025-05-25T21:56:08Z</dcterms:modified>
  <cp:category/>
  <cp:contentStatus/>
</cp:coreProperties>
</file>