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anc\Desktop\"/>
    </mc:Choice>
  </mc:AlternateContent>
  <xr:revisionPtr revIDLastSave="0" documentId="13_ncr:1_{6E3A6ACC-59EE-4F37-94C0-6373F6E8F891}" xr6:coauthVersionLast="47" xr6:coauthVersionMax="47" xr10:uidLastSave="{00000000-0000-0000-0000-000000000000}"/>
  <bookViews>
    <workbookView xWindow="-120" yWindow="-120" windowWidth="20730" windowHeight="11040" firstSheet="2" activeTab="6" xr2:uid="{7A6853A0-4BFD-49B8-B011-78DED7BA32C4}"/>
  </bookViews>
  <sheets>
    <sheet name="Raportes" sheetId="4" r:id="rId1"/>
    <sheet name="Aportes" sheetId="1" r:id="rId2"/>
    <sheet name="Ativos" sheetId="14" r:id="rId3"/>
    <sheet name="RProventos" sheetId="5" r:id="rId4"/>
    <sheet name="Proventos" sheetId="3" r:id="rId5"/>
    <sheet name="RCarteira" sheetId="15" r:id="rId6"/>
    <sheet name="DashBoard" sheetId="16" r:id="rId7"/>
    <sheet name="DadosDashBoard" sheetId="17" r:id="rId8"/>
  </sheets>
  <definedNames>
    <definedName name="DadosExternos_1" localSheetId="2" hidden="1">Ativos!$B$2:$D$11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7" l="1"/>
  <c r="L5" i="17" s="1"/>
  <c r="H1" i="16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K2" i="3" a="1"/>
  <c r="K2" i="3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 s="1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 s="1"/>
  <c r="K53" i="3" a="1"/>
  <c r="K53" i="3" s="1"/>
  <c r="K54" i="3" a="1"/>
  <c r="K54" i="3" s="1"/>
  <c r="K55" i="3" a="1"/>
  <c r="K55" i="3" s="1"/>
  <c r="K56" i="3" a="1"/>
  <c r="K56" i="3" s="1"/>
  <c r="K57" i="3" a="1"/>
  <c r="K57" i="3" s="1"/>
  <c r="K58" i="3" a="1"/>
  <c r="K58" i="3" s="1"/>
  <c r="K59" i="3" a="1"/>
  <c r="K59" i="3" s="1"/>
  <c r="K60" i="3" a="1"/>
  <c r="K60" i="3" s="1"/>
  <c r="K61" i="3" a="1"/>
  <c r="K61" i="3" s="1"/>
  <c r="K62" i="3" a="1"/>
  <c r="K62" i="3" s="1"/>
  <c r="K63" i="3" a="1"/>
  <c r="K63" i="3" s="1"/>
  <c r="K64" i="3" a="1"/>
  <c r="K64" i="3" s="1"/>
  <c r="K65" i="3" a="1"/>
  <c r="K65" i="3" s="1"/>
  <c r="K66" i="3" a="1"/>
  <c r="K66" i="3" s="1"/>
  <c r="K67" i="3" a="1"/>
  <c r="K67" i="3" s="1"/>
  <c r="K68" i="3" a="1"/>
  <c r="K68" i="3" s="1"/>
  <c r="K69" i="3" a="1"/>
  <c r="K69" i="3" s="1"/>
  <c r="K70" i="3" a="1"/>
  <c r="K70" i="3" s="1"/>
  <c r="K71" i="3" a="1"/>
  <c r="K71" i="3" s="1"/>
  <c r="K72" i="3" a="1"/>
  <c r="K72" i="3" s="1"/>
  <c r="D2" i="15"/>
  <c r="D3" i="15"/>
  <c r="D4" i="15"/>
  <c r="D5" i="15"/>
  <c r="D6" i="15"/>
  <c r="D7" i="15"/>
  <c r="D8" i="15"/>
  <c r="D9" i="15"/>
  <c r="D10" i="15"/>
  <c r="C2" i="15"/>
  <c r="C3" i="15"/>
  <c r="C4" i="15"/>
  <c r="C5" i="15"/>
  <c r="C6" i="15"/>
  <c r="C7" i="15"/>
  <c r="C8" i="15"/>
  <c r="C9" i="15"/>
  <c r="C10" i="15"/>
  <c r="J13" i="3" a="1"/>
  <c r="J13" i="3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53" i="3" a="1"/>
  <c r="J53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2" i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E2" i="1" a="1"/>
  <c r="E2" i="1" s="1"/>
  <c r="G2" i="1" s="1"/>
  <c r="E3" i="1" a="1"/>
  <c r="E3" i="1" s="1"/>
  <c r="G3" i="1" s="1"/>
  <c r="E4" i="1" a="1"/>
  <c r="E4" i="1" s="1"/>
  <c r="G4" i="1" s="1"/>
  <c r="E5" i="1" a="1"/>
  <c r="E5" i="1" s="1"/>
  <c r="G5" i="1" s="1"/>
  <c r="E6" i="1" a="1"/>
  <c r="E6" i="1" s="1"/>
  <c r="G6" i="1" s="1"/>
  <c r="E7" i="1" a="1"/>
  <c r="E7" i="1" s="1"/>
  <c r="G7" i="1" s="1"/>
  <c r="E8" i="1" a="1"/>
  <c r="E8" i="1" s="1"/>
  <c r="G8" i="1" s="1"/>
  <c r="E9" i="1" a="1"/>
  <c r="E9" i="1" s="1"/>
  <c r="G9" i="1" s="1"/>
  <c r="E10" i="1" a="1"/>
  <c r="E10" i="1" s="1"/>
  <c r="G10" i="1" s="1"/>
  <c r="E11" i="1" a="1"/>
  <c r="E11" i="1" s="1"/>
  <c r="G11" i="1" s="1"/>
  <c r="E12" i="1" a="1"/>
  <c r="E12" i="1" s="1"/>
  <c r="G12" i="1" s="1"/>
  <c r="E13" i="1" a="1"/>
  <c r="E13" i="1" s="1"/>
  <c r="G13" i="1" s="1"/>
  <c r="E14" i="1" a="1"/>
  <c r="E14" i="1" s="1"/>
  <c r="G14" i="1" s="1"/>
  <c r="E15" i="1" a="1"/>
  <c r="E15" i="1" s="1"/>
  <c r="G15" i="1" s="1"/>
  <c r="E16" i="1" a="1"/>
  <c r="E16" i="1" s="1"/>
  <c r="G16" i="1" s="1"/>
  <c r="E17" i="1" a="1"/>
  <c r="E17" i="1" s="1"/>
  <c r="G17" i="1" s="1"/>
  <c r="E18" i="1" a="1"/>
  <c r="E18" i="1" s="1"/>
  <c r="G18" i="1" s="1"/>
  <c r="E19" i="1" a="1"/>
  <c r="E19" i="1" s="1"/>
  <c r="G19" i="1" s="1"/>
  <c r="E20" i="1" a="1"/>
  <c r="E20" i="1" s="1"/>
  <c r="G20" i="1" s="1"/>
  <c r="E21" i="1" a="1"/>
  <c r="E21" i="1" s="1"/>
  <c r="G21" i="1" s="1"/>
  <c r="E22" i="1" a="1"/>
  <c r="E22" i="1" s="1"/>
  <c r="G22" i="1" s="1"/>
  <c r="E23" i="1" a="1"/>
  <c r="E23" i="1" s="1"/>
  <c r="G23" i="1" s="1"/>
  <c r="E24" i="1" a="1"/>
  <c r="E24" i="1" s="1"/>
  <c r="G24" i="1" s="1"/>
  <c r="E25" i="1" a="1"/>
  <c r="E25" i="1" s="1"/>
  <c r="G25" i="1" s="1"/>
  <c r="E26" i="1" a="1"/>
  <c r="E26" i="1" s="1"/>
  <c r="G26" i="1" s="1"/>
  <c r="E27" i="1" a="1"/>
  <c r="E27" i="1" s="1"/>
  <c r="G27" i="1" s="1"/>
  <c r="E28" i="1" a="1"/>
  <c r="E28" i="1" s="1"/>
  <c r="G28" i="1" s="1"/>
  <c r="E29" i="1" a="1"/>
  <c r="E29" i="1" s="1"/>
  <c r="G29" i="1" s="1"/>
  <c r="G4" i="17" l="1"/>
  <c r="F9" i="15"/>
  <c r="H9" i="15" s="1"/>
  <c r="F8" i="15"/>
  <c r="H8" i="15" s="1"/>
  <c r="F7" i="15"/>
  <c r="H7" i="15" s="1"/>
  <c r="F6" i="15"/>
  <c r="H6" i="15" s="1"/>
  <c r="F5" i="15"/>
  <c r="E9" i="15"/>
  <c r="F4" i="15"/>
  <c r="H4" i="15" s="1"/>
  <c r="F3" i="15"/>
  <c r="H3" i="15" s="1"/>
  <c r="F10" i="15"/>
  <c r="H10" i="15" s="1"/>
  <c r="F2" i="15"/>
  <c r="H2" i="15" s="1"/>
  <c r="E2" i="15"/>
  <c r="E8" i="15"/>
  <c r="E7" i="15"/>
  <c r="E6" i="15"/>
  <c r="E5" i="15"/>
  <c r="E4" i="15"/>
  <c r="E3" i="15"/>
  <c r="E10" i="15"/>
  <c r="I5" i="17" l="1"/>
  <c r="L4" i="17" s="1"/>
  <c r="J2" i="15"/>
  <c r="J4" i="15"/>
  <c r="I4" i="17"/>
  <c r="J6" i="15"/>
  <c r="J7" i="15"/>
  <c r="J8" i="15"/>
  <c r="J10" i="15"/>
  <c r="J9" i="15"/>
  <c r="J3" i="15"/>
  <c r="H4" i="17"/>
  <c r="E11" i="15"/>
  <c r="G4" i="15"/>
  <c r="G8" i="15"/>
  <c r="I9" i="15"/>
  <c r="I10" i="15"/>
  <c r="G9" i="15"/>
  <c r="I4" i="15"/>
  <c r="I6" i="15"/>
  <c r="I7" i="15"/>
  <c r="I3" i="15"/>
  <c r="I2" i="15"/>
  <c r="I8" i="15"/>
  <c r="G6" i="15"/>
  <c r="G2" i="15"/>
  <c r="G3" i="15"/>
  <c r="G5" i="15"/>
  <c r="H5" i="15"/>
  <c r="J5" i="15" s="1"/>
  <c r="G7" i="15"/>
  <c r="G10" i="15"/>
  <c r="D53" i="17" l="1" a="1"/>
  <c r="D53" i="17" s="1"/>
  <c r="D57" i="17" a="1"/>
  <c r="D57" i="17" s="1"/>
  <c r="E57" i="17" s="1"/>
  <c r="D61" i="17" a="1"/>
  <c r="D61" i="17" s="1"/>
  <c r="D54" i="17" a="1"/>
  <c r="D54" i="17" s="1"/>
  <c r="D58" i="17" a="1"/>
  <c r="D58" i="17" s="1"/>
  <c r="D55" i="17" a="1"/>
  <c r="D55" i="17" s="1"/>
  <c r="E55" i="17" s="1"/>
  <c r="D59" i="17" a="1"/>
  <c r="D59" i="17" s="1"/>
  <c r="E59" i="17" s="1"/>
  <c r="D56" i="17" a="1"/>
  <c r="D56" i="17" s="1"/>
  <c r="E56" i="17" s="1"/>
  <c r="D60" i="17" a="1"/>
  <c r="D60" i="17" s="1"/>
  <c r="D52" i="17" a="1"/>
  <c r="D52" i="17" s="1"/>
  <c r="I39" i="17" a="1"/>
  <c r="I39" i="17" s="1"/>
  <c r="I40" i="17" a="1"/>
  <c r="I40" i="17" s="1"/>
  <c r="J40" i="17" s="1"/>
  <c r="H40" i="17" s="1" a="1"/>
  <c r="H40" i="17" s="1"/>
  <c r="I44" i="17" a="1"/>
  <c r="I44" i="17" s="1"/>
  <c r="J44" i="17" s="1"/>
  <c r="I48" i="17" a="1"/>
  <c r="I48" i="17" s="1"/>
  <c r="J48" i="17" s="1"/>
  <c r="H48" i="17" s="1" a="1"/>
  <c r="H48" i="17" s="1"/>
  <c r="I45" i="17" a="1"/>
  <c r="I45" i="17" s="1"/>
  <c r="J45" i="17" s="1"/>
  <c r="I41" i="17" a="1"/>
  <c r="I41" i="17" s="1"/>
  <c r="J41" i="17" s="1"/>
  <c r="I42" i="17" a="1"/>
  <c r="I42" i="17" s="1"/>
  <c r="J42" i="17" s="1"/>
  <c r="I46" i="17" a="1"/>
  <c r="I46" i="17" s="1"/>
  <c r="J46" i="17" s="1"/>
  <c r="I43" i="17" a="1"/>
  <c r="I43" i="17" s="1"/>
  <c r="J43" i="17" s="1"/>
  <c r="H43" i="17" s="1" a="1"/>
  <c r="H43" i="17" s="1"/>
  <c r="I47" i="17" a="1"/>
  <c r="I47" i="17" s="1"/>
  <c r="J47" i="17" s="1"/>
  <c r="D40" i="17"/>
  <c r="E40" i="17" s="1"/>
  <c r="C40" i="17" s="1" a="1"/>
  <c r="C40" i="17" s="1"/>
  <c r="D41" i="17"/>
  <c r="E41" i="17" s="1"/>
  <c r="C41" i="17" s="1" a="1"/>
  <c r="C41" i="17" s="1"/>
  <c r="D42" i="17"/>
  <c r="E42" i="17" s="1"/>
  <c r="C42" i="17" s="1" a="1"/>
  <c r="C42" i="17" s="1"/>
  <c r="D48" i="17"/>
  <c r="E48" i="17" s="1"/>
  <c r="C48" i="17" s="1" a="1"/>
  <c r="C48" i="17" s="1"/>
  <c r="D43" i="17"/>
  <c r="E43" i="17" s="1"/>
  <c r="C43" i="17" s="1" a="1"/>
  <c r="C43" i="17" s="1"/>
  <c r="D47" i="17"/>
  <c r="E47" i="17" s="1"/>
  <c r="C47" i="17" s="1" a="1"/>
  <c r="C47" i="17" s="1"/>
  <c r="D44" i="17"/>
  <c r="D46" i="17"/>
  <c r="E46" i="17" s="1"/>
  <c r="C46" i="17" s="1" a="1"/>
  <c r="C46" i="17" s="1"/>
  <c r="D45" i="17"/>
  <c r="E45" i="17" s="1"/>
  <c r="C45" i="17" s="1" a="1"/>
  <c r="C45" i="17" s="1"/>
  <c r="D39" i="17"/>
  <c r="E39" i="17" s="1"/>
  <c r="C39" i="17" s="1" a="1"/>
  <c r="C39" i="17" s="1"/>
  <c r="I32" i="17" a="1"/>
  <c r="I32" i="17" s="1"/>
  <c r="J32" i="17" s="1"/>
  <c r="H32" i="17" s="1" a="1"/>
  <c r="H32" i="17" s="1"/>
  <c r="I31" i="17" a="1"/>
  <c r="I31" i="17" s="1"/>
  <c r="J31" i="17" s="1"/>
  <c r="H31" i="17" s="1" a="1"/>
  <c r="H31" i="17" s="1"/>
  <c r="I28" i="17" a="1"/>
  <c r="I28" i="17" s="1"/>
  <c r="J28" i="17" s="1"/>
  <c r="H28" i="17" s="1" a="1"/>
  <c r="H28" i="17" s="1"/>
  <c r="I27" i="17" a="1"/>
  <c r="I27" i="17" s="1"/>
  <c r="J27" i="17" s="1"/>
  <c r="H27" i="17" s="1" a="1"/>
  <c r="H27" i="17" s="1"/>
  <c r="I30" i="17" a="1"/>
  <c r="I30" i="17" s="1"/>
  <c r="J30" i="17" s="1"/>
  <c r="H30" i="17" s="1" a="1"/>
  <c r="H30" i="17" s="1"/>
  <c r="I26" i="17" a="1"/>
  <c r="I26" i="17" s="1"/>
  <c r="J26" i="17" s="1"/>
  <c r="H26" i="17" s="1" a="1"/>
  <c r="H26" i="17" s="1"/>
  <c r="I33" i="17" a="1"/>
  <c r="I33" i="17" s="1"/>
  <c r="J33" i="17" s="1"/>
  <c r="H33" i="17" s="1" a="1"/>
  <c r="H33" i="17" s="1"/>
  <c r="I29" i="17" a="1"/>
  <c r="I29" i="17" s="1"/>
  <c r="J29" i="17" s="1"/>
  <c r="H29" i="17" s="1" a="1"/>
  <c r="H29" i="17" s="1"/>
  <c r="I25" i="17" a="1"/>
  <c r="I25" i="17" s="1"/>
  <c r="J25" i="17" s="1"/>
  <c r="H25" i="17" s="1" a="1"/>
  <c r="H25" i="17" s="1"/>
  <c r="I24" i="17" a="1"/>
  <c r="I24" i="17" s="1"/>
  <c r="J24" i="17" s="1"/>
  <c r="H24" i="17" s="1" a="1"/>
  <c r="H24" i="17" s="1"/>
  <c r="D32" i="17" a="1"/>
  <c r="D32" i="17" s="1"/>
  <c r="E32" i="17" s="1"/>
  <c r="D27" i="17" a="1"/>
  <c r="D27" i="17" s="1"/>
  <c r="E27" i="17" s="1"/>
  <c r="D29" i="17" a="1"/>
  <c r="D29" i="17" s="1"/>
  <c r="E29" i="17" s="1"/>
  <c r="D25" i="17" a="1"/>
  <c r="D25" i="17" s="1"/>
  <c r="D28" i="17" a="1"/>
  <c r="D28" i="17" s="1"/>
  <c r="E28" i="17" s="1"/>
  <c r="D31" i="17" a="1"/>
  <c r="D31" i="17" s="1"/>
  <c r="E31" i="17" s="1"/>
  <c r="D30" i="17" a="1"/>
  <c r="D30" i="17" s="1"/>
  <c r="D26" i="17" a="1"/>
  <c r="D26" i="17" s="1"/>
  <c r="E26" i="17" s="1"/>
  <c r="D33" i="17" a="1"/>
  <c r="D33" i="17" s="1"/>
  <c r="E33" i="17" s="1"/>
  <c r="D24" i="17" a="1"/>
  <c r="D24" i="17" s="1"/>
  <c r="K16" i="17"/>
  <c r="L16" i="17" s="1"/>
  <c r="J16" i="17" s="1" a="1"/>
  <c r="J16" i="17" s="1"/>
  <c r="K14" i="17"/>
  <c r="L14" i="17" s="1"/>
  <c r="J14" i="17" s="1" a="1"/>
  <c r="J14" i="17" s="1"/>
  <c r="K13" i="17"/>
  <c r="L13" i="17" s="1"/>
  <c r="J13" i="17" s="1" a="1"/>
  <c r="J13" i="17" s="1"/>
  <c r="K20" i="17"/>
  <c r="L20" i="17" s="1"/>
  <c r="J20" i="17" s="1" a="1"/>
  <c r="J20" i="17" s="1"/>
  <c r="K12" i="17"/>
  <c r="L12" i="17" s="1"/>
  <c r="J12" i="17" s="1" a="1"/>
  <c r="J12" i="17" s="1"/>
  <c r="K19" i="17"/>
  <c r="L19" i="17" s="1"/>
  <c r="J19" i="17" s="1" a="1"/>
  <c r="J19" i="17" s="1"/>
  <c r="K18" i="17"/>
  <c r="L18" i="17" s="1"/>
  <c r="J18" i="17" s="1" a="1"/>
  <c r="J18" i="17" s="1"/>
  <c r="K17" i="17"/>
  <c r="L17" i="17" s="1"/>
  <c r="J17" i="17" s="1" a="1"/>
  <c r="J17" i="17" s="1"/>
  <c r="K15" i="17"/>
  <c r="L15" i="17" s="1"/>
  <c r="J15" i="17" s="1" a="1"/>
  <c r="J15" i="17" s="1"/>
  <c r="K11" i="17"/>
  <c r="C12" i="17" a="1"/>
  <c r="C12" i="17" s="1"/>
  <c r="B8" i="16" s="1"/>
  <c r="I7" i="17"/>
  <c r="I6" i="17"/>
  <c r="H5" i="17"/>
  <c r="G5" i="17"/>
  <c r="G7" i="17" s="1"/>
  <c r="H11" i="15"/>
  <c r="I5" i="15"/>
  <c r="I11" i="15" s="1"/>
  <c r="E52" i="17" l="1"/>
  <c r="C52" i="17" s="1" a="1"/>
  <c r="C52" i="17" s="1"/>
  <c r="I52" i="17" a="1"/>
  <c r="I52" i="17" s="1"/>
  <c r="E58" i="17"/>
  <c r="C58" i="17" s="1" a="1"/>
  <c r="C58" i="17" s="1"/>
  <c r="E54" i="17"/>
  <c r="C54" i="17" s="1" a="1"/>
  <c r="C54" i="17" s="1"/>
  <c r="E61" i="17"/>
  <c r="C61" i="17" s="1" a="1"/>
  <c r="C61" i="17" s="1"/>
  <c r="E60" i="17"/>
  <c r="C60" i="17" s="1" a="1"/>
  <c r="C60" i="17" s="1"/>
  <c r="E53" i="17"/>
  <c r="C53" i="17" s="1" a="1"/>
  <c r="C53" i="17" s="1"/>
  <c r="E44" i="17"/>
  <c r="C44" i="17" s="1" a="1"/>
  <c r="C44" i="17" s="1"/>
  <c r="J39" i="17"/>
  <c r="H39" i="17" s="1" a="1"/>
  <c r="H39" i="17" s="1"/>
  <c r="C56" i="17" a="1"/>
  <c r="C56" i="17" s="1"/>
  <c r="C59" i="17" a="1"/>
  <c r="C59" i="17" s="1"/>
  <c r="C55" i="17" a="1"/>
  <c r="C55" i="17" s="1"/>
  <c r="C57" i="17" a="1"/>
  <c r="C57" i="17" s="1"/>
  <c r="H45" i="17" a="1"/>
  <c r="H45" i="17" s="1"/>
  <c r="H41" i="17" a="1"/>
  <c r="H41" i="17" s="1"/>
  <c r="H44" i="17" a="1"/>
  <c r="H44" i="17" s="1"/>
  <c r="H47" i="17" a="1"/>
  <c r="H47" i="17" s="1"/>
  <c r="H46" i="17" a="1"/>
  <c r="H46" i="17" s="1"/>
  <c r="H42" i="17" a="1"/>
  <c r="H42" i="17" s="1"/>
  <c r="F11" i="17" a="1"/>
  <c r="F11" i="17" s="1"/>
  <c r="G11" i="17" a="1"/>
  <c r="G11" i="17" s="1"/>
  <c r="E25" i="17"/>
  <c r="E24" i="17"/>
  <c r="C24" i="17" s="1" a="1"/>
  <c r="C24" i="17" s="1"/>
  <c r="E30" i="17"/>
  <c r="C30" i="17" s="1" a="1"/>
  <c r="C30" i="17" s="1"/>
  <c r="C33" i="17" a="1"/>
  <c r="C33" i="17" s="1"/>
  <c r="C29" i="17" a="1"/>
  <c r="C29" i="17" s="1"/>
  <c r="C27" i="17" a="1"/>
  <c r="C27" i="17" s="1"/>
  <c r="C32" i="17" a="1"/>
  <c r="C32" i="17" s="1"/>
  <c r="C28" i="17" a="1"/>
  <c r="C28" i="17" s="1"/>
  <c r="C31" i="17" a="1"/>
  <c r="C31" i="17" s="1"/>
  <c r="C26" i="17" a="1"/>
  <c r="C26" i="17" s="1"/>
  <c r="L11" i="17"/>
  <c r="J11" i="17" s="1" a="1"/>
  <c r="J11" i="17" s="1"/>
  <c r="H7" i="17"/>
  <c r="C15" i="17" s="1" a="1"/>
  <c r="C15" i="17" s="1"/>
  <c r="B14" i="16" s="1"/>
  <c r="L3" i="17"/>
  <c r="C13" i="17" a="1"/>
  <c r="C13" i="17" s="1"/>
  <c r="B5" i="16" s="1"/>
  <c r="H6" i="17"/>
  <c r="C14" i="17" s="1" a="1"/>
  <c r="C14" i="17" s="1"/>
  <c r="B11" i="16" s="1"/>
  <c r="G6" i="17"/>
  <c r="H52" i="17" l="1" a="1"/>
  <c r="H52" i="17" s="1"/>
  <c r="C25" i="17" a="1"/>
  <c r="C25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C17C5-361B-40AC-B28E-A34FB5AD29FD}" keepAlive="1" name="Consulta - pub?output=csv" description="Conexão com a consulta 'pub?output=csv' na pasta de trabalho." type="5" refreshedVersion="8" background="1" saveData="1">
    <dbPr connection="Provider=Microsoft.Mashup.OleDb.1;Data Source=$Workbook$;Location=&quot;pub?output=csv&quot;;Extended Properties=&quot;&quot;" command="SELECT * FROM [pub?output=c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<sst xmlns="http://schemas.openxmlformats.org/spreadsheetml/2006/main" count="191" uniqueCount="91">
  <si>
    <t>Ativo</t>
  </si>
  <si>
    <t>Tipo</t>
  </si>
  <si>
    <t>HGBS11</t>
  </si>
  <si>
    <t>Data</t>
  </si>
  <si>
    <t>Quantidade</t>
  </si>
  <si>
    <t>Custo</t>
  </si>
  <si>
    <t>Total</t>
  </si>
  <si>
    <t>Ano</t>
  </si>
  <si>
    <t>Mês</t>
  </si>
  <si>
    <t>Ano/Mês</t>
  </si>
  <si>
    <t>Valor</t>
  </si>
  <si>
    <t>Cod</t>
  </si>
  <si>
    <t>Qte</t>
  </si>
  <si>
    <t>Valor Bruto</t>
  </si>
  <si>
    <t>IR</t>
  </si>
  <si>
    <t>Valor Líquido</t>
  </si>
  <si>
    <t>Rótulos de Linha</t>
  </si>
  <si>
    <t>Ações</t>
  </si>
  <si>
    <t>Fundos mais negociados</t>
  </si>
  <si>
    <t>Total Geral</t>
  </si>
  <si>
    <t>Companhia Siderúrgica Nacional S. A. (BVMF:CSNA3)</t>
  </si>
  <si>
    <t>Fleury S.A. (BVMF:FLRY3)</t>
  </si>
  <si>
    <t>ITAUSA S.A. (BVMF:ITSA4)</t>
  </si>
  <si>
    <t>Petróleo Brasileiro S.A. (Petrobras) (BVMF:PETR4)</t>
  </si>
  <si>
    <t>Transmissora Aliança de Energia Elétrica S/A (BVMF:TAEE4)</t>
  </si>
  <si>
    <t>FDO INV IMOB CSHG LOGISTICA CF (BVMF:HGLG11)</t>
  </si>
  <si>
    <t>FDO INV IMOB HG BRASIL SHOPPING ETF (BVMF:HGBS11)</t>
  </si>
  <si>
    <t>FDO INV IMOB KINEA RENDA IMOBILIARIA CF (BVMF:KNRI11)</t>
  </si>
  <si>
    <t>HG REAL ESTATE FDO INV IMOB CF (BVMF:HGRE11)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</si>
  <si>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</si>
  <si>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</si>
  <si>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</si>
  <si>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</si>
  <si>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</si>
  <si>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</si>
  <si>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</si>
  <si>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</si>
  <si>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</si>
  <si>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</si>
  <si>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</si>
  <si>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</si>
  <si>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</si>
  <si>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</si>
  <si>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</si>
  <si>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</si>
  <si>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#CAMPO!</t>
  </si>
  <si>
    <t>Soma de Valor Líquido</t>
  </si>
  <si>
    <t>Cotação</t>
  </si>
  <si>
    <t>CSNA3</t>
  </si>
  <si>
    <t>EMPRESA</t>
  </si>
  <si>
    <t>FLRY3</t>
  </si>
  <si>
    <t>ITSA4</t>
  </si>
  <si>
    <t>PETR4</t>
  </si>
  <si>
    <t>FII</t>
  </si>
  <si>
    <t>HGLG11</t>
  </si>
  <si>
    <t>HGRE11</t>
  </si>
  <si>
    <t>KNRI11</t>
  </si>
  <si>
    <t>TAEE4</t>
  </si>
  <si>
    <t>Total aportado</t>
  </si>
  <si>
    <t>Total qte</t>
  </si>
  <si>
    <t>Total atual</t>
  </si>
  <si>
    <t>Valorização</t>
  </si>
  <si>
    <t>Valorização %</t>
  </si>
  <si>
    <t>Até qual data?</t>
  </si>
  <si>
    <t>Símbolo do ticker</t>
  </si>
  <si>
    <t>Preço médio</t>
  </si>
  <si>
    <t>Carteira atual</t>
  </si>
  <si>
    <t>Total aprotado</t>
  </si>
  <si>
    <t>Caixa</t>
  </si>
  <si>
    <t>Caixa:</t>
  </si>
  <si>
    <t>Até:</t>
  </si>
  <si>
    <t>Valores para caixa de combinação</t>
  </si>
  <si>
    <t>Entradas do usuário</t>
  </si>
  <si>
    <t>Caixa de combinação</t>
  </si>
  <si>
    <t>Valor em caixa</t>
  </si>
  <si>
    <t>Tudo</t>
  </si>
  <si>
    <t>Fundos imóbiliarios</t>
  </si>
  <si>
    <t>Matriz auxiliar: Somátorio por tipo</t>
  </si>
  <si>
    <t/>
  </si>
  <si>
    <t>Indicadores-chave de desempenho (KPI)</t>
  </si>
  <si>
    <t>Gráfico: Composição do patrimônio</t>
  </si>
  <si>
    <t>Gráfico: Maiores valores</t>
  </si>
  <si>
    <t xml:space="preserve">Ordem </t>
  </si>
  <si>
    <t xml:space="preserve"> Maiores valores (Tudo)</t>
  </si>
  <si>
    <t>Corresp</t>
  </si>
  <si>
    <t>Maiores valores FII</t>
  </si>
  <si>
    <t>Maiores valores ações</t>
  </si>
  <si>
    <t xml:space="preserve"> Maiores valorizações (Tudo)</t>
  </si>
  <si>
    <t>Maiores valorizações FII</t>
  </si>
  <si>
    <t>Gráfico: Maiores valorizações</t>
  </si>
  <si>
    <t>Maiores valorizações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</si>
</sst>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&quot;R$&quot;* #,##0.00_-;\-&quot;R$&quot;* #,##0.00_-;_-&quot;R$&quot;* &quot;-&quot;??_-;_-@_-"/>
    <numFmt numFmtId="166" formatCode="0.00_ ;[Red]\-0.00\ "/>
    <numFmt numFmtId="167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3" tint="9.9948118533890809E-2"/>
      </left>
      <right style="medium">
        <color theme="3" tint="9.9948118533890809E-2"/>
      </right>
      <top style="medium">
        <color theme="3" tint="9.9948118533890809E-2"/>
      </top>
      <bottom style="medium">
        <color theme="3" tint="9.9948118533890809E-2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0" fontId="0" fillId="2" borderId="0" xfId="0" applyFill="1"/>
    <xf numFmtId="0" fontId="0" fillId="2" borderId="1" xfId="0" applyFill="1" applyBorder="1"/>
    <xf numFmtId="10" fontId="0" fillId="0" borderId="0" xfId="0" applyNumberFormat="1"/>
    <xf numFmtId="10" fontId="0" fillId="3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5" borderId="0" xfId="0" applyFont="1" applyFill="1"/>
    <xf numFmtId="0" fontId="5" fillId="5" borderId="0" xfId="0" applyFont="1" applyFill="1"/>
    <xf numFmtId="44" fontId="0" fillId="4" borderId="2" xfId="0" applyNumberFormat="1" applyFill="1" applyBorder="1" applyAlignment="1">
      <alignment horizontal="center" vertical="center"/>
    </xf>
    <xf numFmtId="44" fontId="0" fillId="3" borderId="0" xfId="0" applyNumberFormat="1" applyFill="1"/>
    <xf numFmtId="0" fontId="2" fillId="5" borderId="0" xfId="0" quotePrefix="1" applyFont="1" applyFill="1"/>
    <xf numFmtId="44" fontId="3" fillId="3" borderId="3" xfId="0" applyNumberFormat="1" applyFont="1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horizontal="center" vertical="center"/>
    </xf>
    <xf numFmtId="10" fontId="3" fillId="3" borderId="4" xfId="0" applyNumberFormat="1" applyFont="1" applyFill="1" applyBorder="1" applyAlignment="1">
      <alignment horizontal="center" vertical="center"/>
    </xf>
    <xf numFmtId="4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167" fontId="0" fillId="0" borderId="0" xfId="0" applyNumberFormat="1"/>
    <xf numFmtId="10" fontId="0" fillId="3" borderId="0" xfId="0" applyNumberFormat="1" applyFill="1" applyAlignment="1">
      <alignment horizontal="left"/>
    </xf>
    <xf numFmtId="10" fontId="0" fillId="3" borderId="0" xfId="0" applyNumberFormat="1" applyFill="1" applyAlignment="1">
      <alignment horizontal="left" vertical="center"/>
    </xf>
    <xf numFmtId="10" fontId="0" fillId="3" borderId="0" xfId="0" applyNumberFormat="1" applyFill="1" applyAlignment="1">
      <alignment horizontal="left" vertical="top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26">
    <dxf>
      <font>
        <color rgb="FFFF0000"/>
      </font>
    </dxf>
    <dxf>
      <numFmt numFmtId="167" formatCode="&quot;R$&quot;\ #,##0.00"/>
    </dxf>
    <dxf>
      <numFmt numFmtId="167" formatCode="&quot;R$&quot;\ #,##0.00"/>
    </dxf>
    <dxf>
      <numFmt numFmtId="0" formatCode="General"/>
    </dxf>
    <dxf>
      <numFmt numFmtId="167" formatCode="&quot;R$&quot;\ #,##0.00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numFmt numFmtId="19" formatCode="dd/mm/yyyy"/>
    </dxf>
    <dxf>
      <numFmt numFmtId="165" formatCode="_-&quot;R$&quot;* #,##0.00_-;\-&quot;R$&quot;* #,##0.00_-;_-&quot;R$&quot;* &quot;-&quot;??_-;_-@_-"/>
    </dxf>
    <dxf>
      <numFmt numFmtId="165" formatCode="_-&quot;R$&quot;* #,##0.00_-;\-&quot;R$&quot;* #,##0.00_-;_-&quot;R$&quot;* &quot;-&quot;??_-;_-@_-"/>
    </dxf>
    <dxf>
      <numFmt numFmtId="165" formatCode="_-&quot;R$&quot;* #,##0.00_-;\-&quot;R$&quot;* #,##0.00_-;_-&quot;R$&quot;* &quot;-&quot;??_-;_-@_-"/>
    </dxf>
    <dxf>
      <numFmt numFmtId="165" formatCode="_-&quot;R$&quot;* #,##0.00_-;\-&quot;R$&quot;* #,##0.00_-;_-&quot;R$&quot;* &quot;-&quot;??_-;_-@_-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165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8499562554683"/>
          <c:y val="0.1300462962962963"/>
          <c:w val="0.40287467191601051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00-4DD5-9FF2-E08695B0D4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00-4DD5-9FF2-E08695B0D4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00-4DD5-9FF2-E08695B0D4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DadosDashBoard!$K$3:$K$5</c:f>
              <c:strCache>
                <c:ptCount val="3"/>
                <c:pt idx="0">
                  <c:v>Ações</c:v>
                </c:pt>
                <c:pt idx="1">
                  <c:v>FII</c:v>
                </c:pt>
                <c:pt idx="2">
                  <c:v>Caixa</c:v>
                </c:pt>
              </c:strCache>
            </c:strRef>
          </c:cat>
          <c:val>
            <c:numRef>
              <c:f>DadosDashBoard!$L$3:$L$5</c:f>
              <c:numCache>
                <c:formatCode>_("R$"* #,##0.00_);_("R$"* \(#,##0.00\);_("R$"* "-"??_);_(@_)</c:formatCode>
                <c:ptCount val="3"/>
                <c:pt idx="0">
                  <c:v>29015</c:v>
                </c:pt>
                <c:pt idx="1">
                  <c:v>10145.02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00-4DD5-9FF2-E08695B0D4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18467456261238"/>
          <c:y val="0.81919138156510929"/>
          <c:w val="0.60363033464904314"/>
          <c:h val="0.10647644654174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9050" cap="flat" cmpd="sng" algn="ctr">
      <a:solidFill>
        <a:schemeClr val="tx2">
          <a:lumMod val="90000"/>
          <a:lumOff val="1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DadosDashBoard!$F$11:$F$20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TAEE4</c:v>
                </c:pt>
                <c:pt idx="6">
                  <c:v>ITSA4</c:v>
                </c:pt>
                <c:pt idx="7">
                  <c:v>FLRY3</c:v>
                </c:pt>
                <c:pt idx="8">
                  <c:v>CSNA3</c:v>
                </c:pt>
                <c:pt idx="9">
                  <c:v>PETR4</c:v>
                </c:pt>
              </c:strCache>
            </c:strRef>
          </c:cat>
          <c:val>
            <c:numRef>
              <c:f>DadosDashBoard!$G$11:$G$20</c:f>
              <c:numCache>
                <c:formatCode>_("R$"* #,##0.00_);_("R$"* \(#,##0.00\);_("R$"*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2366</c:v>
                </c:pt>
                <c:pt idx="6">
                  <c:v>2871</c:v>
                </c:pt>
                <c:pt idx="7">
                  <c:v>2938</c:v>
                </c:pt>
                <c:pt idx="8">
                  <c:v>4332</c:v>
                </c:pt>
                <c:pt idx="9">
                  <c:v>16508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9-4B05-B713-E7A1DE9047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27393456"/>
        <c:axId val="527393936"/>
      </c:barChart>
      <c:catAx>
        <c:axId val="52739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393936"/>
        <c:crosses val="autoZero"/>
        <c:auto val="1"/>
        <c:lblAlgn val="ctr"/>
        <c:lblOffset val="100"/>
        <c:noMultiLvlLbl val="0"/>
      </c:catAx>
      <c:valAx>
        <c:axId val="52739393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27393456"/>
        <c:crosses val="autoZero"/>
        <c:crossBetween val="between"/>
      </c:valAx>
      <c:spPr>
        <a:noFill/>
        <a:ln w="19050">
          <a:solidFill>
            <a:schemeClr val="tx2">
              <a:lumMod val="90000"/>
              <a:lumOff val="1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9050" cap="flat" cmpd="sng" algn="ctr">
      <a:solidFill>
        <a:schemeClr val="tx2">
          <a:lumMod val="90000"/>
          <a:lumOff val="1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Maiores</a:t>
            </a:r>
            <a:r>
              <a:rPr lang="pt-BR" baseline="0"/>
              <a:t> valorizações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0323709536307958E-2"/>
          <c:y val="0.16423208191126282"/>
          <c:w val="0.83817140967615267"/>
          <c:h val="0.7260147089122391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DadosDashBoard!$H$52:$H$61</c:f>
              <c:strCache>
                <c:ptCount val="10"/>
                <c:pt idx="0">
                  <c:v>-</c:v>
                </c:pt>
                <c:pt idx="1">
                  <c:v>ITSA4</c:v>
                </c:pt>
                <c:pt idx="2">
                  <c:v>TAEE4</c:v>
                </c:pt>
                <c:pt idx="3">
                  <c:v>PETR4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CSNA3</c:v>
                </c:pt>
                <c:pt idx="9">
                  <c:v>FLRY3</c:v>
                </c:pt>
              </c:strCache>
            </c:strRef>
          </c:cat>
          <c:val>
            <c:numRef>
              <c:f>DadosDashBoard!$I$52:$I$61</c:f>
              <c:numCache>
                <c:formatCode>0.00%</c:formatCode>
                <c:ptCount val="10"/>
                <c:pt idx="0">
                  <c:v>0</c:v>
                </c:pt>
                <c:pt idx="1">
                  <c:v>-9.316770186335404E-3</c:v>
                </c:pt>
                <c:pt idx="2">
                  <c:v>-7.550335570469799E-3</c:v>
                </c:pt>
                <c:pt idx="3">
                  <c:v>-3.6214389183969096E-3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2.0818875780707841E-3</c:v>
                </c:pt>
                <c:pt idx="9">
                  <c:v>6.8540095956134339E-3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8-4DAC-97F2-E7C5E0CE16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616107552"/>
        <c:axId val="616130112"/>
      </c:barChart>
      <c:catAx>
        <c:axId val="61610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30112"/>
        <c:crosses val="autoZero"/>
        <c:auto val="1"/>
        <c:lblAlgn val="ctr"/>
        <c:lblOffset val="100"/>
        <c:noMultiLvlLbl val="0"/>
      </c:catAx>
      <c:valAx>
        <c:axId val="61613011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07552"/>
        <c:crosses val="autoZero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9050" cap="flat" cmpd="sng" algn="ctr">
      <a:solidFill>
        <a:schemeClr val="tx2">
          <a:lumMod val="90000"/>
          <a:lumOff val="1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DadosDashBoard!$C$8" fmlaRange="DadosDashBoard!$C$3:$C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0</xdr:row>
          <xdr:rowOff>9525</xdr:rowOff>
        </xdr:from>
        <xdr:to>
          <xdr:col>2</xdr:col>
          <xdr:colOff>9525</xdr:colOff>
          <xdr:row>0</xdr:row>
          <xdr:rowOff>295275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123827</xdr:colOff>
      <xdr:row>3</xdr:row>
      <xdr:rowOff>169069</xdr:rowOff>
    </xdr:from>
    <xdr:to>
      <xdr:col>3</xdr:col>
      <xdr:colOff>1466850</xdr:colOff>
      <xdr:row>14</xdr:row>
      <xdr:rowOff>16669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1515224</xdr:colOff>
      <xdr:row>3</xdr:row>
      <xdr:rowOff>166688</xdr:rowOff>
    </xdr:from>
    <xdr:to>
      <xdr:col>5</xdr:col>
      <xdr:colOff>180224</xdr:colOff>
      <xdr:row>14</xdr:row>
      <xdr:rowOff>23813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68AA62-55BE-4628-8134-F25F9E8A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228599</xdr:colOff>
      <xdr:row>3</xdr:row>
      <xdr:rowOff>161925</xdr:rowOff>
    </xdr:from>
    <xdr:to>
      <xdr:col>7</xdr:col>
      <xdr:colOff>1017674</xdr:colOff>
      <xdr:row>14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334645-D162-4818-A1E4-9B2C96625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Couto" refreshedDate="45405.48601064815" createdVersion="8" refreshedVersion="8" minRefreshableVersion="3" recordCount="71" xr:uid="{D4ECEF18-AD11-420F-86C2-C4BCF838F054}">
  <cacheSource type="worksheet">
    <worksheetSource name="TBProventos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AUSA S.A. (BVMF:ITSA4)"/>
        <s v="FDO INV IMOB HG BRASIL SHOPPING ETF (BVMF:HGBS11)"/>
        <s v="FDO INV IMOB CSHG LOGISTICA CF (BVMF:HGLG11)"/>
        <s v="HG REAL ESTATE FDO INV IMOB CF (BVMF:HGRE11)"/>
        <s v="FDO INV IMOB KINEA RENDA IMOBILIARIA CF (BVMF:KNRI11)"/>
        <s v="Petróleo Brasileiro S.A. (Petrobras) (BVMF:PETR4)"/>
        <s v="HGBS11"/>
        <s v="Fleury S.A. (BVMF:FLRY3)"/>
        <s v="Transmissora Aliança de Energia Elétrica S/A (BVMF:TAEE4)"/>
        <s v="Companhia Siderúrgica Nacional S. A. (BVMF:CSNA3)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165">
      <sharedItems containsSemiMixedTypes="0" containsString="0" containsNumber="1" minValue="0" maxValue="180.6"/>
    </cacheField>
    <cacheField name="IR" numFmtId="165">
      <sharedItems containsSemiMixedTypes="0" containsString="0" containsNumber="1" minValue="0" maxValue="6"/>
    </cacheField>
    <cacheField name="Valor Líquido" numFmtId="165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Ações"/>
        <s v="Fundos mais negociados"/>
        <s v="#CAMPO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Couto" refreshedDate="45405.486010763889" createdVersion="8" refreshedVersion="8" minRefreshableVersion="3" recordCount="28" xr:uid="{1C4BB4A4-51F4-4D94-AD9C-FDB773E3F21C}">
  <cacheSource type="worksheet">
    <worksheetSource name="TB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AUSA S.A. (BVMF:ITSA4)"/>
        <s v="Companhia Siderúrgica Nacional S. A. (BVMF:CSNA3)"/>
        <s v="Petróleo Brasileiro S.A. (Petrobras) (BVMF:PETR4)"/>
        <s v="FDO INV IMOB CSHG LOGISTICA CF (BVMF:HGLG11)"/>
        <s v="HG REAL ESTATE FDO INV IMOB CF (BVMF:HGRE11)"/>
        <s v="Fleury S.A. (BVMF:FLRY3)"/>
        <s v="FDO INV IMOB HG BRASIL SHOPPING ETF (BVMF:HGBS11)"/>
        <s v="FDO INV IMOB KINEA RENDA IMOBILIARIA CF (BVMF:KNRI11)"/>
        <s v="Transmissora Aliança de Energia Elétrica S/A (BVMF:TAEE4)"/>
      </sharedItems>
    </cacheField>
    <cacheField name="Quantidade" numFmtId="0">
      <sharedItems containsSemiMixedTypes="0" containsString="0" containsNumber="1" containsInteger="1" minValue="1" maxValue="100"/>
    </cacheField>
    <cacheField name="Valor" numFmtId="164">
      <sharedItems containsSemiMixedTypes="0" containsString="0" containsNumber="1" minValue="9.5500000000000007" maxValue="224.11"/>
    </cacheField>
    <cacheField name="Custo" numFmtId="165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224.11" maxValue="4134"/>
    </cacheField>
    <cacheField name="Tipo" numFmtId="0">
      <sharedItems count="2">
        <s v="Ações"/>
        <s v="Fundos mais negociados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18-12-10T00:00:00"/>
    <x v="0"/>
    <n v="100"/>
    <n v="9.5500000000000007"/>
    <n v="10"/>
    <n v="965.00000000000011"/>
    <x v="0"/>
    <n v="2018"/>
    <n v="12"/>
    <x v="0"/>
  </r>
  <r>
    <d v="2018-12-10T00:00:00"/>
    <x v="1"/>
    <n v="100"/>
    <n v="14.43"/>
    <n v="10"/>
    <n v="1453"/>
    <x v="0"/>
    <n v="2018"/>
    <n v="12"/>
    <x v="0"/>
  </r>
  <r>
    <d v="2019-01-10T00:00:00"/>
    <x v="2"/>
    <n v="100"/>
    <n v="41.24"/>
    <n v="10"/>
    <n v="4134"/>
    <x v="0"/>
    <n v="2019"/>
    <n v="1"/>
    <x v="1"/>
  </r>
  <r>
    <d v="2019-01-10T00:00:00"/>
    <x v="3"/>
    <n v="5"/>
    <n v="163.93"/>
    <n v="0"/>
    <n v="819.65000000000009"/>
    <x v="1"/>
    <n v="2019"/>
    <n v="1"/>
    <x v="1"/>
  </r>
  <r>
    <d v="2019-02-10T00:00:00"/>
    <x v="0"/>
    <n v="100"/>
    <n v="9.5500000000000007"/>
    <n v="10"/>
    <n v="965.00000000000011"/>
    <x v="0"/>
    <n v="2019"/>
    <n v="2"/>
    <x v="2"/>
  </r>
  <r>
    <d v="2019-02-10T00:00:00"/>
    <x v="4"/>
    <n v="8"/>
    <n v="125.76"/>
    <n v="0"/>
    <n v="1006.08"/>
    <x v="1"/>
    <n v="2019"/>
    <n v="2"/>
    <x v="2"/>
  </r>
  <r>
    <d v="2019-03-10T00:00:00"/>
    <x v="5"/>
    <n v="100"/>
    <n v="14.66"/>
    <n v="10"/>
    <n v="1476"/>
    <x v="0"/>
    <n v="2019"/>
    <n v="3"/>
    <x v="3"/>
  </r>
  <r>
    <d v="2019-03-10T00:00:00"/>
    <x v="6"/>
    <n v="3"/>
    <n v="224.11"/>
    <n v="0"/>
    <n v="672.33"/>
    <x v="1"/>
    <n v="2019"/>
    <n v="3"/>
    <x v="3"/>
  </r>
  <r>
    <d v="2019-04-10T00:00:00"/>
    <x v="3"/>
    <n v="2"/>
    <n v="163.93"/>
    <n v="0"/>
    <n v="327.86"/>
    <x v="1"/>
    <n v="2019"/>
    <n v="4"/>
    <x v="4"/>
  </r>
  <r>
    <d v="2019-04-10T00:00:00"/>
    <x v="7"/>
    <n v="3"/>
    <n v="163.99"/>
    <n v="0"/>
    <n v="491.97"/>
    <x v="1"/>
    <n v="2019"/>
    <n v="4"/>
    <x v="4"/>
  </r>
  <r>
    <d v="2019-05-10T00:00:00"/>
    <x v="1"/>
    <n v="100"/>
    <n v="14.43"/>
    <n v="10"/>
    <n v="1453"/>
    <x v="0"/>
    <n v="2019"/>
    <n v="5"/>
    <x v="5"/>
  </r>
  <r>
    <d v="2019-05-10T00:00:00"/>
    <x v="8"/>
    <n v="100"/>
    <n v="11.81"/>
    <n v="10"/>
    <n v="1191"/>
    <x v="0"/>
    <n v="2019"/>
    <n v="5"/>
    <x v="5"/>
  </r>
  <r>
    <d v="2019-06-10T00:00:00"/>
    <x v="4"/>
    <n v="5"/>
    <n v="125.76"/>
    <n v="0"/>
    <n v="628.80000000000007"/>
    <x v="1"/>
    <n v="2019"/>
    <n v="6"/>
    <x v="6"/>
  </r>
  <r>
    <d v="2019-06-10T00:00:00"/>
    <x v="2"/>
    <n v="100"/>
    <n v="41.24"/>
    <n v="10"/>
    <n v="4134"/>
    <x v="0"/>
    <n v="2019"/>
    <n v="6"/>
    <x v="6"/>
  </r>
  <r>
    <d v="2019-07-10T00:00:00"/>
    <x v="5"/>
    <n v="100"/>
    <n v="14.66"/>
    <n v="10"/>
    <n v="1476"/>
    <x v="0"/>
    <n v="2019"/>
    <n v="7"/>
    <x v="7"/>
  </r>
  <r>
    <d v="2019-07-10T00:00:00"/>
    <x v="6"/>
    <n v="1"/>
    <n v="224.11"/>
    <n v="0"/>
    <n v="224.11"/>
    <x v="1"/>
    <n v="2019"/>
    <n v="7"/>
    <x v="7"/>
  </r>
  <r>
    <d v="2019-08-10T00:00:00"/>
    <x v="3"/>
    <n v="7"/>
    <n v="163.93"/>
    <n v="0"/>
    <n v="1147.51"/>
    <x v="1"/>
    <n v="2019"/>
    <n v="8"/>
    <x v="8"/>
  </r>
  <r>
    <d v="2019-08-10T00:00:00"/>
    <x v="2"/>
    <n v="100"/>
    <n v="41.24"/>
    <n v="10"/>
    <n v="4134"/>
    <x v="0"/>
    <n v="2019"/>
    <n v="8"/>
    <x v="8"/>
  </r>
  <r>
    <d v="2019-09-10T00:00:00"/>
    <x v="1"/>
    <n v="100"/>
    <n v="14.43"/>
    <n v="10"/>
    <n v="1453"/>
    <x v="0"/>
    <n v="2019"/>
    <n v="9"/>
    <x v="9"/>
  </r>
  <r>
    <d v="2019-09-10T00:00:00"/>
    <x v="4"/>
    <n v="2"/>
    <n v="125.76"/>
    <n v="0"/>
    <n v="251.52"/>
    <x v="1"/>
    <n v="2019"/>
    <n v="9"/>
    <x v="9"/>
  </r>
  <r>
    <d v="2019-10-10T00:00:00"/>
    <x v="2"/>
    <n v="100"/>
    <n v="41.24"/>
    <n v="10"/>
    <n v="4134"/>
    <x v="0"/>
    <n v="2019"/>
    <n v="10"/>
    <x v="10"/>
  </r>
  <r>
    <d v="2019-10-10T00:00:00"/>
    <x v="6"/>
    <n v="5"/>
    <n v="224.11"/>
    <n v="0"/>
    <n v="1120.5500000000002"/>
    <x v="1"/>
    <n v="2019"/>
    <n v="10"/>
    <x v="10"/>
  </r>
  <r>
    <d v="2019-11-10T00:00:00"/>
    <x v="0"/>
    <n v="100"/>
    <n v="9.5500000000000007"/>
    <n v="10"/>
    <n v="965.00000000000011"/>
    <x v="0"/>
    <n v="2019"/>
    <n v="11"/>
    <x v="11"/>
  </r>
  <r>
    <d v="2019-11-10T00:00:00"/>
    <x v="3"/>
    <n v="3"/>
    <n v="163.93"/>
    <n v="0"/>
    <n v="491.79"/>
    <x v="1"/>
    <n v="2019"/>
    <n v="11"/>
    <x v="11"/>
  </r>
  <r>
    <d v="2019-12-10T00:00:00"/>
    <x v="7"/>
    <n v="5"/>
    <n v="163.99"/>
    <n v="0"/>
    <n v="819.95"/>
    <x v="1"/>
    <n v="2019"/>
    <n v="12"/>
    <x v="12"/>
  </r>
  <r>
    <d v="2019-12-10T00:00:00"/>
    <x v="8"/>
    <n v="100"/>
    <n v="11.81"/>
    <n v="10"/>
    <n v="1191"/>
    <x v="0"/>
    <n v="2019"/>
    <n v="12"/>
    <x v="12"/>
  </r>
  <r>
    <d v="2020-01-10T00:00:00"/>
    <x v="7"/>
    <n v="10"/>
    <n v="163.99"/>
    <n v="0"/>
    <n v="1639.9"/>
    <x v="1"/>
    <n v="2020"/>
    <n v="1"/>
    <x v="13"/>
  </r>
  <r>
    <d v="2020-01-10T00:00:00"/>
    <x v="4"/>
    <n v="4"/>
    <n v="125.76"/>
    <n v="0"/>
    <n v="503.04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16398-32A3-4D27-9ACA-668C51163E20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3"/>
        <item x="6"/>
        <item x="7"/>
        <item x="5"/>
        <item x="4"/>
        <item x="0"/>
        <item x="2"/>
        <item x="8"/>
        <item t="default"/>
      </items>
    </pivotField>
    <pivotField showAll="0"/>
    <pivotField numFmtId="164" showAll="0"/>
    <pivotField numFmtId="165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4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5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166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7CB17-C779-4814-9FA1-7AAA8CE59FE2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N18" firstHeaderRow="1" firstDataRow="2" firstDataCol="1"/>
  <pivotFields count="9">
    <pivotField showAll="0"/>
    <pivotField axis="axisRow" showAll="0">
      <items count="11">
        <item x="9"/>
        <item x="2"/>
        <item x="1"/>
        <item x="4"/>
        <item x="7"/>
        <item x="3"/>
        <item x="6"/>
        <item x="0"/>
        <item x="5"/>
        <item x="8"/>
        <item t="default"/>
      </items>
    </pivotField>
    <pivotField showAll="0"/>
    <pivotField numFmtId="165" showAll="0"/>
    <pivotField numFmtId="165" showAll="0"/>
    <pivotField dataField="1" numFmtId="165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2">
    <field x="8"/>
    <field x="1"/>
  </rowFields>
  <rowItems count="14">
    <i>
      <x/>
    </i>
    <i r="1">
      <x v="6"/>
    </i>
    <i>
      <x v="1"/>
    </i>
    <i r="1">
      <x/>
    </i>
    <i r="1">
      <x v="4"/>
    </i>
    <i r="1">
      <x v="7"/>
    </i>
    <i r="1">
      <x v="8"/>
    </i>
    <i r="1">
      <x v="9"/>
    </i>
    <i>
      <x v="2"/>
    </i>
    <i r="1">
      <x v="1"/>
    </i>
    <i r="1">
      <x v="2"/>
    </i>
    <i r="1">
      <x v="3"/>
    </i>
    <i r="1">
      <x v="5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8" baseItem="0" numFmtId="166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6B98B02-8E3E-4053-B396-FF58CD241E5E}" autoFormatId="16" applyNumberFormats="0" applyBorderFormats="0" applyFontFormats="0" applyPatternFormats="0" applyAlignmentFormats="0" applyWidthHeightFormats="0">
  <queryTableRefresh nextId="4">
    <queryTableFields count="3">
      <queryTableField id="1" name="Ativo" tableColumnId="1"/>
      <queryTableField id="2" name="Tipo" tableColumnId="2"/>
      <queryTableField id="3" name="Cotação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1">
  <rv s="0">
    <v>https://www.bing.com/financeapi/forcetrigger?t=apms77&amp;q=BVMF%3aITSA4&amp;form=skydnc</v>
    <v>Learn more on Bing</v>
  </rv>
  <rv s="1">
    <v>pt-BR</v>
    <v>apms77</v>
    <v>268435456</v>
    <v>1</v>
    <v>Da plataforma Refinitiv</v>
    <v>0</v>
    <v>1</v>
    <v>ITAUSA S.A. (BVMF:ITSA4)</v>
    <v>3</v>
    <v>4</v>
    <v>Finance</v>
    <v>5</v>
    <v>10.72</v>
    <v>7.21</v>
    <v>BVMF</v>
    <v>10328150000</v>
    <v>9.6300000000000008</v>
    <v>1966</v>
    <v>9.5299999999999994</v>
    <v>1.0052000000000001</v>
    <v>B3 - Brazil Stock Exchange</v>
    <v>98312410000</v>
    <v>Itausa Investimentos Itau SA é uma empresa sediada no Brasil e tem como atividade principal o setor bancário. As atividades da Companhia estão divididas em dois segmentos de negócios: Financeiro e Industrial. A divisão Financeiral concentra-se na gestão do Itau Unibanco Holding SA, uma instituição bancária que oferece produtos e serviços financeiros, como empréstimos, cartões de crédito, contas correntes, apólices de seguros, ferramentas de investimento, corretagem de valores mobiliários, consultoria de tesouraria e investimentos para clientes individuais e empresas. A divisão Industrial é responsável pela operação da Itautec SA, que fabrica equipamentos de automação comercial e bancária, além de prestar serviços de tecnologia da informação (TI); Duratex SA, que produz painéis de madeira, louças sanitárias e metais sanitários, e Alpargatas, que produz calçados sob as marcas Juntas, Havaianas e Dupe, entre outros.</v>
    <v>BVMF</v>
    <v>9.59</v>
    <v>127000</v>
    <v>45406.753788310154</v>
    <v>0</v>
    <v>17747210</v>
    <v>BRL</v>
    <v>ITAUSA S.A.</v>
    <v>ITAUSA S.A.</v>
    <v>9.57</v>
    <v>9.56</v>
    <v>Avenida Paulista, 1938, 5Th Floor, Bela Vista, SAO PAULO, SAO PAULO, 01.310-200 BR</v>
    <v>Banking Services</v>
    <v>ITSA4</v>
    <v>Ações</v>
    <v>ITAUSA S.A. (BVMF:ITSA4)</v>
    <v>-0.03</v>
    <v>-3.1280000000000001E-3</v>
    <v>10431700</v>
  </rv>
  <rv s="2">
    <v>1</v>
  </rv>
  <rv s="0">
    <v>https://creativecommons.org/licenses/by-sa/3.0</v>
    <v>CC BY-SA 3.0</v>
  </rv>
  <rv s="0">
    <v>http://fr.wikipedia.org/wiki/Companhia_Siderúrgica_Nacional</v>
    <v>Wikipedia</v>
  </rv>
  <rv s="3">
    <v>3</v>
    <v>4</v>
  </rv>
  <rv s="4">
    <v>11</v>
    <v>https://www.bing.com/th?id=AMMS_e8b96267310f0adc32724679940e7adf&amp;qlt=95</v>
    <v>5</v>
    <v>0</v>
    <v>https://www.bing.com/images/search?form=xlimg&amp;q=companhia+sider%c3%bargica+nacional</v>
    <v>Image of Companhia Siderúrgica Nacional S. A.</v>
  </rv>
  <rv s="0">
    <v>https://www.bing.com/financeapi/forcetrigger?t=apmcoc&amp;q=BVMF%3aCSNA3&amp;form=skydnc</v>
    <v>Learn more on Bing</v>
  </rv>
  <rv s="5">
    <v>pt-BR</v>
    <v>apmcoc</v>
    <v>268435456</v>
    <v>1</v>
    <v>Da plataforma Refinitiv</v>
    <v>6</v>
    <v>7</v>
    <v>Companhia Siderúrgica Nacional S. A. (BVMF:CSNA3)</v>
    <v>9</v>
    <v>10</v>
    <v>Finance</v>
    <v>5</v>
    <v>19.8</v>
    <v>10.26</v>
    <v>BVMF</v>
    <v>1326094000</v>
    <v>14.74</v>
    <v>1941</v>
    <v>14.22</v>
    <v>1.444</v>
    <v>B3 - Brazil Stock Exchange</v>
    <v>18966870000</v>
    <v>A Companhia Siderúrgica Nacional atua em toda a cadeia produtiva do aço, desde a extração de minério de ferro até a produção e venda de uma variedade de produtos siderúrgicos, incluindo aço plano galvanizado revestido e chapa estanhada. A Empresa opera através de cinco segmentos: siderurgia, mineração, cimentício, logística e energia. O segmento siderúrgico atua na produção, distribuição e venda de aço plano, aço longo, contêineres metálicos e aço galvanizado, com operações no Brasil, Estados Unidos, Portugal e Alemanha. O segmento de mineração abrange as atividades de mineração de ferro e de estanho. O segmento cimentício atua na produção, distribuição e operações de venda de cimento. A Empresa opera um terminal portuário para contêineres, o Sepetiba Tecon, no Porto de Itaguaí, no estado do Rio de Janeiro. A Empresa é uma consumidora industrial de energia elétrica no Brasil. As vendas de aço da Empresa são voltadas ao mercado doméstico.</v>
    <v>BVMF</v>
    <v>14.42</v>
    <v>24924</v>
    <v>45406.753819444442</v>
    <v>6</v>
    <v>7</v>
    <v>9268430</v>
    <v>BRL</v>
    <v>Companhia Siderúrgica Nacional S. A.</v>
    <v>Companhia Siderúrgica Nacional S. A.</v>
    <v>14.58</v>
    <v>14.31</v>
    <v>Av. Brigadeiro Faria Lima, 3400,20 andar, Itaim Bibi, SAO PAULO, SAO PAULO, 04.538-132 BR</v>
    <v>Metals &amp; Mining</v>
    <v>CSNA3</v>
    <v>Ações</v>
    <v>Companhia Siderúrgica Nacional S. A. (BVMF:CSNA3)</v>
    <v>-0.11</v>
    <v>-7.6280000000000002E-3</v>
    <v>4355400</v>
  </rv>
  <rv s="2">
    <v>8</v>
  </rv>
  <rv s="0">
    <v>https://www.bing.com/financeapi/forcetrigger?t=apn4gh&amp;q=BVMF%3aPETR4&amp;form=skydnc</v>
    <v>Learn more on Bing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42.94</v>
    <v>19.52</v>
    <v>BVMF</v>
    <v>13044500000</v>
    <v>41.99</v>
    <v>1953</v>
    <v>41.21</v>
    <v>1.2921</v>
    <v>B3 - Brazil Stock Exchange</v>
    <v>550971300000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41.42</v>
    <v>46730</v>
    <v>45406.753819444442</v>
    <v>10</v>
    <v>44529940</v>
    <v>BRL</v>
    <v>Petróleo Brasileiro S.A. (Petrobras)</v>
    <v>Petróleo Brasileiro S.A. (Petrobras)</v>
    <v>41.55</v>
    <v>41.32</v>
    <v>Av. Republica do Chile, n 65, 24 andar, Centro, Rio de Janeiro, RIO DE JANEIRO, 20.031-912 BR</v>
    <v>Oil &amp; Gas</v>
    <v>PETR4</v>
    <v>Ações</v>
    <v>Petróleo Brasileiro S.A. (Petrobras) (BVMF:PETR4)</v>
    <v>-0.1</v>
    <v>-2.4139999999999999E-3</v>
    <v>30645000</v>
  </rv>
  <rv s="2">
    <v>11</v>
  </rv>
  <rv s="0">
    <v>https://www.bing.com/financeapi/forcetrigger?t=apmqh7&amp;q=BVMF%3aHGLG11&amp;form=skydnc</v>
    <v>Learn more on Bing</v>
  </rv>
  <rv s="6">
    <v>pt-BR</v>
    <v>apmqh7</v>
    <v>268435456</v>
    <v>1</v>
    <v>Da plataforma Refinitiv</v>
    <v>12</v>
    <v>13</v>
    <v>FDO INV IMOB CSHG LOGISTICA CF (BVMF:HGLG11)</v>
    <v>14</v>
    <v>15</v>
    <v>Finance</v>
    <v>5</v>
    <v>169.6</v>
    <v>145.49</v>
    <v>BVMF</v>
    <v>164.17</v>
    <v>163.30000000000001</v>
    <v>B3 - Brazil Stock Exchange</v>
    <v>163.85</v>
    <v>45406.753832152346</v>
    <v>13</v>
    <v>BRL</v>
    <v>FDO INV IMOB CSHG LOGISTICA CF</v>
    <v>163.97</v>
    <v>163.32</v>
    <v>HGLG11</v>
    <v>Fundos mais negociados</v>
    <v>FDO INV IMOB CSHG LOGISTICA CF (BVMF:HGLG11)</v>
    <v>-0.53</v>
    <v>-3.235E-3</v>
    <v>27788</v>
  </rv>
  <rv s="2">
    <v>14</v>
  </rv>
  <rv s="0">
    <v>https://www.bing.com/financeapi/forcetrigger?t=apmqk2&amp;q=BVMF%3aHGRE11&amp;form=skydnc</v>
    <v>Learn more on Bing</v>
  </rv>
  <rv s="6">
    <v>pt-BR</v>
    <v>apmqk2</v>
    <v>268435456</v>
    <v>1</v>
    <v>Da plataforma Refinitiv</v>
    <v>12</v>
    <v>13</v>
    <v>HG REAL ESTATE FDO INV IMOB CF (BVMF:HGRE11)</v>
    <v>14</v>
    <v>15</v>
    <v>Finance</v>
    <v>5</v>
    <v>136.68</v>
    <v>108.11</v>
    <v>BVMF</v>
    <v>125.63</v>
    <v>124.08</v>
    <v>B3 - Brazil Stock Exchange</v>
    <v>125.35</v>
    <v>45406.753702638278</v>
    <v>16</v>
    <v>BRL</v>
    <v>HG REAL ESTATE FDO INV IMOB CF</v>
    <v>125.15</v>
    <v>124.59</v>
    <v>HGRE11</v>
    <v>Fundos mais negociados</v>
    <v>HG REAL ESTATE FDO INV IMOB CF (BVMF:HGRE11)</v>
    <v>-0.76</v>
    <v>-6.0629999999999998E-3</v>
    <v>15062</v>
  </rv>
  <rv s="2">
    <v>17</v>
  </rv>
  <rv s="0">
    <v>https://www.bing.com/financeapi/forcetrigger?t=apmlc7&amp;q=BVMF%3aFLRY3&amp;form=skydnc</v>
    <v>Learn more on Bing</v>
  </rv>
  <rv s="1">
    <v>pt-BR</v>
    <v>apmlc7</v>
    <v>268435456</v>
    <v>1</v>
    <v>Da plataforma Refinitiv</v>
    <v>0</v>
    <v>1</v>
    <v>Fleury S.A. (BVMF:FLRY3)</v>
    <v>3</v>
    <v>4</v>
    <v>Finance</v>
    <v>5</v>
    <v>18.510000000000002</v>
    <v>12.86</v>
    <v>BVMF</v>
    <v>547191000</v>
    <v>14.75</v>
    <v>1964</v>
    <v>14.35</v>
    <v>0.73540000000000005</v>
    <v>B3 - Brazil Stock Exchange</v>
    <v>7989192000</v>
    <v>A Fleury SA é uma empresa sediada no Brasil que presta serviços de laboratório médico. As atividades da Companhia estão divididas em três linhas de negócios: Centros de Atendimento ao Paciente (PSC), B2B e Diagnóstico Odontológico. A divisão PCS oferece diagnóstico médico privado. A divisão B2B é responsável pela análise clínica e diagnóstico por imagem em hospitais parceiros, além de testes para laboratórios, hospitais e clínicas em todo o Brasil. A divisão de Diagnóstico Odontológico fornece imagens de diagnóstico odontológico por meio da Papaiz Associados Diagnosticos por Imagem SA, uma joint venture com a Odontoprev SA. A Companhia opera através de várias marcas, como Fleury Medicina e Saúde, Clínica Felippe Mattoso e Weinmann, a + Medicina Diagnóstica, Diagnoson a +, Diagmax e Inlab, entre outras.</v>
    <v>BVMF</v>
    <v>14.72</v>
    <v>27300</v>
    <v>45406.753792441406</v>
    <v>19</v>
    <v>3815080</v>
    <v>BRL</v>
    <v>Fleury S.A.</v>
    <v>Fleury S.A.</v>
    <v>14.75</v>
    <v>14.49</v>
    <v>Av. General Valdomiro de Lima, 508, Jabaquara, SAO PAULO, SAO PAULO, 04.344-070 BR</v>
    <v>Healthcare Providers &amp; Services</v>
    <v>FLRY3</v>
    <v>Ações</v>
    <v>Fleury S.A. (BVMF:FLRY3)</v>
    <v>-0.23</v>
    <v>-1.5625E-2</v>
    <v>1472000</v>
  </rv>
  <rv s="2">
    <v>20</v>
  </rv>
  <rv s="0">
    <v>https://www.bing.com/financeapi/forcetrigger?t=apmq8m&amp;q=BVMF%3aHGBS11&amp;form=skydnc</v>
    <v>Learn more on Bing</v>
  </rv>
  <rv s="6">
    <v>pt-BR</v>
    <v>apmq8m</v>
    <v>268435456</v>
    <v>1</v>
    <v>Da plataforma Refinitiv</v>
    <v>12</v>
    <v>13</v>
    <v>FDO INV IMOB HG BRASIL SHOPPING ETF (BVMF:HGBS11)</v>
    <v>14</v>
    <v>15</v>
    <v>Finance</v>
    <v>5</v>
    <v>230.44</v>
    <v>176.75</v>
    <v>BVMF</v>
    <v>224.48</v>
    <v>221.1</v>
    <v>B3 - Brazil Stock Exchange</v>
    <v>223.86</v>
    <v>45406.753832117967</v>
    <v>22</v>
    <v>BRL</v>
    <v>FDO INV IMOB HG BRASIL SHOPPING ETF</v>
    <v>224</v>
    <v>221.91</v>
    <v>HGBS11</v>
    <v>Fundos mais negociados</v>
    <v>FDO INV IMOB HG BRASIL SHOPPING ETF (BVMF:HGBS11)</v>
    <v>-1.95</v>
    <v>-8.711E-3</v>
    <v>14253</v>
  </rv>
  <rv s="2">
    <v>23</v>
  </rv>
  <rv s="0">
    <v>https://www.bing.com/financeapi/forcetrigger?t=apmuh7&amp;q=BVMF%3aKNRI11&amp;form=skydnc</v>
    <v>Learn more on Bing</v>
  </rv>
  <rv s="6">
    <v>pt-BR</v>
    <v>apmuh7</v>
    <v>268435456</v>
    <v>1</v>
    <v>Da plataforma Refinitiv</v>
    <v>12</v>
    <v>13</v>
    <v>FDO INV IMOB KINEA RENDA IMOBILIARIA CF (BVMF:KNRI11)</v>
    <v>14</v>
    <v>15</v>
    <v>Finance</v>
    <v>5</v>
    <v>165.97</v>
    <v>130.59</v>
    <v>BVMF</v>
    <v>163.49</v>
    <v>162.56</v>
    <v>B3 - Brazil Stock Exchange</v>
    <v>162.83000000000001</v>
    <v>45406.753654721877</v>
    <v>25</v>
    <v>BRL</v>
    <v>FDO INV IMOB KINEA RENDA IMOBILIARIA CF</v>
    <v>163.47999999999999</v>
    <v>162.69999999999999</v>
    <v>KNRI11</v>
    <v>Fundos mais negociados</v>
    <v>FDO INV IMOB KINEA RENDA IMOBILIARIA CF (BVMF:KNRI11)</v>
    <v>-0.13</v>
    <v>-7.9839999999999989E-4</v>
    <v>13883</v>
  </rv>
  <rv s="2">
    <v>26</v>
  </rv>
  <rv s="0">
    <v>https://www.bing.com/financeapi/forcetrigger?t=apnew7&amp;q=BVMF%3aTAEE4&amp;form=skydnc</v>
    <v>Learn more on Bing</v>
  </rv>
  <rv s="1">
    <v>pt-BR</v>
    <v>apnew7</v>
    <v>268435456</v>
    <v>1</v>
    <v>Da plataforma Refinitiv</v>
    <v>0</v>
    <v>1</v>
    <v>Transmissora Aliança de Energia Elétrica S/A (BVMF:TAEE4)</v>
    <v>3</v>
    <v>4</v>
    <v>Finance</v>
    <v>5</v>
    <v>12.7</v>
    <v>10.75</v>
    <v>BVMF</v>
    <v>344498900</v>
    <v>11.88</v>
    <v>2006</v>
    <v>11.8</v>
    <v>0.59960000000000002</v>
    <v>B3 - Brazil Stock Exchange</v>
    <v>12123490000</v>
    <v>A Transmissora Alianca de Energia Elétrica SA (Taesa) é uma empresa sediada no Brasil envolvida na transmissão de eletricidade. A Companhia é especializada na implementação, operação e manutenção de linhas de transmissão de energia elétrica que compõem a rede básica do Sistema Interligado Nacional (SIN). A Companhia possui aproximadamente 40 concessões de transmissão no Brasil. Além disso, fornece estudos de planejamento de infraestrutura de transmissão, análise química de materiais, serviços de engenharia e suporte técnico, entre outros. A Companhia opera através de várias subsidiárias, como Nordeste Transmissora de Energia SA, Novatrans Energia SA, Miracema Transmissora de Energia SA e Sul Transmissora de Energia SA.</v>
    <v>BVMF</v>
    <v>11.86</v>
    <v>851</v>
    <v>45406.753668981481</v>
    <v>28</v>
    <v>2245480</v>
    <v>BRL</v>
    <v>Transmissora Aliança de Energia Elétrica S/A</v>
    <v>Transmissora Aliança de Energia Elétrica S/A</v>
    <v>11.86</v>
    <v>11.82</v>
    <v>Av. das Americas, 2480 Bloco 6, Barra da Tijuca, RIO DE JANEIRO, RIO DE JANEIRO, 22.640-101 BR</v>
    <v>Electrical Utilities &amp; IPPs</v>
    <v>TAEE4</v>
    <v>Ações</v>
    <v>Transmissora Aliança de Energia Elétrica S/A (BVMF:TAEE4)</v>
    <v>-0.04</v>
    <v>-3.3729999999999997E-3</v>
    <v>118400</v>
  </rv>
  <rv s="2">
    <v>29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Imagem" t="r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3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Imagem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</spbArrays>
  <spbData count="16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Beta</v>
      <v>Name</v>
      <v>Headquarters</v>
      <v>Low</v>
      <v>Exchange</v>
      <v>Currency</v>
      <v>Price</v>
      <v>Industry</v>
      <v>Image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1</v>
      <v>Name</v>
      <v>LearnMoreOnLink</v>
    </spb>
    <spb s="7">
      <v>0</v>
      <v>0</v>
    </spb>
    <spb s="8">
      <v>8</v>
      <v>2</v>
      <v>2</v>
      <v>2</v>
      <v>2</v>
    </spb>
    <spb s="9">
      <v>1</v>
      <v>2</v>
      <v>3</v>
      <v>1</v>
      <v>1</v>
      <v>10</v>
      <v>4</v>
      <v>1</v>
      <v>1</v>
      <v>4</v>
      <v>5</v>
      <v>4</v>
      <v>6</v>
      <v>1</v>
      <v>1</v>
      <v>7</v>
      <v>4</v>
      <v>1</v>
      <v>8</v>
      <v>9</v>
    </spb>
    <spb s="10">
      <v>Da plataforma Refinitiv</v>
    </spb>
    <spb s="11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2</v>
      <v>Name</v>
      <v>LearnMoreOnLink</v>
    </spb>
    <spb s="12">
      <v>2</v>
      <v>2</v>
      <v>2</v>
    </spb>
    <spb s="13">
      <v>1</v>
      <v>3</v>
      <v>1</v>
      <v>1</v>
      <v>4</v>
      <v>1</v>
      <v>1</v>
      <v>5</v>
      <v>6</v>
      <v>1</v>
      <v>1</v>
      <v>1</v>
      <v>9</v>
    </spb>
  </spbData>
</supportingPropertyBags>
</file>

<file path=xl/richData/rdsupportingpropertybagstructure.xml><?xml version="1.0" encoding="utf-8"?>
<spbStructures xmlns="http://schemas.microsoft.com/office/spreadsheetml/2017/richdata2" count="14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Imagem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ShowInDotNotation" t="b"/>
    <k n="ShowInAutoComplete" t="b"/>
  </s>
  <s>
    <k n="Imagem" t="spb"/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Imagem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name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  <rPr n="IsHeroField" t="b"/>
  </richProperties>
  <richStyles>
    <rSty dxfid="1">
      <rpv i="0">_-[$R$-pt-BR] * #,##0.00_-;-[$R$-pt-BR] * #,##0.00_-;_-[$R$-pt-BR] * "-"??_-;_-@_-</rpv>
    </rSty>
    <rSty dxfid="5">
      <rpv i="0">#,##0.00</rpv>
    </rSty>
    <rSty>
      <rpv i="1">1</rpv>
    </rSty>
    <rSty dxfid="4">
      <rpv i="0">#,##0</rpv>
    </rSty>
    <rSty dxfid="3"/>
    <rSty dxfid="0">
      <rpv i="0">0.00</rpv>
    </rSty>
    <rSty dxfid="6">
      <rpv i="0">0</rpv>
    </rSty>
    <rSty dxfid="1">
      <rpv i="0">_-[$R$-pt-BR] * #,##0_-;-[$R$-pt-BR] * #,##0_-;_-[$R$-pt-BR] * "-"_-;_-@_-</rpv>
    </rSty>
    <rSty dxfid="2"/>
    <rSty>
      <rpv i="2">1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E26B2-EBB0-4A98-BC96-AE3B3E325B45}" name="TBAportes" displayName="TBAportes" ref="B1:L29" totalsRowShown="0">
  <autoFilter ref="B1:L29" xr:uid="{FE1E26B2-EBB0-4A98-BC96-AE3B3E325B45}"/>
  <tableColumns count="11">
    <tableColumn id="1" xr3:uid="{3D832D37-46CF-4C52-B092-E37DA182514A}" name="Data" dataDxfId="25"/>
    <tableColumn id="2" xr3:uid="{C34E7A41-F4A2-4DA1-B796-19DDE45A0B67}" name="Ativo"/>
    <tableColumn id="3" xr3:uid="{E37F04CD-4929-4A2B-B7C9-4C84B3A30A43}" name="Quantidade"/>
    <tableColumn id="4" xr3:uid="{0D2DA3B1-96A7-4567-8AD5-7A7F3F2373FF}" name="Valor" dataDxfId="24">
      <calculatedColumnFormula array="1">_FV(C2,"Preço")</calculatedColumnFormula>
    </tableColumn>
    <tableColumn id="5" xr3:uid="{1CD484AB-1C4C-487E-A0B1-C113B4FD4D2F}" name="Custo" dataDxfId="23"/>
    <tableColumn id="6" xr3:uid="{DAE63464-ACB3-4929-A651-CB6E70606C72}" name="Total" dataDxfId="22">
      <calculatedColumnFormula>(D2*E2)+F2</calculatedColumnFormula>
    </tableColumn>
    <tableColumn id="7" xr3:uid="{78BE7B45-FBEE-4A08-84A2-E00312627297}" name="Tipo">
      <calculatedColumnFormula array="1">_FV(C2,"Tipo de instrumento",TRUE)</calculatedColumnFormula>
    </tableColumn>
    <tableColumn id="8" xr3:uid="{3613AA54-D6E2-46FB-8B1F-660A57D7F608}" name="Ano">
      <calculatedColumnFormula>YEAR(B2)</calculatedColumnFormula>
    </tableColumn>
    <tableColumn id="9" xr3:uid="{44CD5A53-1E4B-4980-BC80-0D1C070CFD9D}" name="Mês">
      <calculatedColumnFormula>MONTH(B2)</calculatedColumnFormula>
    </tableColumn>
    <tableColumn id="10" xr3:uid="{183EE76E-3D8C-4E80-BADB-672CD60528B6}" name="Ano/Mês">
      <calculatedColumnFormula>CONCATENATE(I:I,"/",IF(J:J&lt;10,"0"&amp;J:J,J:J))</calculatedColumnFormula>
    </tableColumn>
    <tableColumn id="11" xr3:uid="{24A04387-FFD8-4A2F-B084-97B80E575C5C}" name="Símbolo do ticker">
      <calculatedColumnFormula array="1">_FV(TBAportes[[#This Row],[Ativo]],"Símbolo do ticker",TRUE)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57181-7D4E-430A-8BA2-738CAA94DC33}" name="TBAtivos" displayName="TBAtivos" ref="B2:D11" tableType="queryTable" totalsRowShown="0">
  <autoFilter ref="B2:D11" xr:uid="{5D557181-7D4E-430A-8BA2-738CAA94DC33}"/>
  <tableColumns count="3">
    <tableColumn id="1" xr3:uid="{21B896FA-1DEF-4136-838B-F726C122FEC6}" uniqueName="1" name="Ativo" queryTableFieldId="1" dataDxfId="21"/>
    <tableColumn id="2" xr3:uid="{A7BA192E-98E9-4D2A-83F9-240FFAEEF61E}" uniqueName="2" name="Tipo" queryTableFieldId="2" dataDxfId="20"/>
    <tableColumn id="3" xr3:uid="{75F8E12D-EC3D-43CD-91CF-8E520FF8B656}" uniqueName="3" name="Cotação" queryTableField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CD3CD-56D8-44D3-B85A-AD27ECE9DACB}" name="TBProventos" displayName="TBProventos" ref="B1:K72" totalsRowShown="0" headerRowDxfId="19">
  <autoFilter ref="B1:K72" xr:uid="{994CD3CD-56D8-44D3-B85A-AD27ECE9DACB}"/>
  <tableColumns count="10">
    <tableColumn id="1" xr3:uid="{8F81F280-D1F3-4AD9-BD86-8F28457A3D47}" name="Cod"/>
    <tableColumn id="2" xr3:uid="{B740B9B2-7CCA-4C9B-B590-E9E05D07CAD7}" name="Ativo"/>
    <tableColumn id="3" xr3:uid="{FA21561D-81D8-45D9-84F6-EF7C0D64FE64}" name="Qte"/>
    <tableColumn id="4" xr3:uid="{F397FF89-1B39-40CE-B7C3-FEE438597C14}" name="Valor Bruto" dataDxfId="18"/>
    <tableColumn id="5" xr3:uid="{25A37A88-E5DE-4A7E-8D3A-5C2C3B682D9B}" name="IR" dataDxfId="17"/>
    <tableColumn id="6" xr3:uid="{B451CE31-DED4-4EAF-B9E0-9A1FA40DF6BE}" name="Valor Líquido" dataDxfId="16"/>
    <tableColumn id="7" xr3:uid="{0674561A-E990-4CB0-9F46-5E112A915195}" name="Data" dataDxfId="15"/>
    <tableColumn id="8" xr3:uid="{F0A7D1D2-45D3-46A5-8A7A-714C368C42D5}" name="Ano/Mês">
      <calculatedColumnFormula>CONCATENATE(YEAR(H:H),"/",IF(MONTH(H:H)&lt;10,"0"&amp;MONTH(H:H),MONTH(H:H)))</calculatedColumnFormula>
    </tableColumn>
    <tableColumn id="9" xr3:uid="{9A1AF9FE-E622-4682-A833-BCC2C7BDA5E1}" name="Tipo">
      <calculatedColumnFormula array="1">_FV(C2,"Tipo de instrumento",TRUE)</calculatedColumnFormula>
    </tableColumn>
    <tableColumn id="10" xr3:uid="{9864FE5D-B67D-4A21-8DE6-E72ABF79D599}" name="Símbolo do ticker">
      <calculatedColumnFormula array="1">_FV(TBProventos[[#This Row],[Ativo]],"Símbolo do ticker",TRUE)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7E2248-CFE1-4333-AE46-4EE1131DBC9C}" name="TBRCarteira" displayName="TBRCarteira" ref="B1:J11" totalsRowCount="1">
  <autoFilter ref="B1:J10" xr:uid="{8E7E2248-CFE1-4333-AE46-4EE1131DBC9C}"/>
  <tableColumns count="9">
    <tableColumn id="1" xr3:uid="{F1CCC38D-B626-4DD2-A240-BE4ECFBDE16D}" name="Ativo" totalsRowLabel="Total" dataDxfId="14" totalsRowDxfId="13"/>
    <tableColumn id="2" xr3:uid="{00632CA4-ED74-42E2-ADF7-AEFCB63C05D0}" name="Tipo" dataDxfId="12">
      <calculatedColumnFormula>VLOOKUP(TBRCarteira[[#This Row],[Ativo]],TBAtivos[],2,FALSE)</calculatedColumnFormula>
    </tableColumn>
    <tableColumn id="3" xr3:uid="{BF6C3A31-163C-4958-8031-46001569A194}" name="Cotação" dataDxfId="5">
      <calculatedColumnFormula>VLOOKUP(TBRCarteira[[#This Row],[Ativo]],TBAtivos[],3,FALSE)</calculatedColumnFormula>
    </tableColumn>
    <tableColumn id="4" xr3:uid="{38B4C165-3F1A-4BED-B18D-41C3BF524CD3}" name="Total aportado" totalsRowFunction="sum" dataDxfId="4" totalsRowDxfId="11">
      <calculatedColumnFormula>SUMIFS(TBAportes[Total],TBAportes[Símbolo do ticker],TBRCarteira[[#This Row],[Ativo]],TBAportes[Data],"&lt;="&amp;IF($N$1="",TODAY(),$N$1))</calculatedColumnFormula>
    </tableColumn>
    <tableColumn id="5" xr3:uid="{0A7D0638-E60F-4A8D-BEEB-C8AD87EAA7CC}" name="Total qte" dataDxfId="3">
      <calculatedColumnFormula>SUMIFS(TBAportes[Quantidade],TBAportes[Símbolo do ticker],TBRCarteira[[#This Row],[Ativo]],TBAportes[Data],"&lt;="&amp;IF($N$1="",TODAY(),$N$1))</calculatedColumnFormula>
    </tableColumn>
    <tableColumn id="6" xr3:uid="{397C4432-572F-49DA-9B4D-925C9095854C}" name="Preço médio" dataDxfId="1">
      <calculatedColumnFormula>IF(TBRCarteira[[#This Row],[Total qte]]=0,0,TBRCarteira[[#This Row],[Total aportado]]/TBRCarteira[[#This Row],[Total qte]])</calculatedColumnFormula>
    </tableColumn>
    <tableColumn id="7" xr3:uid="{BB56182D-E5AC-4D56-B927-5408E81194E4}" name="Total atual" totalsRowFunction="sum" dataDxfId="2" totalsRowDxfId="10">
      <calculatedColumnFormula>TBRCarteira[[#This Row],[Total qte]]*TBRCarteira[[#This Row],[Cotação]]</calculatedColumnFormula>
    </tableColumn>
    <tableColumn id="8" xr3:uid="{9A2237F2-E38E-43F4-AD5B-748A09FD3F98}" name="Valorização" totalsRowFunction="sum" dataDxfId="6" totalsRowDxfId="9">
      <calculatedColumnFormula>TBRCarteira[[#This Row],[Total atual]]-TBRCarteira[[#This Row],[Total aportado]]</calculatedColumnFormula>
    </tableColumn>
    <tableColumn id="9" xr3:uid="{00BD4DAF-B5B5-4371-A40C-BB70E8CA3D5D}" name="Valorização %" dataDxfId="8" totalsRowDxfId="7">
      <calculatedColumnFormula>(TBRCarteira[[#This Row],[Total atual]]-TBRCarteira[[#This Row],[Total aportado]])/TBRCarteira[[#This Row],[Total aportado]]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D6D6-AF8E-4BB6-A689-9B293D02073F}">
  <dimension ref="A3:P16"/>
  <sheetViews>
    <sheetView workbookViewId="0">
      <selection activeCell="A3" sqref="A3"/>
    </sheetView>
  </sheetViews>
  <sheetFormatPr defaultRowHeight="15" x14ac:dyDescent="0.25"/>
  <cols>
    <col min="1" max="1" width="58.140625" bestFit="1" customWidth="1"/>
    <col min="2" max="2" width="20.140625" bestFit="1" customWidth="1"/>
    <col min="3" max="5" width="8" bestFit="1" customWidth="1"/>
    <col min="6" max="6" width="7.7109375" bestFit="1" customWidth="1"/>
    <col min="7" max="15" width="8" bestFit="1" customWidth="1"/>
    <col min="16" max="16" width="10.7109375" bestFit="1" customWidth="1"/>
  </cols>
  <sheetData>
    <row r="3" spans="1:16" x14ac:dyDescent="0.25">
      <c r="A3" s="5" t="s">
        <v>44</v>
      </c>
      <c r="B3" s="5" t="s">
        <v>29</v>
      </c>
    </row>
    <row r="4" spans="1:16" x14ac:dyDescent="0.25">
      <c r="A4" s="5" t="s">
        <v>16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19</v>
      </c>
    </row>
    <row r="5" spans="1:16" x14ac:dyDescent="0.25">
      <c r="A5" s="6" t="s">
        <v>17</v>
      </c>
      <c r="B5" s="8">
        <v>2418</v>
      </c>
      <c r="C5" s="8">
        <v>4134</v>
      </c>
      <c r="D5" s="8">
        <v>965.00000000000011</v>
      </c>
      <c r="E5" s="8">
        <v>1476</v>
      </c>
      <c r="F5" s="8"/>
      <c r="G5" s="8">
        <v>2644</v>
      </c>
      <c r="H5" s="8">
        <v>4134</v>
      </c>
      <c r="I5" s="8">
        <v>1476</v>
      </c>
      <c r="J5" s="8">
        <v>4134</v>
      </c>
      <c r="K5" s="8">
        <v>1453</v>
      </c>
      <c r="L5" s="8">
        <v>4134</v>
      </c>
      <c r="M5" s="8">
        <v>965.00000000000011</v>
      </c>
      <c r="N5" s="8">
        <v>1191</v>
      </c>
      <c r="O5" s="8"/>
      <c r="P5" s="8">
        <v>29124</v>
      </c>
    </row>
    <row r="6" spans="1:16" x14ac:dyDescent="0.25">
      <c r="A6" s="7" t="s">
        <v>20</v>
      </c>
      <c r="B6" s="8">
        <v>1453</v>
      </c>
      <c r="C6" s="8"/>
      <c r="D6" s="8"/>
      <c r="E6" s="8"/>
      <c r="F6" s="8"/>
      <c r="G6" s="8">
        <v>1453</v>
      </c>
      <c r="H6" s="8"/>
      <c r="I6" s="8"/>
      <c r="J6" s="8"/>
      <c r="K6" s="8">
        <v>1453</v>
      </c>
      <c r="L6" s="8"/>
      <c r="M6" s="8"/>
      <c r="N6" s="8"/>
      <c r="O6" s="8"/>
      <c r="P6" s="8">
        <v>4359</v>
      </c>
    </row>
    <row r="7" spans="1:16" x14ac:dyDescent="0.25">
      <c r="A7" s="7" t="s">
        <v>21</v>
      </c>
      <c r="B7" s="8"/>
      <c r="C7" s="8"/>
      <c r="D7" s="8"/>
      <c r="E7" s="8">
        <v>1476</v>
      </c>
      <c r="F7" s="8"/>
      <c r="G7" s="8"/>
      <c r="H7" s="8"/>
      <c r="I7" s="8">
        <v>1476</v>
      </c>
      <c r="J7" s="8"/>
      <c r="K7" s="8"/>
      <c r="L7" s="8"/>
      <c r="M7" s="8"/>
      <c r="N7" s="8"/>
      <c r="O7" s="8"/>
      <c r="P7" s="8">
        <v>2952</v>
      </c>
    </row>
    <row r="8" spans="1:16" x14ac:dyDescent="0.25">
      <c r="A8" s="7" t="s">
        <v>22</v>
      </c>
      <c r="B8" s="8">
        <v>965.00000000000011</v>
      </c>
      <c r="C8" s="8"/>
      <c r="D8" s="8">
        <v>965.00000000000011</v>
      </c>
      <c r="E8" s="8"/>
      <c r="F8" s="8"/>
      <c r="G8" s="8"/>
      <c r="H8" s="8"/>
      <c r="I8" s="8"/>
      <c r="J8" s="8"/>
      <c r="K8" s="8"/>
      <c r="L8" s="8"/>
      <c r="M8" s="8">
        <v>965.00000000000011</v>
      </c>
      <c r="N8" s="8"/>
      <c r="O8" s="8"/>
      <c r="P8" s="8">
        <v>2895.0000000000005</v>
      </c>
    </row>
    <row r="9" spans="1:16" x14ac:dyDescent="0.25">
      <c r="A9" s="7" t="s">
        <v>23</v>
      </c>
      <c r="B9" s="8"/>
      <c r="C9" s="8">
        <v>4134</v>
      </c>
      <c r="D9" s="8"/>
      <c r="E9" s="8"/>
      <c r="F9" s="8"/>
      <c r="G9" s="8"/>
      <c r="H9" s="8">
        <v>4134</v>
      </c>
      <c r="I9" s="8"/>
      <c r="J9" s="8">
        <v>4134</v>
      </c>
      <c r="K9" s="8"/>
      <c r="L9" s="8">
        <v>4134</v>
      </c>
      <c r="M9" s="8"/>
      <c r="N9" s="8"/>
      <c r="O9" s="8"/>
      <c r="P9" s="8">
        <v>16536</v>
      </c>
    </row>
    <row r="10" spans="1:16" x14ac:dyDescent="0.25">
      <c r="A10" s="7" t="s">
        <v>24</v>
      </c>
      <c r="B10" s="8"/>
      <c r="C10" s="8"/>
      <c r="D10" s="8"/>
      <c r="E10" s="8"/>
      <c r="F10" s="8"/>
      <c r="G10" s="8">
        <v>1191</v>
      </c>
      <c r="H10" s="8"/>
      <c r="I10" s="8"/>
      <c r="J10" s="8"/>
      <c r="K10" s="8"/>
      <c r="L10" s="8"/>
      <c r="M10" s="8"/>
      <c r="N10" s="8">
        <v>1191</v>
      </c>
      <c r="O10" s="8"/>
      <c r="P10" s="8">
        <v>2382</v>
      </c>
    </row>
    <row r="11" spans="1:16" x14ac:dyDescent="0.25">
      <c r="A11" s="6" t="s">
        <v>18</v>
      </c>
      <c r="B11" s="8"/>
      <c r="C11" s="8">
        <v>819.65000000000009</v>
      </c>
      <c r="D11" s="8">
        <v>1006.08</v>
      </c>
      <c r="E11" s="8">
        <v>672.33</v>
      </c>
      <c r="F11" s="8">
        <v>819.83</v>
      </c>
      <c r="G11" s="8"/>
      <c r="H11" s="8">
        <v>628.80000000000007</v>
      </c>
      <c r="I11" s="8">
        <v>224.11</v>
      </c>
      <c r="J11" s="8">
        <v>1147.51</v>
      </c>
      <c r="K11" s="8">
        <v>251.52</v>
      </c>
      <c r="L11" s="8">
        <v>1120.5500000000002</v>
      </c>
      <c r="M11" s="8">
        <v>491.79</v>
      </c>
      <c r="N11" s="8">
        <v>819.95</v>
      </c>
      <c r="O11" s="8">
        <v>2142.94</v>
      </c>
      <c r="P11" s="8">
        <v>10145.060000000001</v>
      </c>
    </row>
    <row r="12" spans="1:16" x14ac:dyDescent="0.25">
      <c r="A12" s="7" t="s">
        <v>25</v>
      </c>
      <c r="B12" s="8"/>
      <c r="C12" s="8">
        <v>819.65000000000009</v>
      </c>
      <c r="D12" s="8"/>
      <c r="E12" s="8"/>
      <c r="F12" s="8">
        <v>327.86</v>
      </c>
      <c r="G12" s="8"/>
      <c r="H12" s="8"/>
      <c r="I12" s="8"/>
      <c r="J12" s="8">
        <v>1147.51</v>
      </c>
      <c r="K12" s="8"/>
      <c r="L12" s="8"/>
      <c r="M12" s="8">
        <v>491.79</v>
      </c>
      <c r="N12" s="8"/>
      <c r="O12" s="8"/>
      <c r="P12" s="8">
        <v>2786.8100000000004</v>
      </c>
    </row>
    <row r="13" spans="1:16" x14ac:dyDescent="0.25">
      <c r="A13" s="7" t="s">
        <v>26</v>
      </c>
      <c r="B13" s="8"/>
      <c r="C13" s="8"/>
      <c r="D13" s="8"/>
      <c r="E13" s="8">
        <v>672.33</v>
      </c>
      <c r="F13" s="8"/>
      <c r="G13" s="8"/>
      <c r="H13" s="8"/>
      <c r="I13" s="8">
        <v>224.11</v>
      </c>
      <c r="J13" s="8"/>
      <c r="K13" s="8"/>
      <c r="L13" s="8">
        <v>1120.5500000000002</v>
      </c>
      <c r="M13" s="8"/>
      <c r="N13" s="8"/>
      <c r="O13" s="8"/>
      <c r="P13" s="8">
        <v>2016.9900000000002</v>
      </c>
    </row>
    <row r="14" spans="1:16" x14ac:dyDescent="0.25">
      <c r="A14" s="7" t="s">
        <v>27</v>
      </c>
      <c r="B14" s="8"/>
      <c r="C14" s="8"/>
      <c r="D14" s="8"/>
      <c r="E14" s="8"/>
      <c r="F14" s="8">
        <v>491.97</v>
      </c>
      <c r="G14" s="8"/>
      <c r="H14" s="8"/>
      <c r="I14" s="8"/>
      <c r="J14" s="8"/>
      <c r="K14" s="8"/>
      <c r="L14" s="8"/>
      <c r="M14" s="8"/>
      <c r="N14" s="8">
        <v>819.95</v>
      </c>
      <c r="O14" s="8">
        <v>1639.9</v>
      </c>
      <c r="P14" s="8">
        <v>2951.82</v>
      </c>
    </row>
    <row r="15" spans="1:16" x14ac:dyDescent="0.25">
      <c r="A15" s="7" t="s">
        <v>28</v>
      </c>
      <c r="B15" s="8"/>
      <c r="C15" s="8"/>
      <c r="D15" s="8">
        <v>1006.08</v>
      </c>
      <c r="E15" s="8"/>
      <c r="F15" s="8"/>
      <c r="G15" s="8"/>
      <c r="H15" s="8">
        <v>628.80000000000007</v>
      </c>
      <c r="I15" s="8"/>
      <c r="J15" s="8"/>
      <c r="K15" s="8">
        <v>251.52</v>
      </c>
      <c r="L15" s="8"/>
      <c r="M15" s="8"/>
      <c r="N15" s="8"/>
      <c r="O15" s="8">
        <v>503.04</v>
      </c>
      <c r="P15" s="8">
        <v>2389.44</v>
      </c>
    </row>
    <row r="16" spans="1:16" x14ac:dyDescent="0.25">
      <c r="A16" s="6" t="s">
        <v>19</v>
      </c>
      <c r="B16" s="8">
        <v>2418</v>
      </c>
      <c r="C16" s="8">
        <v>4953.6499999999996</v>
      </c>
      <c r="D16" s="8">
        <v>1971.0800000000002</v>
      </c>
      <c r="E16" s="8">
        <v>2148.33</v>
      </c>
      <c r="F16" s="8">
        <v>819.83</v>
      </c>
      <c r="G16" s="8">
        <v>2644</v>
      </c>
      <c r="H16" s="8">
        <v>4762.8</v>
      </c>
      <c r="I16" s="8">
        <v>1700.1100000000001</v>
      </c>
      <c r="J16" s="8">
        <v>5281.51</v>
      </c>
      <c r="K16" s="8">
        <v>1704.52</v>
      </c>
      <c r="L16" s="8">
        <v>5254.55</v>
      </c>
      <c r="M16" s="8">
        <v>1456.7900000000002</v>
      </c>
      <c r="N16" s="8">
        <v>2010.95</v>
      </c>
      <c r="O16" s="8">
        <v>2142.94</v>
      </c>
      <c r="P16" s="8">
        <v>39269.060000000005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2E3A-868A-44EA-B84B-692889DBD93E}">
  <dimension ref="B1:L29"/>
  <sheetViews>
    <sheetView workbookViewId="0">
      <selection activeCell="C2" sqref="C2"/>
    </sheetView>
  </sheetViews>
  <sheetFormatPr defaultRowHeight="15" x14ac:dyDescent="0.25"/>
  <cols>
    <col min="2" max="2" width="10.42578125" bestFit="1" customWidth="1"/>
    <col min="3" max="3" width="56.7109375" bestFit="1" customWidth="1"/>
    <col min="4" max="4" width="13.5703125" customWidth="1"/>
    <col min="5" max="5" width="10.5703125" bestFit="1" customWidth="1"/>
    <col min="7" max="7" width="12.140625" bestFit="1" customWidth="1"/>
    <col min="8" max="8" width="23.5703125" bestFit="1" customWidth="1"/>
    <col min="11" max="11" width="11" customWidth="1"/>
  </cols>
  <sheetData>
    <row r="1" spans="2:12" x14ac:dyDescent="0.25">
      <c r="B1" t="s">
        <v>3</v>
      </c>
      <c r="C1" t="s">
        <v>0</v>
      </c>
      <c r="D1" t="s">
        <v>4</v>
      </c>
      <c r="E1" t="s">
        <v>10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64</v>
      </c>
    </row>
    <row r="2" spans="2:12" x14ac:dyDescent="0.25">
      <c r="B2" s="3">
        <v>43444</v>
      </c>
      <c r="C2" t="e" vm="1">
        <v>#VALUE!</v>
      </c>
      <c r="D2">
        <v>100</v>
      </c>
      <c r="E2" s="1" cm="1">
        <f t="array" ref="E2">_FV(C2,"Preço")</f>
        <v>9.56</v>
      </c>
      <c r="F2" s="4">
        <v>10</v>
      </c>
      <c r="G2" s="2">
        <f>(D2*E2)+F2</f>
        <v>966</v>
      </c>
      <c r="H2" t="str" cm="1">
        <f t="array" ref="H2">_FV(C2,"Tipo de instrumento",TRUE)</f>
        <v>Ações</v>
      </c>
      <c r="I2">
        <f>YEAR(B2)</f>
        <v>2018</v>
      </c>
      <c r="J2">
        <f>MONTH(B2)</f>
        <v>12</v>
      </c>
      <c r="K2" t="str">
        <f>CONCATENATE(I:I,"/",IF(J:J&lt;10,"0"&amp;J:J,J:J))</f>
        <v>2018/12</v>
      </c>
      <c r="L2" t="str" cm="1">
        <f t="array" ref="L2">_FV(TBAportes[[#This Row],[Ativo]],"Símbolo do ticker",TRUE)</f>
        <v>ITSA4</v>
      </c>
    </row>
    <row r="3" spans="2:12" x14ac:dyDescent="0.25">
      <c r="B3" s="3">
        <v>43444</v>
      </c>
      <c r="C3" t="e" vm="2">
        <v>#VALUE!</v>
      </c>
      <c r="D3">
        <v>100</v>
      </c>
      <c r="E3" s="1" cm="1">
        <f t="array" ref="E3">_FV(C3,"Preço")</f>
        <v>14.31</v>
      </c>
      <c r="F3" s="4">
        <v>10</v>
      </c>
      <c r="G3" s="2">
        <f t="shared" ref="G3:G29" si="0">(D3*E3)+F3</f>
        <v>1441</v>
      </c>
      <c r="H3" t="str" cm="1">
        <f t="array" ref="H3">_FV(C3,"Tipo de instrumento",TRUE)</f>
        <v>Ações</v>
      </c>
      <c r="I3">
        <f t="shared" ref="I3:I29" si="1">YEAR(B3)</f>
        <v>2018</v>
      </c>
      <c r="J3">
        <f t="shared" ref="J3:J29" si="2">MONTH(B3)</f>
        <v>12</v>
      </c>
      <c r="K3" t="str">
        <f t="shared" ref="K3:K29" si="3">CONCATENATE(I:I,"/",IF(J:J&lt;10,"0"&amp;J:J,J:J))</f>
        <v>2018/12</v>
      </c>
      <c r="L3" t="str" cm="1">
        <f t="array" ref="L3">_FV(TBAportes[[#This Row],[Ativo]],"Símbolo do ticker",TRUE)</f>
        <v>CSNA3</v>
      </c>
    </row>
    <row r="4" spans="2:12" x14ac:dyDescent="0.25">
      <c r="B4" s="3">
        <v>43475</v>
      </c>
      <c r="C4" t="e" vm="3">
        <v>#VALUE!</v>
      </c>
      <c r="D4">
        <v>100</v>
      </c>
      <c r="E4" s="1" cm="1">
        <f t="array" ref="E4">_FV(C4,"Preço")</f>
        <v>41.32</v>
      </c>
      <c r="F4" s="4">
        <v>10</v>
      </c>
      <c r="G4" s="2">
        <f t="shared" si="0"/>
        <v>4142</v>
      </c>
      <c r="H4" t="str" cm="1">
        <f t="array" ref="H4">_FV(C4,"Tipo de instrumento",TRUE)</f>
        <v>Ações</v>
      </c>
      <c r="I4">
        <f t="shared" si="1"/>
        <v>2019</v>
      </c>
      <c r="J4">
        <f t="shared" si="2"/>
        <v>1</v>
      </c>
      <c r="K4" t="str">
        <f t="shared" si="3"/>
        <v>2019/01</v>
      </c>
      <c r="L4" t="str" cm="1">
        <f t="array" ref="L4">_FV(TBAportes[[#This Row],[Ativo]],"Símbolo do ticker",TRUE)</f>
        <v>PETR4</v>
      </c>
    </row>
    <row r="5" spans="2:12" x14ac:dyDescent="0.25">
      <c r="B5" s="3">
        <v>43475</v>
      </c>
      <c r="C5" t="e" vm="4">
        <v>#VALUE!</v>
      </c>
      <c r="D5">
        <v>5</v>
      </c>
      <c r="E5" s="1" cm="1">
        <f t="array" ref="E5">_FV(C5,"Preço")</f>
        <v>163.32</v>
      </c>
      <c r="F5" s="4">
        <v>0</v>
      </c>
      <c r="G5" s="2">
        <f t="shared" si="0"/>
        <v>816.59999999999991</v>
      </c>
      <c r="H5" t="str" cm="1">
        <f t="array" ref="H5">_FV(C5,"Tipo de instrumento",TRUE)</f>
        <v>Fundos mais negociados</v>
      </c>
      <c r="I5">
        <f t="shared" si="1"/>
        <v>2019</v>
      </c>
      <c r="J5">
        <f t="shared" si="2"/>
        <v>1</v>
      </c>
      <c r="K5" t="str">
        <f t="shared" si="3"/>
        <v>2019/01</v>
      </c>
      <c r="L5" t="str" cm="1">
        <f t="array" ref="L5">_FV(TBAportes[[#This Row],[Ativo]],"Símbolo do ticker",TRUE)</f>
        <v>HGLG11</v>
      </c>
    </row>
    <row r="6" spans="2:12" x14ac:dyDescent="0.25">
      <c r="B6" s="3">
        <v>43506</v>
      </c>
      <c r="C6" t="e" vm="1">
        <v>#VALUE!</v>
      </c>
      <c r="D6">
        <v>100</v>
      </c>
      <c r="E6" s="1" cm="1">
        <f t="array" ref="E6">_FV(C6,"Preço")</f>
        <v>9.56</v>
      </c>
      <c r="F6" s="4">
        <v>10</v>
      </c>
      <c r="G6" s="2">
        <f t="shared" si="0"/>
        <v>966</v>
      </c>
      <c r="H6" t="str" cm="1">
        <f t="array" ref="H6">_FV(C6,"Tipo de instrumento",TRUE)</f>
        <v>Ações</v>
      </c>
      <c r="I6">
        <f t="shared" si="1"/>
        <v>2019</v>
      </c>
      <c r="J6">
        <f t="shared" si="2"/>
        <v>2</v>
      </c>
      <c r="K6" t="str">
        <f t="shared" si="3"/>
        <v>2019/02</v>
      </c>
      <c r="L6" t="str" cm="1">
        <f t="array" ref="L6">_FV(TBAportes[[#This Row],[Ativo]],"Símbolo do ticker",TRUE)</f>
        <v>ITSA4</v>
      </c>
    </row>
    <row r="7" spans="2:12" x14ac:dyDescent="0.25">
      <c r="B7" s="3">
        <v>43506</v>
      </c>
      <c r="C7" t="e" vm="5">
        <v>#VALUE!</v>
      </c>
      <c r="D7">
        <v>8</v>
      </c>
      <c r="E7" s="1" cm="1">
        <f t="array" ref="E7">_FV(C7,"Preço")</f>
        <v>124.59</v>
      </c>
      <c r="F7" s="4">
        <v>0</v>
      </c>
      <c r="G7" s="2">
        <f t="shared" si="0"/>
        <v>996.72</v>
      </c>
      <c r="H7" t="str" cm="1">
        <f t="array" ref="H7">_FV(C7,"Tipo de instrumento",TRUE)</f>
        <v>Fundos mais negociados</v>
      </c>
      <c r="I7">
        <f t="shared" si="1"/>
        <v>2019</v>
      </c>
      <c r="J7">
        <f t="shared" si="2"/>
        <v>2</v>
      </c>
      <c r="K7" t="str">
        <f t="shared" si="3"/>
        <v>2019/02</v>
      </c>
      <c r="L7" t="str" cm="1">
        <f t="array" ref="L7">_FV(TBAportes[[#This Row],[Ativo]],"Símbolo do ticker",TRUE)</f>
        <v>HGRE11</v>
      </c>
    </row>
    <row r="8" spans="2:12" x14ac:dyDescent="0.25">
      <c r="B8" s="3">
        <v>43534</v>
      </c>
      <c r="C8" t="e" vm="6">
        <v>#VALUE!</v>
      </c>
      <c r="D8">
        <v>100</v>
      </c>
      <c r="E8" s="1" cm="1">
        <f t="array" ref="E8">_FV(C8,"Preço")</f>
        <v>14.49</v>
      </c>
      <c r="F8" s="4">
        <v>10</v>
      </c>
      <c r="G8" s="2">
        <f t="shared" si="0"/>
        <v>1459</v>
      </c>
      <c r="H8" t="str" cm="1">
        <f t="array" ref="H8">_FV(C8,"Tipo de instrumento",TRUE)</f>
        <v>Ações</v>
      </c>
      <c r="I8">
        <f t="shared" si="1"/>
        <v>2019</v>
      </c>
      <c r="J8">
        <f t="shared" si="2"/>
        <v>3</v>
      </c>
      <c r="K8" t="str">
        <f t="shared" si="3"/>
        <v>2019/03</v>
      </c>
      <c r="L8" t="str" cm="1">
        <f t="array" ref="L8">_FV(TBAportes[[#This Row],[Ativo]],"Símbolo do ticker",TRUE)</f>
        <v>FLRY3</v>
      </c>
    </row>
    <row r="9" spans="2:12" x14ac:dyDescent="0.25">
      <c r="B9" s="3">
        <v>43534</v>
      </c>
      <c r="C9" t="e" vm="7">
        <v>#VALUE!</v>
      </c>
      <c r="D9">
        <v>3</v>
      </c>
      <c r="E9" s="1" cm="1">
        <f t="array" ref="E9">_FV(C9,"Preço")</f>
        <v>221.91</v>
      </c>
      <c r="F9" s="4">
        <v>0</v>
      </c>
      <c r="G9" s="2">
        <f t="shared" si="0"/>
        <v>665.73</v>
      </c>
      <c r="H9" t="str" cm="1">
        <f t="array" ref="H9">_FV(C9,"Tipo de instrumento",TRUE)</f>
        <v>Fundos mais negociados</v>
      </c>
      <c r="I9">
        <f t="shared" si="1"/>
        <v>2019</v>
      </c>
      <c r="J9">
        <f t="shared" si="2"/>
        <v>3</v>
      </c>
      <c r="K9" t="str">
        <f t="shared" si="3"/>
        <v>2019/03</v>
      </c>
      <c r="L9" t="str" cm="1">
        <f t="array" ref="L9">_FV(TBAportes[[#This Row],[Ativo]],"Símbolo do ticker",TRUE)</f>
        <v>HGBS11</v>
      </c>
    </row>
    <row r="10" spans="2:12" x14ac:dyDescent="0.25">
      <c r="B10" s="3">
        <v>43565</v>
      </c>
      <c r="C10" t="e" vm="4">
        <v>#VALUE!</v>
      </c>
      <c r="D10">
        <v>2</v>
      </c>
      <c r="E10" s="1" cm="1">
        <f t="array" ref="E10">_FV(C10,"Preço")</f>
        <v>163.32</v>
      </c>
      <c r="F10" s="4">
        <v>0</v>
      </c>
      <c r="G10" s="2">
        <f t="shared" si="0"/>
        <v>326.64</v>
      </c>
      <c r="H10" t="str" cm="1">
        <f t="array" ref="H10">_FV(C10,"Tipo de instrumento",TRUE)</f>
        <v>Fundos mais negociados</v>
      </c>
      <c r="I10">
        <f t="shared" si="1"/>
        <v>2019</v>
      </c>
      <c r="J10">
        <f t="shared" si="2"/>
        <v>4</v>
      </c>
      <c r="K10" t="str">
        <f t="shared" si="3"/>
        <v>2019/04</v>
      </c>
      <c r="L10" t="str" cm="1">
        <f t="array" ref="L10">_FV(TBAportes[[#This Row],[Ativo]],"Símbolo do ticker",TRUE)</f>
        <v>HGLG11</v>
      </c>
    </row>
    <row r="11" spans="2:12" x14ac:dyDescent="0.25">
      <c r="B11" s="3">
        <v>43565</v>
      </c>
      <c r="C11" t="e" vm="8">
        <v>#VALUE!</v>
      </c>
      <c r="D11">
        <v>3</v>
      </c>
      <c r="E11" s="1" cm="1">
        <f t="array" ref="E11">_FV(C11,"Preço")</f>
        <v>162.69999999999999</v>
      </c>
      <c r="F11" s="4">
        <v>0</v>
      </c>
      <c r="G11" s="2">
        <f t="shared" si="0"/>
        <v>488.09999999999997</v>
      </c>
      <c r="H11" t="str" cm="1">
        <f t="array" ref="H11">_FV(C11,"Tipo de instrumento",TRUE)</f>
        <v>Fundos mais negociados</v>
      </c>
      <c r="I11">
        <f t="shared" si="1"/>
        <v>2019</v>
      </c>
      <c r="J11">
        <f t="shared" si="2"/>
        <v>4</v>
      </c>
      <c r="K11" t="str">
        <f t="shared" si="3"/>
        <v>2019/04</v>
      </c>
      <c r="L11" t="str" cm="1">
        <f t="array" ref="L11">_FV(TBAportes[[#This Row],[Ativo]],"Símbolo do ticker",TRUE)</f>
        <v>KNRI11</v>
      </c>
    </row>
    <row r="12" spans="2:12" x14ac:dyDescent="0.25">
      <c r="B12" s="3">
        <v>43595</v>
      </c>
      <c r="C12" t="e" vm="2">
        <v>#VALUE!</v>
      </c>
      <c r="D12">
        <v>100</v>
      </c>
      <c r="E12" s="1" cm="1">
        <f t="array" ref="E12">_FV(C12,"Preço")</f>
        <v>14.31</v>
      </c>
      <c r="F12" s="4">
        <v>10</v>
      </c>
      <c r="G12" s="2">
        <f t="shared" si="0"/>
        <v>1441</v>
      </c>
      <c r="H12" t="str" cm="1">
        <f t="array" ref="H12">_FV(C12,"Tipo de instrumento",TRUE)</f>
        <v>Ações</v>
      </c>
      <c r="I12">
        <f t="shared" si="1"/>
        <v>2019</v>
      </c>
      <c r="J12">
        <f t="shared" si="2"/>
        <v>5</v>
      </c>
      <c r="K12" t="str">
        <f t="shared" si="3"/>
        <v>2019/05</v>
      </c>
      <c r="L12" t="str" cm="1">
        <f t="array" ref="L12">_FV(TBAportes[[#This Row],[Ativo]],"Símbolo do ticker",TRUE)</f>
        <v>CSNA3</v>
      </c>
    </row>
    <row r="13" spans="2:12" x14ac:dyDescent="0.25">
      <c r="B13" s="3">
        <v>43595</v>
      </c>
      <c r="C13" t="e" vm="9">
        <v>#VALUE!</v>
      </c>
      <c r="D13">
        <v>100</v>
      </c>
      <c r="E13" s="1" cm="1">
        <f t="array" ref="E13">_FV(C13,"Preço")</f>
        <v>11.82</v>
      </c>
      <c r="F13" s="4">
        <v>10</v>
      </c>
      <c r="G13" s="2">
        <f t="shared" si="0"/>
        <v>1192</v>
      </c>
      <c r="H13" t="str" cm="1">
        <f t="array" ref="H13">_FV(C13,"Tipo de instrumento",TRUE)</f>
        <v>Ações</v>
      </c>
      <c r="I13">
        <f t="shared" si="1"/>
        <v>2019</v>
      </c>
      <c r="J13">
        <f t="shared" si="2"/>
        <v>5</v>
      </c>
      <c r="K13" t="str">
        <f t="shared" si="3"/>
        <v>2019/05</v>
      </c>
      <c r="L13" t="str" cm="1">
        <f t="array" ref="L13">_FV(TBAportes[[#This Row],[Ativo]],"Símbolo do ticker",TRUE)</f>
        <v>TAEE4</v>
      </c>
    </row>
    <row r="14" spans="2:12" x14ac:dyDescent="0.25">
      <c r="B14" s="3">
        <v>43626</v>
      </c>
      <c r="C14" t="e" vm="5">
        <v>#VALUE!</v>
      </c>
      <c r="D14">
        <v>5</v>
      </c>
      <c r="E14" s="1" cm="1">
        <f t="array" ref="E14">_FV(C14,"Preço")</f>
        <v>124.59</v>
      </c>
      <c r="F14" s="4">
        <v>0</v>
      </c>
      <c r="G14" s="2">
        <f t="shared" si="0"/>
        <v>622.95000000000005</v>
      </c>
      <c r="H14" t="str" cm="1">
        <f t="array" ref="H14">_FV(C14,"Tipo de instrumento",TRUE)</f>
        <v>Fundos mais negociados</v>
      </c>
      <c r="I14">
        <f t="shared" si="1"/>
        <v>2019</v>
      </c>
      <c r="J14">
        <f t="shared" si="2"/>
        <v>6</v>
      </c>
      <c r="K14" t="str">
        <f t="shared" si="3"/>
        <v>2019/06</v>
      </c>
      <c r="L14" t="str" cm="1">
        <f t="array" ref="L14">_FV(TBAportes[[#This Row],[Ativo]],"Símbolo do ticker",TRUE)</f>
        <v>HGRE11</v>
      </c>
    </row>
    <row r="15" spans="2:12" x14ac:dyDescent="0.25">
      <c r="B15" s="3">
        <v>43626</v>
      </c>
      <c r="C15" t="e" vm="3">
        <v>#VALUE!</v>
      </c>
      <c r="D15">
        <v>100</v>
      </c>
      <c r="E15" s="1" cm="1">
        <f t="array" ref="E15">_FV(C15,"Preço")</f>
        <v>41.32</v>
      </c>
      <c r="F15" s="4">
        <v>10</v>
      </c>
      <c r="G15" s="2">
        <f t="shared" si="0"/>
        <v>4142</v>
      </c>
      <c r="H15" t="str" cm="1">
        <f t="array" ref="H15">_FV(C15,"Tipo de instrumento",TRUE)</f>
        <v>Ações</v>
      </c>
      <c r="I15">
        <f t="shared" si="1"/>
        <v>2019</v>
      </c>
      <c r="J15">
        <f t="shared" si="2"/>
        <v>6</v>
      </c>
      <c r="K15" t="str">
        <f t="shared" si="3"/>
        <v>2019/06</v>
      </c>
      <c r="L15" t="str" cm="1">
        <f t="array" ref="L15">_FV(TBAportes[[#This Row],[Ativo]],"Símbolo do ticker",TRUE)</f>
        <v>PETR4</v>
      </c>
    </row>
    <row r="16" spans="2:12" x14ac:dyDescent="0.25">
      <c r="B16" s="3">
        <v>43656</v>
      </c>
      <c r="C16" t="e" vm="6">
        <v>#VALUE!</v>
      </c>
      <c r="D16">
        <v>100</v>
      </c>
      <c r="E16" s="1" cm="1">
        <f t="array" ref="E16">_FV(C16,"Preço")</f>
        <v>14.49</v>
      </c>
      <c r="F16" s="4">
        <v>10</v>
      </c>
      <c r="G16" s="2">
        <f t="shared" si="0"/>
        <v>1459</v>
      </c>
      <c r="H16" t="str" cm="1">
        <f t="array" ref="H16">_FV(C16,"Tipo de instrumento",TRUE)</f>
        <v>Ações</v>
      </c>
      <c r="I16">
        <f t="shared" si="1"/>
        <v>2019</v>
      </c>
      <c r="J16">
        <f t="shared" si="2"/>
        <v>7</v>
      </c>
      <c r="K16" t="str">
        <f t="shared" si="3"/>
        <v>2019/07</v>
      </c>
      <c r="L16" t="str" cm="1">
        <f t="array" ref="L16">_FV(TBAportes[[#This Row],[Ativo]],"Símbolo do ticker",TRUE)</f>
        <v>FLRY3</v>
      </c>
    </row>
    <row r="17" spans="2:12" x14ac:dyDescent="0.25">
      <c r="B17" s="3">
        <v>43656</v>
      </c>
      <c r="C17" t="e" vm="7">
        <v>#VALUE!</v>
      </c>
      <c r="D17">
        <v>1</v>
      </c>
      <c r="E17" s="1" cm="1">
        <f t="array" ref="E17">_FV(C17,"Preço")</f>
        <v>221.91</v>
      </c>
      <c r="F17" s="4">
        <v>0</v>
      </c>
      <c r="G17" s="2">
        <f t="shared" si="0"/>
        <v>221.91</v>
      </c>
      <c r="H17" t="str" cm="1">
        <f t="array" ref="H17">_FV(C17,"Tipo de instrumento",TRUE)</f>
        <v>Fundos mais negociados</v>
      </c>
      <c r="I17">
        <f t="shared" si="1"/>
        <v>2019</v>
      </c>
      <c r="J17">
        <f t="shared" si="2"/>
        <v>7</v>
      </c>
      <c r="K17" t="str">
        <f t="shared" si="3"/>
        <v>2019/07</v>
      </c>
      <c r="L17" t="str" cm="1">
        <f t="array" ref="L17">_FV(TBAportes[[#This Row],[Ativo]],"Símbolo do ticker",TRUE)</f>
        <v>HGBS11</v>
      </c>
    </row>
    <row r="18" spans="2:12" x14ac:dyDescent="0.25">
      <c r="B18" s="3">
        <v>43687</v>
      </c>
      <c r="C18" t="e" vm="4">
        <v>#VALUE!</v>
      </c>
      <c r="D18">
        <v>7</v>
      </c>
      <c r="E18" s="1" cm="1">
        <f t="array" ref="E18">_FV(C18,"Preço")</f>
        <v>163.32</v>
      </c>
      <c r="F18" s="4">
        <v>0</v>
      </c>
      <c r="G18" s="2">
        <f t="shared" si="0"/>
        <v>1143.24</v>
      </c>
      <c r="H18" t="str" cm="1">
        <f t="array" ref="H18">_FV(C18,"Tipo de instrumento",TRUE)</f>
        <v>Fundos mais negociados</v>
      </c>
      <c r="I18">
        <f t="shared" si="1"/>
        <v>2019</v>
      </c>
      <c r="J18">
        <f t="shared" si="2"/>
        <v>8</v>
      </c>
      <c r="K18" t="str">
        <f t="shared" si="3"/>
        <v>2019/08</v>
      </c>
      <c r="L18" t="str" cm="1">
        <f t="array" ref="L18">_FV(TBAportes[[#This Row],[Ativo]],"Símbolo do ticker",TRUE)</f>
        <v>HGLG11</v>
      </c>
    </row>
    <row r="19" spans="2:12" x14ac:dyDescent="0.25">
      <c r="B19" s="3">
        <v>43687</v>
      </c>
      <c r="C19" t="e" vm="3">
        <v>#VALUE!</v>
      </c>
      <c r="D19">
        <v>100</v>
      </c>
      <c r="E19" s="1" cm="1">
        <f t="array" ref="E19">_FV(C19,"Preço")</f>
        <v>41.32</v>
      </c>
      <c r="F19" s="4">
        <v>10</v>
      </c>
      <c r="G19" s="2">
        <f t="shared" si="0"/>
        <v>4142</v>
      </c>
      <c r="H19" t="str" cm="1">
        <f t="array" ref="H19">_FV(C19,"Tipo de instrumento",TRUE)</f>
        <v>Ações</v>
      </c>
      <c r="I19">
        <f t="shared" si="1"/>
        <v>2019</v>
      </c>
      <c r="J19">
        <f t="shared" si="2"/>
        <v>8</v>
      </c>
      <c r="K19" t="str">
        <f t="shared" si="3"/>
        <v>2019/08</v>
      </c>
      <c r="L19" t="str" cm="1">
        <f t="array" ref="L19">_FV(TBAportes[[#This Row],[Ativo]],"Símbolo do ticker",TRUE)</f>
        <v>PETR4</v>
      </c>
    </row>
    <row r="20" spans="2:12" x14ac:dyDescent="0.25">
      <c r="B20" s="3">
        <v>43718</v>
      </c>
      <c r="C20" t="e" vm="2">
        <v>#VALUE!</v>
      </c>
      <c r="D20">
        <v>100</v>
      </c>
      <c r="E20" s="1" cm="1">
        <f t="array" ref="E20">_FV(C20,"Preço")</f>
        <v>14.31</v>
      </c>
      <c r="F20" s="4">
        <v>10</v>
      </c>
      <c r="G20" s="2">
        <f t="shared" si="0"/>
        <v>1441</v>
      </c>
      <c r="H20" t="str" cm="1">
        <f t="array" ref="H20">_FV(C20,"Tipo de instrumento",TRUE)</f>
        <v>Ações</v>
      </c>
      <c r="I20">
        <f t="shared" si="1"/>
        <v>2019</v>
      </c>
      <c r="J20">
        <f t="shared" si="2"/>
        <v>9</v>
      </c>
      <c r="K20" t="str">
        <f t="shared" si="3"/>
        <v>2019/09</v>
      </c>
      <c r="L20" t="str" cm="1">
        <f t="array" ref="L20">_FV(TBAportes[[#This Row],[Ativo]],"Símbolo do ticker",TRUE)</f>
        <v>CSNA3</v>
      </c>
    </row>
    <row r="21" spans="2:12" x14ac:dyDescent="0.25">
      <c r="B21" s="3">
        <v>43718</v>
      </c>
      <c r="C21" t="e" vm="5">
        <v>#VALUE!</v>
      </c>
      <c r="D21">
        <v>2</v>
      </c>
      <c r="E21" s="1" cm="1">
        <f t="array" ref="E21">_FV(C21,"Preço")</f>
        <v>124.59</v>
      </c>
      <c r="F21" s="4">
        <v>0</v>
      </c>
      <c r="G21" s="2">
        <f t="shared" si="0"/>
        <v>249.18</v>
      </c>
      <c r="H21" t="str" cm="1">
        <f t="array" ref="H21">_FV(C21,"Tipo de instrumento",TRUE)</f>
        <v>Fundos mais negociados</v>
      </c>
      <c r="I21">
        <f t="shared" si="1"/>
        <v>2019</v>
      </c>
      <c r="J21">
        <f t="shared" si="2"/>
        <v>9</v>
      </c>
      <c r="K21" t="str">
        <f t="shared" si="3"/>
        <v>2019/09</v>
      </c>
      <c r="L21" t="str" cm="1">
        <f t="array" ref="L21">_FV(TBAportes[[#This Row],[Ativo]],"Símbolo do ticker",TRUE)</f>
        <v>HGRE11</v>
      </c>
    </row>
    <row r="22" spans="2:12" x14ac:dyDescent="0.25">
      <c r="B22" s="3">
        <v>43748</v>
      </c>
      <c r="C22" t="e" vm="3">
        <v>#VALUE!</v>
      </c>
      <c r="D22">
        <v>100</v>
      </c>
      <c r="E22" s="1" cm="1">
        <f t="array" ref="E22">_FV(C22,"Preço")</f>
        <v>41.32</v>
      </c>
      <c r="F22" s="4">
        <v>10</v>
      </c>
      <c r="G22" s="2">
        <f t="shared" si="0"/>
        <v>4142</v>
      </c>
      <c r="H22" t="str" cm="1">
        <f t="array" ref="H22">_FV(C22,"Tipo de instrumento",TRUE)</f>
        <v>Ações</v>
      </c>
      <c r="I22">
        <f t="shared" si="1"/>
        <v>2019</v>
      </c>
      <c r="J22">
        <f t="shared" si="2"/>
        <v>10</v>
      </c>
      <c r="K22" t="str">
        <f t="shared" si="3"/>
        <v>2019/10</v>
      </c>
      <c r="L22" t="str" cm="1">
        <f t="array" ref="L22">_FV(TBAportes[[#This Row],[Ativo]],"Símbolo do ticker",TRUE)</f>
        <v>PETR4</v>
      </c>
    </row>
    <row r="23" spans="2:12" x14ac:dyDescent="0.25">
      <c r="B23" s="3">
        <v>43748</v>
      </c>
      <c r="C23" t="e" vm="7">
        <v>#VALUE!</v>
      </c>
      <c r="D23">
        <v>5</v>
      </c>
      <c r="E23" s="1" cm="1">
        <f t="array" ref="E23">_FV(C23,"Preço")</f>
        <v>221.91</v>
      </c>
      <c r="F23" s="4">
        <v>0</v>
      </c>
      <c r="G23" s="2">
        <f t="shared" si="0"/>
        <v>1109.55</v>
      </c>
      <c r="H23" t="str" cm="1">
        <f t="array" ref="H23">_FV(C23,"Tipo de instrumento",TRUE)</f>
        <v>Fundos mais negociados</v>
      </c>
      <c r="I23">
        <f t="shared" si="1"/>
        <v>2019</v>
      </c>
      <c r="J23">
        <f t="shared" si="2"/>
        <v>10</v>
      </c>
      <c r="K23" t="str">
        <f t="shared" si="3"/>
        <v>2019/10</v>
      </c>
      <c r="L23" t="str" cm="1">
        <f t="array" ref="L23">_FV(TBAportes[[#This Row],[Ativo]],"Símbolo do ticker",TRUE)</f>
        <v>HGBS11</v>
      </c>
    </row>
    <row r="24" spans="2:12" x14ac:dyDescent="0.25">
      <c r="B24" s="3">
        <v>43779</v>
      </c>
      <c r="C24" t="e" vm="1">
        <v>#VALUE!</v>
      </c>
      <c r="D24">
        <v>100</v>
      </c>
      <c r="E24" s="1" cm="1">
        <f t="array" ref="E24">_FV(C24,"Preço")</f>
        <v>9.56</v>
      </c>
      <c r="F24" s="4">
        <v>10</v>
      </c>
      <c r="G24" s="2">
        <f t="shared" si="0"/>
        <v>966</v>
      </c>
      <c r="H24" t="str" cm="1">
        <f t="array" ref="H24">_FV(C24,"Tipo de instrumento",TRUE)</f>
        <v>Ações</v>
      </c>
      <c r="I24">
        <f t="shared" si="1"/>
        <v>2019</v>
      </c>
      <c r="J24">
        <f t="shared" si="2"/>
        <v>11</v>
      </c>
      <c r="K24" t="str">
        <f t="shared" si="3"/>
        <v>2019/11</v>
      </c>
      <c r="L24" t="str" cm="1">
        <f t="array" ref="L24">_FV(TBAportes[[#This Row],[Ativo]],"Símbolo do ticker",TRUE)</f>
        <v>ITSA4</v>
      </c>
    </row>
    <row r="25" spans="2:12" x14ac:dyDescent="0.25">
      <c r="B25" s="3">
        <v>43779</v>
      </c>
      <c r="C25" t="e" vm="4">
        <v>#VALUE!</v>
      </c>
      <c r="D25">
        <v>3</v>
      </c>
      <c r="E25" s="1" cm="1">
        <f t="array" ref="E25">_FV(C25,"Preço")</f>
        <v>163.32</v>
      </c>
      <c r="F25" s="4">
        <v>0</v>
      </c>
      <c r="G25" s="2">
        <f t="shared" si="0"/>
        <v>489.96</v>
      </c>
      <c r="H25" t="str" cm="1">
        <f t="array" ref="H25">_FV(C25,"Tipo de instrumento",TRUE)</f>
        <v>Fundos mais negociados</v>
      </c>
      <c r="I25">
        <f t="shared" si="1"/>
        <v>2019</v>
      </c>
      <c r="J25">
        <f t="shared" si="2"/>
        <v>11</v>
      </c>
      <c r="K25" t="str">
        <f t="shared" si="3"/>
        <v>2019/11</v>
      </c>
      <c r="L25" t="str" cm="1">
        <f t="array" ref="L25">_FV(TBAportes[[#This Row],[Ativo]],"Símbolo do ticker",TRUE)</f>
        <v>HGLG11</v>
      </c>
    </row>
    <row r="26" spans="2:12" x14ac:dyDescent="0.25">
      <c r="B26" s="3">
        <v>43809</v>
      </c>
      <c r="C26" t="e" vm="8">
        <v>#VALUE!</v>
      </c>
      <c r="D26">
        <v>5</v>
      </c>
      <c r="E26" s="1" cm="1">
        <f t="array" ref="E26">_FV(C26,"Preço")</f>
        <v>162.69999999999999</v>
      </c>
      <c r="F26" s="4">
        <v>0</v>
      </c>
      <c r="G26" s="2">
        <f t="shared" si="0"/>
        <v>813.5</v>
      </c>
      <c r="H26" t="str" cm="1">
        <f t="array" ref="H26">_FV(C26,"Tipo de instrumento",TRUE)</f>
        <v>Fundos mais negociados</v>
      </c>
      <c r="I26">
        <f t="shared" si="1"/>
        <v>2019</v>
      </c>
      <c r="J26">
        <f t="shared" si="2"/>
        <v>12</v>
      </c>
      <c r="K26" t="str">
        <f t="shared" si="3"/>
        <v>2019/12</v>
      </c>
      <c r="L26" t="str" cm="1">
        <f t="array" ref="L26">_FV(TBAportes[[#This Row],[Ativo]],"Símbolo do ticker",TRUE)</f>
        <v>KNRI11</v>
      </c>
    </row>
    <row r="27" spans="2:12" x14ac:dyDescent="0.25">
      <c r="B27" s="3">
        <v>43809</v>
      </c>
      <c r="C27" t="e" vm="9">
        <v>#VALUE!</v>
      </c>
      <c r="D27">
        <v>100</v>
      </c>
      <c r="E27" s="1" cm="1">
        <f t="array" ref="E27">_FV(C27,"Preço")</f>
        <v>11.82</v>
      </c>
      <c r="F27" s="4">
        <v>10</v>
      </c>
      <c r="G27" s="2">
        <f t="shared" si="0"/>
        <v>1192</v>
      </c>
      <c r="H27" t="str" cm="1">
        <f t="array" ref="H27">_FV(C27,"Tipo de instrumento",TRUE)</f>
        <v>Ações</v>
      </c>
      <c r="I27">
        <f t="shared" si="1"/>
        <v>2019</v>
      </c>
      <c r="J27">
        <f t="shared" si="2"/>
        <v>12</v>
      </c>
      <c r="K27" t="str">
        <f t="shared" si="3"/>
        <v>2019/12</v>
      </c>
      <c r="L27" t="str" cm="1">
        <f t="array" ref="L27">_FV(TBAportes[[#This Row],[Ativo]],"Símbolo do ticker",TRUE)</f>
        <v>TAEE4</v>
      </c>
    </row>
    <row r="28" spans="2:12" x14ac:dyDescent="0.25">
      <c r="B28" s="3">
        <v>43840</v>
      </c>
      <c r="C28" t="e" vm="8">
        <v>#VALUE!</v>
      </c>
      <c r="D28">
        <v>10</v>
      </c>
      <c r="E28" s="1" cm="1">
        <f t="array" ref="E28">_FV(C28,"Preço")</f>
        <v>162.69999999999999</v>
      </c>
      <c r="F28" s="4">
        <v>0</v>
      </c>
      <c r="G28" s="2">
        <f t="shared" si="0"/>
        <v>1627</v>
      </c>
      <c r="H28" t="str" cm="1">
        <f t="array" ref="H28">_FV(C28,"Tipo de instrumento",TRUE)</f>
        <v>Fundos mais negociados</v>
      </c>
      <c r="I28">
        <f t="shared" si="1"/>
        <v>2020</v>
      </c>
      <c r="J28">
        <f t="shared" si="2"/>
        <v>1</v>
      </c>
      <c r="K28" t="str">
        <f t="shared" si="3"/>
        <v>2020/01</v>
      </c>
      <c r="L28" t="str" cm="1">
        <f t="array" ref="L28">_FV(TBAportes[[#This Row],[Ativo]],"Símbolo do ticker",TRUE)</f>
        <v>KNRI11</v>
      </c>
    </row>
    <row r="29" spans="2:12" x14ac:dyDescent="0.25">
      <c r="B29" s="3">
        <v>43840</v>
      </c>
      <c r="C29" t="e" vm="5">
        <v>#VALUE!</v>
      </c>
      <c r="D29">
        <v>4</v>
      </c>
      <c r="E29" s="1" cm="1">
        <f t="array" ref="E29">_FV(C29,"Preço")</f>
        <v>124.59</v>
      </c>
      <c r="F29" s="4">
        <v>0</v>
      </c>
      <c r="G29" s="2">
        <f t="shared" si="0"/>
        <v>498.36</v>
      </c>
      <c r="H29" t="str" cm="1">
        <f t="array" ref="H29">_FV(C29,"Tipo de instrumento",TRUE)</f>
        <v>Fundos mais negociados</v>
      </c>
      <c r="I29">
        <f t="shared" si="1"/>
        <v>2020</v>
      </c>
      <c r="J29">
        <f t="shared" si="2"/>
        <v>1</v>
      </c>
      <c r="K29" t="str">
        <f t="shared" si="3"/>
        <v>2020/01</v>
      </c>
      <c r="L29" t="str" cm="1">
        <f t="array" ref="L29">_FV(TBAportes[[#This Row],[Ativo]],"Símbolo do ticker",TRUE)</f>
        <v>HGRE11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954A-705F-4B08-8E7A-E82C8EF28265}">
  <dimension ref="B2:D11"/>
  <sheetViews>
    <sheetView workbookViewId="0">
      <selection activeCell="F20" sqref="F20"/>
    </sheetView>
  </sheetViews>
  <sheetFormatPr defaultRowHeight="15" x14ac:dyDescent="0.25"/>
  <cols>
    <col min="1" max="2" width="7.85546875" bestFit="1" customWidth="1"/>
    <col min="3" max="3" width="9" bestFit="1" customWidth="1"/>
    <col min="4" max="4" width="10.7109375" bestFit="1" customWidth="1"/>
  </cols>
  <sheetData>
    <row r="2" spans="2:4" x14ac:dyDescent="0.25">
      <c r="B2" t="s">
        <v>0</v>
      </c>
      <c r="C2" t="s">
        <v>1</v>
      </c>
      <c r="D2" t="s">
        <v>47</v>
      </c>
    </row>
    <row r="3" spans="2:4" x14ac:dyDescent="0.25">
      <c r="B3" t="s">
        <v>48</v>
      </c>
      <c r="C3" t="s">
        <v>49</v>
      </c>
      <c r="D3">
        <v>14.44</v>
      </c>
    </row>
    <row r="4" spans="2:4" x14ac:dyDescent="0.25">
      <c r="B4" t="s">
        <v>50</v>
      </c>
      <c r="C4" t="s">
        <v>49</v>
      </c>
      <c r="D4">
        <v>14.69</v>
      </c>
    </row>
    <row r="5" spans="2:4" x14ac:dyDescent="0.25">
      <c r="B5" t="s">
        <v>51</v>
      </c>
      <c r="C5" t="s">
        <v>49</v>
      </c>
      <c r="D5">
        <v>9.57</v>
      </c>
    </row>
    <row r="6" spans="2:4" x14ac:dyDescent="0.25">
      <c r="B6" t="s">
        <v>52</v>
      </c>
      <c r="C6" t="s">
        <v>49</v>
      </c>
      <c r="D6">
        <v>41.27</v>
      </c>
    </row>
    <row r="7" spans="2:4" x14ac:dyDescent="0.25">
      <c r="B7" t="s">
        <v>2</v>
      </c>
      <c r="C7" t="s">
        <v>53</v>
      </c>
      <c r="D7">
        <v>224.2</v>
      </c>
    </row>
    <row r="8" spans="2:4" x14ac:dyDescent="0.25">
      <c r="B8" t="s">
        <v>54</v>
      </c>
      <c r="C8" t="s">
        <v>53</v>
      </c>
      <c r="D8">
        <v>163.93</v>
      </c>
    </row>
    <row r="9" spans="2:4" x14ac:dyDescent="0.25">
      <c r="B9" t="s">
        <v>55</v>
      </c>
      <c r="C9" t="s">
        <v>53</v>
      </c>
      <c r="D9">
        <v>125.81</v>
      </c>
    </row>
    <row r="10" spans="2:4" x14ac:dyDescent="0.25">
      <c r="B10" t="s">
        <v>56</v>
      </c>
      <c r="C10" t="s">
        <v>53</v>
      </c>
      <c r="D10">
        <v>163.89</v>
      </c>
    </row>
    <row r="11" spans="2:4" x14ac:dyDescent="0.25">
      <c r="B11" t="s">
        <v>57</v>
      </c>
      <c r="C11" t="s">
        <v>49</v>
      </c>
      <c r="D11">
        <v>11.83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5964-7CEB-4BFB-978F-3F58BB02DABA}">
  <dimension ref="A3:N18"/>
  <sheetViews>
    <sheetView workbookViewId="0">
      <selection activeCell="A16" sqref="A16"/>
    </sheetView>
  </sheetViews>
  <sheetFormatPr defaultRowHeight="15" x14ac:dyDescent="0.25"/>
  <cols>
    <col min="1" max="1" width="58.140625" bestFit="1" customWidth="1"/>
    <col min="2" max="2" width="20.140625" bestFit="1" customWidth="1"/>
    <col min="3" max="11" width="7.7109375" bestFit="1" customWidth="1"/>
    <col min="12" max="12" width="8" bestFit="1" customWidth="1"/>
    <col min="13" max="13" width="7.7109375" bestFit="1" customWidth="1"/>
    <col min="14" max="14" width="10.7109375" bestFit="1" customWidth="1"/>
  </cols>
  <sheetData>
    <row r="3" spans="1:14" x14ac:dyDescent="0.25">
      <c r="A3" s="5" t="s">
        <v>46</v>
      </c>
      <c r="B3" s="5" t="s">
        <v>29</v>
      </c>
    </row>
    <row r="4" spans="1:14" x14ac:dyDescent="0.25">
      <c r="A4" s="5" t="s">
        <v>16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19</v>
      </c>
    </row>
    <row r="5" spans="1:14" x14ac:dyDescent="0.25">
      <c r="A5" s="6" t="s">
        <v>45</v>
      </c>
      <c r="B5" s="8"/>
      <c r="C5" s="8"/>
      <c r="D5" s="8">
        <v>0</v>
      </c>
      <c r="E5" s="8"/>
      <c r="F5" s="8"/>
      <c r="G5" s="8"/>
      <c r="H5" s="8"/>
      <c r="I5" s="8"/>
      <c r="J5" s="8"/>
      <c r="K5" s="8"/>
      <c r="L5" s="8"/>
      <c r="M5" s="8"/>
      <c r="N5" s="8">
        <v>0</v>
      </c>
    </row>
    <row r="6" spans="1:14" x14ac:dyDescent="0.25">
      <c r="A6" s="7" t="s">
        <v>2</v>
      </c>
      <c r="B6" s="8"/>
      <c r="C6" s="8"/>
      <c r="D6" s="8">
        <v>0</v>
      </c>
      <c r="E6" s="8"/>
      <c r="F6" s="8"/>
      <c r="G6" s="8"/>
      <c r="H6" s="8"/>
      <c r="I6" s="8"/>
      <c r="J6" s="8"/>
      <c r="K6" s="8"/>
      <c r="L6" s="8"/>
      <c r="M6" s="8"/>
      <c r="N6" s="8">
        <v>0</v>
      </c>
    </row>
    <row r="7" spans="1:14" x14ac:dyDescent="0.25">
      <c r="A7" s="6" t="s">
        <v>17</v>
      </c>
      <c r="B7" s="8">
        <v>39.479999999999997</v>
      </c>
      <c r="C7" s="8">
        <v>61</v>
      </c>
      <c r="D7" s="8">
        <v>65.430000000000007</v>
      </c>
      <c r="E7" s="8">
        <v>163.66</v>
      </c>
      <c r="F7" s="8">
        <v>162.75</v>
      </c>
      <c r="G7" s="8">
        <v>156.13999999999999</v>
      </c>
      <c r="H7" s="8">
        <v>166</v>
      </c>
      <c r="I7" s="8">
        <v>162.75</v>
      </c>
      <c r="J7" s="8">
        <v>156.13999999999999</v>
      </c>
      <c r="K7" s="8">
        <v>166</v>
      </c>
      <c r="L7" s="8">
        <v>484.89</v>
      </c>
      <c r="M7" s="8">
        <v>162.75</v>
      </c>
      <c r="N7" s="8">
        <v>1946.99</v>
      </c>
    </row>
    <row r="8" spans="1:14" x14ac:dyDescent="0.25">
      <c r="A8" s="7" t="s">
        <v>20</v>
      </c>
      <c r="B8" s="8"/>
      <c r="C8" s="8"/>
      <c r="D8" s="8"/>
      <c r="E8" s="8"/>
      <c r="F8" s="8"/>
      <c r="G8" s="8"/>
      <c r="H8" s="8"/>
      <c r="I8" s="8"/>
      <c r="J8" s="8"/>
      <c r="K8" s="8">
        <v>166</v>
      </c>
      <c r="L8" s="8"/>
      <c r="M8" s="8"/>
      <c r="N8" s="8">
        <v>166</v>
      </c>
    </row>
    <row r="9" spans="1:14" x14ac:dyDescent="0.25">
      <c r="A9" s="7" t="s">
        <v>21</v>
      </c>
      <c r="B9" s="8"/>
      <c r="C9" s="8"/>
      <c r="D9" s="8"/>
      <c r="E9" s="8">
        <v>163.66</v>
      </c>
      <c r="F9" s="8"/>
      <c r="G9" s="8"/>
      <c r="H9" s="8"/>
      <c r="I9" s="8"/>
      <c r="J9" s="8">
        <v>156.13999999999999</v>
      </c>
      <c r="K9" s="8"/>
      <c r="L9" s="8"/>
      <c r="M9" s="8"/>
      <c r="N9" s="8">
        <v>319.79999999999995</v>
      </c>
    </row>
    <row r="10" spans="1:14" x14ac:dyDescent="0.25">
      <c r="A10" s="7" t="s">
        <v>22</v>
      </c>
      <c r="B10" s="8">
        <v>39.479999999999997</v>
      </c>
      <c r="C10" s="8"/>
      <c r="D10" s="8">
        <v>65.430000000000007</v>
      </c>
      <c r="E10" s="8"/>
      <c r="F10" s="8">
        <v>162.75</v>
      </c>
      <c r="G10" s="8"/>
      <c r="H10" s="8">
        <v>166</v>
      </c>
      <c r="I10" s="8"/>
      <c r="J10" s="8"/>
      <c r="K10" s="8"/>
      <c r="L10" s="8">
        <v>328.75</v>
      </c>
      <c r="M10" s="8"/>
      <c r="N10" s="8">
        <v>762.41</v>
      </c>
    </row>
    <row r="11" spans="1:14" x14ac:dyDescent="0.25">
      <c r="A11" s="7" t="s">
        <v>23</v>
      </c>
      <c r="B11" s="8"/>
      <c r="C11" s="8">
        <v>61</v>
      </c>
      <c r="D11" s="8"/>
      <c r="E11" s="8"/>
      <c r="F11" s="8"/>
      <c r="G11" s="8"/>
      <c r="H11" s="8"/>
      <c r="I11" s="8">
        <v>162.75</v>
      </c>
      <c r="J11" s="8"/>
      <c r="K11" s="8"/>
      <c r="L11" s="8"/>
      <c r="M11" s="8"/>
      <c r="N11" s="8">
        <v>223.75</v>
      </c>
    </row>
    <row r="12" spans="1:14" x14ac:dyDescent="0.25">
      <c r="A12" s="7" t="s">
        <v>24</v>
      </c>
      <c r="B12" s="8"/>
      <c r="C12" s="8"/>
      <c r="D12" s="8"/>
      <c r="E12" s="8"/>
      <c r="F12" s="8"/>
      <c r="G12" s="8">
        <v>156.13999999999999</v>
      </c>
      <c r="H12" s="8"/>
      <c r="I12" s="8"/>
      <c r="J12" s="8"/>
      <c r="K12" s="8"/>
      <c r="L12" s="8">
        <v>156.13999999999999</v>
      </c>
      <c r="M12" s="8">
        <v>162.75</v>
      </c>
      <c r="N12" s="8">
        <v>475.03</v>
      </c>
    </row>
    <row r="13" spans="1:14" x14ac:dyDescent="0.25">
      <c r="A13" s="6" t="s">
        <v>18</v>
      </c>
      <c r="B13" s="8">
        <v>217.66000000000003</v>
      </c>
      <c r="C13" s="8">
        <v>228.62</v>
      </c>
      <c r="D13" s="8">
        <v>358.32000000000005</v>
      </c>
      <c r="E13" s="8">
        <v>308.72000000000003</v>
      </c>
      <c r="F13" s="8">
        <v>433.17999999999995</v>
      </c>
      <c r="G13" s="8">
        <v>358.32000000000005</v>
      </c>
      <c r="H13" s="8">
        <v>308.72000000000003</v>
      </c>
      <c r="I13" s="8">
        <v>433.17999999999995</v>
      </c>
      <c r="J13" s="8">
        <v>357.28999999999996</v>
      </c>
      <c r="K13" s="8">
        <v>308.72000000000003</v>
      </c>
      <c r="L13" s="8">
        <v>1100.22</v>
      </c>
      <c r="M13" s="8">
        <v>433.17999999999995</v>
      </c>
      <c r="N13" s="8">
        <v>4846.13</v>
      </c>
    </row>
    <row r="14" spans="1:14" x14ac:dyDescent="0.25">
      <c r="A14" s="7" t="s">
        <v>25</v>
      </c>
      <c r="B14" s="8">
        <v>81</v>
      </c>
      <c r="C14" s="8">
        <v>39.36</v>
      </c>
      <c r="D14" s="8">
        <v>99</v>
      </c>
      <c r="E14" s="8">
        <v>52.02</v>
      </c>
      <c r="F14" s="8">
        <v>180.6</v>
      </c>
      <c r="G14" s="8">
        <v>99</v>
      </c>
      <c r="H14" s="8">
        <v>52.02</v>
      </c>
      <c r="I14" s="8">
        <v>180.6</v>
      </c>
      <c r="J14" s="8">
        <v>99</v>
      </c>
      <c r="K14" s="8">
        <v>52.02</v>
      </c>
      <c r="L14" s="8">
        <v>331.62</v>
      </c>
      <c r="M14" s="8">
        <v>180.6</v>
      </c>
      <c r="N14" s="8">
        <v>1446.84</v>
      </c>
    </row>
    <row r="15" spans="1:14" x14ac:dyDescent="0.25">
      <c r="A15" s="7" t="s">
        <v>26</v>
      </c>
      <c r="B15" s="8">
        <v>63</v>
      </c>
      <c r="C15" s="8">
        <v>75.709999999999994</v>
      </c>
      <c r="D15" s="8">
        <v>61</v>
      </c>
      <c r="E15" s="8">
        <v>37.44</v>
      </c>
      <c r="F15" s="8">
        <v>61</v>
      </c>
      <c r="G15" s="8">
        <v>61</v>
      </c>
      <c r="H15" s="8">
        <v>37.44</v>
      </c>
      <c r="I15" s="8">
        <v>61</v>
      </c>
      <c r="J15" s="8">
        <v>59.97</v>
      </c>
      <c r="K15" s="8">
        <v>37.44</v>
      </c>
      <c r="L15" s="8">
        <v>159.44</v>
      </c>
      <c r="M15" s="8">
        <v>61</v>
      </c>
      <c r="N15" s="8">
        <v>775.44</v>
      </c>
    </row>
    <row r="16" spans="1:14" x14ac:dyDescent="0.25">
      <c r="A16" s="7" t="s">
        <v>27</v>
      </c>
      <c r="B16" s="8">
        <v>34.770000000000003</v>
      </c>
      <c r="C16" s="8">
        <v>61.75</v>
      </c>
      <c r="D16" s="8">
        <v>98.42</v>
      </c>
      <c r="E16" s="8">
        <v>177.12</v>
      </c>
      <c r="F16" s="8">
        <v>153.18</v>
      </c>
      <c r="G16" s="8">
        <v>98.42</v>
      </c>
      <c r="H16" s="8">
        <v>177.12</v>
      </c>
      <c r="I16" s="8">
        <v>153.18</v>
      </c>
      <c r="J16" s="8">
        <v>98.42</v>
      </c>
      <c r="K16" s="8">
        <v>177.12</v>
      </c>
      <c r="L16" s="8">
        <v>428.72</v>
      </c>
      <c r="M16" s="8">
        <v>153.18</v>
      </c>
      <c r="N16" s="8">
        <v>1811.4</v>
      </c>
    </row>
    <row r="17" spans="1:14" x14ac:dyDescent="0.25">
      <c r="A17" s="7" t="s">
        <v>28</v>
      </c>
      <c r="B17" s="8">
        <v>38.89</v>
      </c>
      <c r="C17" s="8">
        <v>51.8</v>
      </c>
      <c r="D17" s="8">
        <v>99.9</v>
      </c>
      <c r="E17" s="8">
        <v>42.14</v>
      </c>
      <c r="F17" s="8">
        <v>38.4</v>
      </c>
      <c r="G17" s="8">
        <v>99.9</v>
      </c>
      <c r="H17" s="8">
        <v>42.14</v>
      </c>
      <c r="I17" s="8">
        <v>38.4</v>
      </c>
      <c r="J17" s="8">
        <v>99.9</v>
      </c>
      <c r="K17" s="8">
        <v>42.14</v>
      </c>
      <c r="L17" s="8">
        <v>180.44</v>
      </c>
      <c r="M17" s="8">
        <v>38.4</v>
      </c>
      <c r="N17" s="8">
        <v>812.44999999999993</v>
      </c>
    </row>
    <row r="18" spans="1:14" x14ac:dyDescent="0.25">
      <c r="A18" s="6" t="s">
        <v>19</v>
      </c>
      <c r="B18" s="8">
        <v>257.14</v>
      </c>
      <c r="C18" s="8">
        <v>289.62</v>
      </c>
      <c r="D18" s="8">
        <v>423.75</v>
      </c>
      <c r="E18" s="8">
        <v>472.38</v>
      </c>
      <c r="F18" s="8">
        <v>595.92999999999995</v>
      </c>
      <c r="G18" s="8">
        <v>514.46</v>
      </c>
      <c r="H18" s="8">
        <v>474.72</v>
      </c>
      <c r="I18" s="8">
        <v>595.92999999999995</v>
      </c>
      <c r="J18" s="8">
        <v>513.43000000000006</v>
      </c>
      <c r="K18" s="8">
        <v>474.72</v>
      </c>
      <c r="L18" s="8">
        <v>1585.1100000000001</v>
      </c>
      <c r="M18" s="8">
        <v>595.92999999999995</v>
      </c>
      <c r="N18" s="8">
        <v>6793.12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0814-9196-4515-964C-0FBD298B027C}">
  <dimension ref="B1:K72"/>
  <sheetViews>
    <sheetView workbookViewId="0">
      <selection activeCell="E5" sqref="E5"/>
    </sheetView>
  </sheetViews>
  <sheetFormatPr defaultRowHeight="15" x14ac:dyDescent="0.25"/>
  <cols>
    <col min="3" max="3" width="56.7109375" bestFit="1" customWidth="1"/>
    <col min="5" max="5" width="14.42578125" customWidth="1"/>
    <col min="6" max="6" width="8.140625" bestFit="1" customWidth="1"/>
    <col min="7" max="7" width="16.28515625" customWidth="1"/>
    <col min="8" max="8" width="10.42578125" bestFit="1" customWidth="1"/>
    <col min="9" max="9" width="12.42578125" customWidth="1"/>
    <col min="10" max="10" width="23.5703125" bestFit="1" customWidth="1"/>
    <col min="11" max="11" width="20.7109375" bestFit="1" customWidth="1"/>
  </cols>
  <sheetData>
    <row r="1" spans="2:11" x14ac:dyDescent="0.25">
      <c r="B1" t="s">
        <v>11</v>
      </c>
      <c r="C1" t="s">
        <v>0</v>
      </c>
      <c r="D1" t="s">
        <v>12</v>
      </c>
      <c r="E1" s="4" t="s">
        <v>13</v>
      </c>
      <c r="F1" s="4" t="s">
        <v>14</v>
      </c>
      <c r="G1" s="4" t="s">
        <v>15</v>
      </c>
      <c r="H1" s="3" t="s">
        <v>3</v>
      </c>
      <c r="I1" s="4" t="s">
        <v>9</v>
      </c>
      <c r="J1" s="4" t="s">
        <v>1</v>
      </c>
      <c r="K1" s="4" t="s">
        <v>64</v>
      </c>
    </row>
    <row r="2" spans="2:11" x14ac:dyDescent="0.25">
      <c r="B2">
        <v>13</v>
      </c>
      <c r="C2" t="e" vm="1">
        <v>#VALUE!</v>
      </c>
      <c r="D2">
        <v>100</v>
      </c>
      <c r="E2" s="4">
        <v>39.479999999999997</v>
      </c>
      <c r="F2" s="4">
        <v>0</v>
      </c>
      <c r="G2" s="4">
        <v>39.479999999999997</v>
      </c>
      <c r="H2" s="3">
        <v>43449</v>
      </c>
      <c r="I2" t="str">
        <f>CONCATENATE(YEAR(H:H),"/",IF(MONTH(H:H)&lt;10,"0"&amp;MONTH(H:H),MONTH(H:H)))</f>
        <v>2018/12</v>
      </c>
      <c r="J2" t="str" cm="1">
        <f t="array" ref="J2">_FV(C2,"Tipo de instrumento",TRUE)</f>
        <v>Ações</v>
      </c>
      <c r="K2" t="str" cm="1">
        <f t="array" ref="K2">_FV(TBProventos[[#This Row],[Ativo]],"Símbolo do ticker",TRUE)</f>
        <v>ITSA4</v>
      </c>
    </row>
    <row r="3" spans="2:11" x14ac:dyDescent="0.25">
      <c r="B3">
        <v>14</v>
      </c>
      <c r="C3" t="e" vm="7">
        <v>#VALUE!</v>
      </c>
      <c r="D3">
        <v>100</v>
      </c>
      <c r="E3" s="4">
        <v>63</v>
      </c>
      <c r="F3" s="4">
        <v>0</v>
      </c>
      <c r="G3" s="4">
        <v>63</v>
      </c>
      <c r="H3" s="3">
        <v>43451</v>
      </c>
      <c r="I3" t="str">
        <f t="shared" ref="I3:I66" si="0">CONCATENATE(YEAR(H:H),"/",IF(MONTH(H:H)&lt;10,"0"&amp;MONTH(H:H),MONTH(H:H)))</f>
        <v>2018/12</v>
      </c>
      <c r="J3" t="str" cm="1">
        <f t="array" ref="J3">_FV(C3,"Tipo de instrumento",TRUE)</f>
        <v>Fundos mais negociados</v>
      </c>
      <c r="K3" t="str" cm="1">
        <f t="array" ref="K3">_FV(TBProventos[[#This Row],[Ativo]],"Símbolo do ticker",TRUE)</f>
        <v>HGBS11</v>
      </c>
    </row>
    <row r="4" spans="2:11" x14ac:dyDescent="0.25">
      <c r="B4">
        <v>14</v>
      </c>
      <c r="C4" t="e" vm="4">
        <v>#VALUE!</v>
      </c>
      <c r="D4">
        <v>100</v>
      </c>
      <c r="E4" s="4">
        <v>81</v>
      </c>
      <c r="F4" s="4">
        <v>0</v>
      </c>
      <c r="G4" s="4">
        <v>81</v>
      </c>
      <c r="H4" s="3">
        <v>43451</v>
      </c>
      <c r="I4" t="str">
        <f t="shared" si="0"/>
        <v>2018/12</v>
      </c>
      <c r="J4" t="str" cm="1">
        <f t="array" ref="J4">_FV(C4,"Tipo de instrumento",TRUE)</f>
        <v>Fundos mais negociados</v>
      </c>
      <c r="K4" t="str" cm="1">
        <f t="array" ref="K4">_FV(TBProventos[[#This Row],[Ativo]],"Símbolo do ticker",TRUE)</f>
        <v>HGLG11</v>
      </c>
    </row>
    <row r="5" spans="2:11" x14ac:dyDescent="0.25">
      <c r="B5">
        <v>14</v>
      </c>
      <c r="C5" t="e" vm="5">
        <v>#VALUE!</v>
      </c>
      <c r="D5">
        <v>100</v>
      </c>
      <c r="E5" s="4">
        <v>38.89</v>
      </c>
      <c r="F5" s="4">
        <v>0</v>
      </c>
      <c r="G5" s="4">
        <v>38.89</v>
      </c>
      <c r="H5" s="3">
        <v>43451</v>
      </c>
      <c r="I5" t="str">
        <f t="shared" si="0"/>
        <v>2018/12</v>
      </c>
      <c r="J5" t="str" cm="1">
        <f t="array" ref="J5">_FV(C5,"Tipo de instrumento",TRUE)</f>
        <v>Fundos mais negociados</v>
      </c>
      <c r="K5" t="str" cm="1">
        <f t="array" ref="K5">_FV(TBProventos[[#This Row],[Ativo]],"Símbolo do ticker",TRUE)</f>
        <v>HGRE11</v>
      </c>
    </row>
    <row r="6" spans="2:11" x14ac:dyDescent="0.25">
      <c r="B6">
        <v>14</v>
      </c>
      <c r="C6" t="e" vm="8">
        <v>#VALUE!</v>
      </c>
      <c r="D6">
        <v>100</v>
      </c>
      <c r="E6" s="4">
        <v>34.770000000000003</v>
      </c>
      <c r="F6" s="4">
        <v>0</v>
      </c>
      <c r="G6" s="4">
        <v>34.770000000000003</v>
      </c>
      <c r="H6" s="3">
        <v>43451</v>
      </c>
      <c r="I6" t="str">
        <f t="shared" si="0"/>
        <v>2018/12</v>
      </c>
      <c r="J6" t="str" cm="1">
        <f t="array" ref="J6">_FV(C6,"Tipo de instrumento",TRUE)</f>
        <v>Fundos mais negociados</v>
      </c>
      <c r="K6" t="str" cm="1">
        <f t="array" ref="K6">_FV(TBProventos[[#This Row],[Ativo]],"Símbolo do ticker",TRUE)</f>
        <v>KNRI11</v>
      </c>
    </row>
    <row r="7" spans="2:11" x14ac:dyDescent="0.25">
      <c r="B7">
        <v>13</v>
      </c>
      <c r="C7" t="e" vm="3">
        <v>#VALUE!</v>
      </c>
      <c r="D7">
        <v>100</v>
      </c>
      <c r="E7" s="4">
        <v>67</v>
      </c>
      <c r="F7" s="4">
        <v>6</v>
      </c>
      <c r="G7" s="4">
        <v>61</v>
      </c>
      <c r="H7" s="3">
        <v>43480</v>
      </c>
      <c r="I7" t="str">
        <f t="shared" si="0"/>
        <v>2019/01</v>
      </c>
      <c r="J7" t="str" cm="1">
        <f t="array" ref="J7">_FV(C7,"Tipo de instrumento",TRUE)</f>
        <v>Ações</v>
      </c>
      <c r="K7" t="str" cm="1">
        <f t="array" ref="K7">_FV(TBProventos[[#This Row],[Ativo]],"Símbolo do ticker",TRUE)</f>
        <v>PETR4</v>
      </c>
    </row>
    <row r="8" spans="2:11" x14ac:dyDescent="0.25">
      <c r="B8">
        <v>14</v>
      </c>
      <c r="C8" t="e" vm="7">
        <v>#VALUE!</v>
      </c>
      <c r="D8">
        <v>100</v>
      </c>
      <c r="E8" s="4">
        <v>75.709999999999994</v>
      </c>
      <c r="F8" s="4">
        <v>0</v>
      </c>
      <c r="G8" s="4">
        <v>75.709999999999994</v>
      </c>
      <c r="H8" s="3">
        <v>43482</v>
      </c>
      <c r="I8" t="str">
        <f t="shared" si="0"/>
        <v>2019/01</v>
      </c>
      <c r="J8" t="str" cm="1">
        <f t="array" ref="J8">_FV(C8,"Tipo de instrumento",TRUE)</f>
        <v>Fundos mais negociados</v>
      </c>
      <c r="K8" t="str" cm="1">
        <f t="array" ref="K8">_FV(TBProventos[[#This Row],[Ativo]],"Símbolo do ticker",TRUE)</f>
        <v>HGBS11</v>
      </c>
    </row>
    <row r="9" spans="2:11" x14ac:dyDescent="0.25">
      <c r="B9">
        <v>14</v>
      </c>
      <c r="C9" t="e" vm="4">
        <v>#VALUE!</v>
      </c>
      <c r="D9">
        <v>100</v>
      </c>
      <c r="E9" s="4">
        <v>39.36</v>
      </c>
      <c r="F9" s="4">
        <v>0</v>
      </c>
      <c r="G9" s="4">
        <v>39.36</v>
      </c>
      <c r="H9" s="3">
        <v>43482</v>
      </c>
      <c r="I9" t="str">
        <f t="shared" si="0"/>
        <v>2019/01</v>
      </c>
      <c r="J9" t="str" cm="1">
        <f t="array" ref="J9">_FV(C9,"Tipo de instrumento",TRUE)</f>
        <v>Fundos mais negociados</v>
      </c>
      <c r="K9" t="str" cm="1">
        <f t="array" ref="K9">_FV(TBProventos[[#This Row],[Ativo]],"Símbolo do ticker",TRUE)</f>
        <v>HGLG11</v>
      </c>
    </row>
    <row r="10" spans="2:11" x14ac:dyDescent="0.25">
      <c r="B10">
        <v>14</v>
      </c>
      <c r="C10" t="e" vm="5">
        <v>#VALUE!</v>
      </c>
      <c r="D10">
        <v>100</v>
      </c>
      <c r="E10" s="4">
        <v>51.8</v>
      </c>
      <c r="F10" s="4">
        <v>0</v>
      </c>
      <c r="G10" s="4">
        <v>51.8</v>
      </c>
      <c r="H10" s="3">
        <v>43482</v>
      </c>
      <c r="I10" t="str">
        <f t="shared" si="0"/>
        <v>2019/01</v>
      </c>
      <c r="J10" t="str" cm="1">
        <f t="array" ref="J10">_FV(C10,"Tipo de instrumento",TRUE)</f>
        <v>Fundos mais negociados</v>
      </c>
      <c r="K10" t="str" cm="1">
        <f t="array" ref="K10">_FV(TBProventos[[#This Row],[Ativo]],"Símbolo do ticker",TRUE)</f>
        <v>HGRE11</v>
      </c>
    </row>
    <row r="11" spans="2:11" x14ac:dyDescent="0.25">
      <c r="B11">
        <v>14</v>
      </c>
      <c r="C11" t="e" vm="8">
        <v>#VALUE!</v>
      </c>
      <c r="D11">
        <v>100</v>
      </c>
      <c r="E11" s="4">
        <v>61.75</v>
      </c>
      <c r="F11" s="4">
        <v>0</v>
      </c>
      <c r="G11" s="4">
        <v>61.75</v>
      </c>
      <c r="H11" s="3">
        <v>43482</v>
      </c>
      <c r="I11" t="str">
        <f t="shared" si="0"/>
        <v>2019/01</v>
      </c>
      <c r="J11" t="str" cm="1">
        <f t="array" ref="J11">_FV(C11,"Tipo de instrumento",TRUE)</f>
        <v>Fundos mais negociados</v>
      </c>
      <c r="K11" t="str" cm="1">
        <f t="array" ref="K11">_FV(TBProventos[[#This Row],[Ativo]],"Símbolo do ticker",TRUE)</f>
        <v>KNRI11</v>
      </c>
    </row>
    <row r="12" spans="2:11" x14ac:dyDescent="0.25">
      <c r="B12">
        <v>13</v>
      </c>
      <c r="C12" t="e" vm="1">
        <v>#VALUE!</v>
      </c>
      <c r="D12">
        <v>100</v>
      </c>
      <c r="E12" s="4">
        <v>65.430000000000007</v>
      </c>
      <c r="F12" s="4">
        <v>0</v>
      </c>
      <c r="G12" s="4">
        <v>65.430000000000007</v>
      </c>
      <c r="H12" s="3">
        <v>43511</v>
      </c>
      <c r="I12" t="str">
        <f t="shared" si="0"/>
        <v>2019/02</v>
      </c>
      <c r="J12" t="str" cm="1">
        <f t="array" ref="J12">_FV(C12,"Tipo de instrumento",TRUE)</f>
        <v>Ações</v>
      </c>
      <c r="K12" t="str" cm="1">
        <f t="array" ref="K12">_FV(TBProventos[[#This Row],[Ativo]],"Símbolo do ticker",TRUE)</f>
        <v>ITSA4</v>
      </c>
    </row>
    <row r="13" spans="2:11" x14ac:dyDescent="0.25">
      <c r="B13">
        <v>50</v>
      </c>
      <c r="C13" t="e" vm="7">
        <v>#VALUE!</v>
      </c>
      <c r="D13">
        <v>100</v>
      </c>
      <c r="E13" s="4">
        <v>0</v>
      </c>
      <c r="F13" s="4">
        <v>0</v>
      </c>
      <c r="G13" s="4">
        <v>0</v>
      </c>
      <c r="H13" s="3">
        <v>43511</v>
      </c>
      <c r="I13" t="str">
        <f t="shared" si="0"/>
        <v>2019/02</v>
      </c>
      <c r="J13" t="str" cm="1">
        <f t="array" ref="J13">_FV(C13,"Tipo de instrumento",TRUE)</f>
        <v>Fundos mais negociados</v>
      </c>
      <c r="K13" t="str" cm="1">
        <f t="array" ref="K13">_FV(TBProventos[[#This Row],[Ativo]],"Símbolo do ticker",TRUE)</f>
        <v>HGBS11</v>
      </c>
    </row>
    <row r="14" spans="2:11" x14ac:dyDescent="0.25">
      <c r="B14">
        <v>14</v>
      </c>
      <c r="C14" t="e" vm="7">
        <v>#VALUE!</v>
      </c>
      <c r="D14">
        <v>100</v>
      </c>
      <c r="E14" s="4">
        <v>61</v>
      </c>
      <c r="F14" s="4">
        <v>0</v>
      </c>
      <c r="G14" s="4">
        <v>61</v>
      </c>
      <c r="H14" s="3">
        <v>43513</v>
      </c>
      <c r="I14" t="str">
        <f t="shared" si="0"/>
        <v>2019/02</v>
      </c>
      <c r="J14" t="str" cm="1">
        <f t="array" ref="J14">_FV(C14,"Tipo de instrumento",TRUE)</f>
        <v>Fundos mais negociados</v>
      </c>
      <c r="K14" t="str" cm="1">
        <f t="array" ref="K14">_FV(TBProventos[[#This Row],[Ativo]],"Símbolo do ticker",TRUE)</f>
        <v>HGBS11</v>
      </c>
    </row>
    <row r="15" spans="2:11" x14ac:dyDescent="0.25">
      <c r="B15">
        <v>14</v>
      </c>
      <c r="C15" t="e" vm="4">
        <v>#VALUE!</v>
      </c>
      <c r="D15">
        <v>100</v>
      </c>
      <c r="E15" s="4">
        <v>99</v>
      </c>
      <c r="F15" s="4">
        <v>0</v>
      </c>
      <c r="G15" s="4">
        <v>99</v>
      </c>
      <c r="H15" s="3">
        <v>43513</v>
      </c>
      <c r="I15" t="str">
        <f t="shared" si="0"/>
        <v>2019/02</v>
      </c>
      <c r="J15" t="str" cm="1">
        <f t="array" ref="J15">_FV(C15,"Tipo de instrumento",TRUE)</f>
        <v>Fundos mais negociados</v>
      </c>
      <c r="K15" t="str" cm="1">
        <f t="array" ref="K15">_FV(TBProventos[[#This Row],[Ativo]],"Símbolo do ticker",TRUE)</f>
        <v>HGLG11</v>
      </c>
    </row>
    <row r="16" spans="2:11" x14ac:dyDescent="0.25">
      <c r="B16">
        <v>14</v>
      </c>
      <c r="C16" t="e" vm="5">
        <v>#VALUE!</v>
      </c>
      <c r="D16">
        <v>100</v>
      </c>
      <c r="E16" s="4">
        <v>99.9</v>
      </c>
      <c r="F16" s="4">
        <v>0</v>
      </c>
      <c r="G16" s="4">
        <v>99.9</v>
      </c>
      <c r="H16" s="3">
        <v>43513</v>
      </c>
      <c r="I16" t="str">
        <f t="shared" si="0"/>
        <v>2019/02</v>
      </c>
      <c r="J16" t="str" cm="1">
        <f t="array" ref="J16">_FV(C16,"Tipo de instrumento",TRUE)</f>
        <v>Fundos mais negociados</v>
      </c>
      <c r="K16" t="str" cm="1">
        <f t="array" ref="K16">_FV(TBProventos[[#This Row],[Ativo]],"Símbolo do ticker",TRUE)</f>
        <v>HGRE11</v>
      </c>
    </row>
    <row r="17" spans="2:11" x14ac:dyDescent="0.25">
      <c r="B17">
        <v>14</v>
      </c>
      <c r="C17" t="e" vm="8">
        <v>#VALUE!</v>
      </c>
      <c r="D17">
        <v>100</v>
      </c>
      <c r="E17" s="4">
        <v>98.42</v>
      </c>
      <c r="F17" s="4">
        <v>0</v>
      </c>
      <c r="G17" s="4">
        <v>98.42</v>
      </c>
      <c r="H17" s="3">
        <v>43513</v>
      </c>
      <c r="I17" t="str">
        <f t="shared" si="0"/>
        <v>2019/02</v>
      </c>
      <c r="J17" t="str" cm="1">
        <f t="array" ref="J17">_FV(C17,"Tipo de instrumento",TRUE)</f>
        <v>Fundos mais negociados</v>
      </c>
      <c r="K17" t="str" cm="1">
        <f t="array" ref="K17">_FV(TBProventos[[#This Row],[Ativo]],"Símbolo do ticker",TRUE)</f>
        <v>KNRI11</v>
      </c>
    </row>
    <row r="18" spans="2:11" x14ac:dyDescent="0.25">
      <c r="B18">
        <v>13</v>
      </c>
      <c r="C18" t="e" vm="6">
        <v>#VALUE!</v>
      </c>
      <c r="D18">
        <v>100</v>
      </c>
      <c r="E18" s="4">
        <v>166</v>
      </c>
      <c r="F18" s="4">
        <v>2.34</v>
      </c>
      <c r="G18" s="4">
        <v>163.66</v>
      </c>
      <c r="H18" s="3">
        <v>43539</v>
      </c>
      <c r="I18" t="str">
        <f t="shared" si="0"/>
        <v>2019/03</v>
      </c>
      <c r="J18" t="str" cm="1">
        <f t="array" ref="J18">_FV(C18,"Tipo de instrumento",TRUE)</f>
        <v>Ações</v>
      </c>
      <c r="K18" t="str" cm="1">
        <f t="array" ref="K18">_FV(TBProventos[[#This Row],[Ativo]],"Símbolo do ticker",TRUE)</f>
        <v>FLRY3</v>
      </c>
    </row>
    <row r="19" spans="2:11" x14ac:dyDescent="0.25">
      <c r="B19">
        <v>14</v>
      </c>
      <c r="C19" t="e" vm="7">
        <v>#VALUE!</v>
      </c>
      <c r="D19">
        <v>100</v>
      </c>
      <c r="E19" s="4">
        <v>37.44</v>
      </c>
      <c r="F19" s="4">
        <v>0</v>
      </c>
      <c r="G19" s="4">
        <v>37.44</v>
      </c>
      <c r="H19" s="3">
        <v>43541</v>
      </c>
      <c r="I19" t="str">
        <f t="shared" si="0"/>
        <v>2019/03</v>
      </c>
      <c r="J19" t="str" cm="1">
        <f t="array" ref="J19">_FV(C19,"Tipo de instrumento",TRUE)</f>
        <v>Fundos mais negociados</v>
      </c>
      <c r="K19" t="str" cm="1">
        <f t="array" ref="K19">_FV(TBProventos[[#This Row],[Ativo]],"Símbolo do ticker",TRUE)</f>
        <v>HGBS11</v>
      </c>
    </row>
    <row r="20" spans="2:11" x14ac:dyDescent="0.25">
      <c r="B20">
        <v>14</v>
      </c>
      <c r="C20" t="e" vm="4">
        <v>#VALUE!</v>
      </c>
      <c r="D20">
        <v>100</v>
      </c>
      <c r="E20" s="4">
        <v>52.02</v>
      </c>
      <c r="F20" s="4">
        <v>0</v>
      </c>
      <c r="G20" s="4">
        <v>52.02</v>
      </c>
      <c r="H20" s="3">
        <v>43541</v>
      </c>
      <c r="I20" t="str">
        <f t="shared" si="0"/>
        <v>2019/03</v>
      </c>
      <c r="J20" t="str" cm="1">
        <f t="array" ref="J20">_FV(C20,"Tipo de instrumento",TRUE)</f>
        <v>Fundos mais negociados</v>
      </c>
      <c r="K20" t="str" cm="1">
        <f t="array" ref="K20">_FV(TBProventos[[#This Row],[Ativo]],"Símbolo do ticker",TRUE)</f>
        <v>HGLG11</v>
      </c>
    </row>
    <row r="21" spans="2:11" x14ac:dyDescent="0.25">
      <c r="B21">
        <v>14</v>
      </c>
      <c r="C21" t="e" vm="5">
        <v>#VALUE!</v>
      </c>
      <c r="D21">
        <v>100</v>
      </c>
      <c r="E21" s="4">
        <v>42.14</v>
      </c>
      <c r="F21" s="4">
        <v>0</v>
      </c>
      <c r="G21" s="4">
        <v>42.14</v>
      </c>
      <c r="H21" s="3">
        <v>43541</v>
      </c>
      <c r="I21" t="str">
        <f t="shared" si="0"/>
        <v>2019/03</v>
      </c>
      <c r="J21" t="str" cm="1">
        <f t="array" ref="J21">_FV(C21,"Tipo de instrumento",TRUE)</f>
        <v>Fundos mais negociados</v>
      </c>
      <c r="K21" t="str" cm="1">
        <f t="array" ref="K21">_FV(TBProventos[[#This Row],[Ativo]],"Símbolo do ticker",TRUE)</f>
        <v>HGRE11</v>
      </c>
    </row>
    <row r="22" spans="2:11" x14ac:dyDescent="0.25">
      <c r="B22">
        <v>14</v>
      </c>
      <c r="C22" t="e" vm="8">
        <v>#VALUE!</v>
      </c>
      <c r="D22">
        <v>100</v>
      </c>
      <c r="E22" s="4">
        <v>177.12</v>
      </c>
      <c r="F22" s="4">
        <v>0</v>
      </c>
      <c r="G22" s="4">
        <v>177.12</v>
      </c>
      <c r="H22" s="3">
        <v>43541</v>
      </c>
      <c r="I22" t="str">
        <f t="shared" si="0"/>
        <v>2019/03</v>
      </c>
      <c r="J22" t="str" cm="1">
        <f t="array" ref="J22">_FV(C22,"Tipo de instrumento",TRUE)</f>
        <v>Fundos mais negociados</v>
      </c>
      <c r="K22" t="str" cm="1">
        <f t="array" ref="K22">_FV(TBProventos[[#This Row],[Ativo]],"Símbolo do ticker",TRUE)</f>
        <v>KNRI11</v>
      </c>
    </row>
    <row r="23" spans="2:11" x14ac:dyDescent="0.25">
      <c r="B23">
        <v>13</v>
      </c>
      <c r="C23" t="e" vm="1">
        <v>#VALUE!</v>
      </c>
      <c r="D23">
        <v>100</v>
      </c>
      <c r="E23" s="4">
        <v>162.75</v>
      </c>
      <c r="F23" s="4">
        <v>0</v>
      </c>
      <c r="G23" s="4">
        <v>162.75</v>
      </c>
      <c r="H23" s="3">
        <v>43570</v>
      </c>
      <c r="I23" t="str">
        <f t="shared" si="0"/>
        <v>2019/04</v>
      </c>
      <c r="J23" t="str" cm="1">
        <f t="array" ref="J23">_FV(C23,"Tipo de instrumento",TRUE)</f>
        <v>Ações</v>
      </c>
      <c r="K23" t="str" cm="1">
        <f t="array" ref="K23">_FV(TBProventos[[#This Row],[Ativo]],"Símbolo do ticker",TRUE)</f>
        <v>ITSA4</v>
      </c>
    </row>
    <row r="24" spans="2:11" x14ac:dyDescent="0.25">
      <c r="B24">
        <v>14</v>
      </c>
      <c r="C24" t="e" vm="7">
        <v>#VALUE!</v>
      </c>
      <c r="D24">
        <v>100</v>
      </c>
      <c r="E24" s="4">
        <v>61</v>
      </c>
      <c r="F24" s="4">
        <v>0</v>
      </c>
      <c r="G24" s="4">
        <v>61</v>
      </c>
      <c r="H24" s="3">
        <v>43572</v>
      </c>
      <c r="I24" t="str">
        <f t="shared" si="0"/>
        <v>2019/04</v>
      </c>
      <c r="J24" t="str" cm="1">
        <f t="array" ref="J24">_FV(C24,"Tipo de instrumento",TRUE)</f>
        <v>Fundos mais negociados</v>
      </c>
      <c r="K24" t="str" cm="1">
        <f t="array" ref="K24">_FV(TBProventos[[#This Row],[Ativo]],"Símbolo do ticker",TRUE)</f>
        <v>HGBS11</v>
      </c>
    </row>
    <row r="25" spans="2:11" x14ac:dyDescent="0.25">
      <c r="B25">
        <v>14</v>
      </c>
      <c r="C25" t="e" vm="4">
        <v>#VALUE!</v>
      </c>
      <c r="D25">
        <v>100</v>
      </c>
      <c r="E25" s="4">
        <v>180.6</v>
      </c>
      <c r="F25" s="4">
        <v>0</v>
      </c>
      <c r="G25" s="4">
        <v>180.6</v>
      </c>
      <c r="H25" s="3">
        <v>43572</v>
      </c>
      <c r="I25" t="str">
        <f t="shared" si="0"/>
        <v>2019/04</v>
      </c>
      <c r="J25" t="str" cm="1">
        <f t="array" ref="J25">_FV(C25,"Tipo de instrumento",TRUE)</f>
        <v>Fundos mais negociados</v>
      </c>
      <c r="K25" t="str" cm="1">
        <f t="array" ref="K25">_FV(TBProventos[[#This Row],[Ativo]],"Símbolo do ticker",TRUE)</f>
        <v>HGLG11</v>
      </c>
    </row>
    <row r="26" spans="2:11" x14ac:dyDescent="0.25">
      <c r="B26">
        <v>14</v>
      </c>
      <c r="C26" t="e" vm="5">
        <v>#VALUE!</v>
      </c>
      <c r="D26">
        <v>100</v>
      </c>
      <c r="E26" s="4">
        <v>38.4</v>
      </c>
      <c r="F26" s="4">
        <v>0</v>
      </c>
      <c r="G26" s="4">
        <v>38.4</v>
      </c>
      <c r="H26" s="3">
        <v>43572</v>
      </c>
      <c r="I26" t="str">
        <f t="shared" si="0"/>
        <v>2019/04</v>
      </c>
      <c r="J26" t="str" cm="1">
        <f t="array" ref="J26">_FV(C26,"Tipo de instrumento",TRUE)</f>
        <v>Fundos mais negociados</v>
      </c>
      <c r="K26" t="str" cm="1">
        <f t="array" ref="K26">_FV(TBProventos[[#This Row],[Ativo]],"Símbolo do ticker",TRUE)</f>
        <v>HGRE11</v>
      </c>
    </row>
    <row r="27" spans="2:11" x14ac:dyDescent="0.25">
      <c r="B27">
        <v>14</v>
      </c>
      <c r="C27" t="e" vm="8">
        <v>#VALUE!</v>
      </c>
      <c r="D27">
        <v>100</v>
      </c>
      <c r="E27" s="4">
        <v>153.18</v>
      </c>
      <c r="F27" s="4">
        <v>0</v>
      </c>
      <c r="G27" s="4">
        <v>153.18</v>
      </c>
      <c r="H27" s="3">
        <v>43572</v>
      </c>
      <c r="I27" t="str">
        <f t="shared" si="0"/>
        <v>2019/04</v>
      </c>
      <c r="J27" t="str" cm="1">
        <f t="array" ref="J27">_FV(C27,"Tipo de instrumento",TRUE)</f>
        <v>Fundos mais negociados</v>
      </c>
      <c r="K27" t="str" cm="1">
        <f t="array" ref="K27">_FV(TBProventos[[#This Row],[Ativo]],"Símbolo do ticker",TRUE)</f>
        <v>KNRI11</v>
      </c>
    </row>
    <row r="28" spans="2:11" x14ac:dyDescent="0.25">
      <c r="B28">
        <v>13</v>
      </c>
      <c r="C28" t="e" vm="9">
        <v>#VALUE!</v>
      </c>
      <c r="D28">
        <v>100</v>
      </c>
      <c r="E28" s="4">
        <v>156.13999999999999</v>
      </c>
      <c r="F28" s="4">
        <v>0</v>
      </c>
      <c r="G28" s="4">
        <v>156.13999999999999</v>
      </c>
      <c r="H28" s="3">
        <v>43600</v>
      </c>
      <c r="I28" t="str">
        <f t="shared" si="0"/>
        <v>2019/05</v>
      </c>
      <c r="J28" t="str" cm="1">
        <f t="array" ref="J28">_FV(C28,"Tipo de instrumento",TRUE)</f>
        <v>Ações</v>
      </c>
      <c r="K28" t="str" cm="1">
        <f t="array" ref="K28">_FV(TBProventos[[#This Row],[Ativo]],"Símbolo do ticker",TRUE)</f>
        <v>TAEE4</v>
      </c>
    </row>
    <row r="29" spans="2:11" x14ac:dyDescent="0.25">
      <c r="B29">
        <v>14</v>
      </c>
      <c r="C29" t="e" vm="7">
        <v>#VALUE!</v>
      </c>
      <c r="D29">
        <v>100</v>
      </c>
      <c r="E29" s="4">
        <v>61</v>
      </c>
      <c r="F29" s="4">
        <v>0</v>
      </c>
      <c r="G29" s="4">
        <v>61</v>
      </c>
      <c r="H29" s="3">
        <v>43602</v>
      </c>
      <c r="I29" t="str">
        <f t="shared" si="0"/>
        <v>2019/05</v>
      </c>
      <c r="J29" t="str" cm="1">
        <f t="array" ref="J29">_FV(C29,"Tipo de instrumento",TRUE)</f>
        <v>Fundos mais negociados</v>
      </c>
      <c r="K29" t="str" cm="1">
        <f t="array" ref="K29">_FV(TBProventos[[#This Row],[Ativo]],"Símbolo do ticker",TRUE)</f>
        <v>HGBS11</v>
      </c>
    </row>
    <row r="30" spans="2:11" x14ac:dyDescent="0.25">
      <c r="B30">
        <v>14</v>
      </c>
      <c r="C30" t="e" vm="4">
        <v>#VALUE!</v>
      </c>
      <c r="D30">
        <v>100</v>
      </c>
      <c r="E30" s="4">
        <v>99</v>
      </c>
      <c r="F30" s="4">
        <v>0</v>
      </c>
      <c r="G30" s="4">
        <v>99</v>
      </c>
      <c r="H30" s="3">
        <v>43602</v>
      </c>
      <c r="I30" t="str">
        <f t="shared" si="0"/>
        <v>2019/05</v>
      </c>
      <c r="J30" t="str" cm="1">
        <f t="array" ref="J30">_FV(C30,"Tipo de instrumento",TRUE)</f>
        <v>Fundos mais negociados</v>
      </c>
      <c r="K30" t="str" cm="1">
        <f t="array" ref="K30">_FV(TBProventos[[#This Row],[Ativo]],"Símbolo do ticker",TRUE)</f>
        <v>HGLG11</v>
      </c>
    </row>
    <row r="31" spans="2:11" x14ac:dyDescent="0.25">
      <c r="B31">
        <v>14</v>
      </c>
      <c r="C31" t="e" vm="5">
        <v>#VALUE!</v>
      </c>
      <c r="D31">
        <v>100</v>
      </c>
      <c r="E31" s="4">
        <v>99.9</v>
      </c>
      <c r="F31" s="4">
        <v>0</v>
      </c>
      <c r="G31" s="4">
        <v>99.9</v>
      </c>
      <c r="H31" s="3">
        <v>43602</v>
      </c>
      <c r="I31" t="str">
        <f t="shared" si="0"/>
        <v>2019/05</v>
      </c>
      <c r="J31" t="str" cm="1">
        <f t="array" ref="J31">_FV(C31,"Tipo de instrumento",TRUE)</f>
        <v>Fundos mais negociados</v>
      </c>
      <c r="K31" t="str" cm="1">
        <f t="array" ref="K31">_FV(TBProventos[[#This Row],[Ativo]],"Símbolo do ticker",TRUE)</f>
        <v>HGRE11</v>
      </c>
    </row>
    <row r="32" spans="2:11" x14ac:dyDescent="0.25">
      <c r="B32">
        <v>14</v>
      </c>
      <c r="C32" t="e" vm="8">
        <v>#VALUE!</v>
      </c>
      <c r="D32">
        <v>100</v>
      </c>
      <c r="E32" s="4">
        <v>98.42</v>
      </c>
      <c r="F32" s="4">
        <v>0</v>
      </c>
      <c r="G32" s="4">
        <v>98.42</v>
      </c>
      <c r="H32" s="3">
        <v>43602</v>
      </c>
      <c r="I32" t="str">
        <f t="shared" si="0"/>
        <v>2019/05</v>
      </c>
      <c r="J32" t="str" cm="1">
        <f t="array" ref="J32">_FV(C32,"Tipo de instrumento",TRUE)</f>
        <v>Fundos mais negociados</v>
      </c>
      <c r="K32" t="str" cm="1">
        <f t="array" ref="K32">_FV(TBProventos[[#This Row],[Ativo]],"Símbolo do ticker",TRUE)</f>
        <v>KNRI11</v>
      </c>
    </row>
    <row r="33" spans="2:11" x14ac:dyDescent="0.25">
      <c r="B33">
        <v>13</v>
      </c>
      <c r="C33" t="e" vm="1">
        <v>#VALUE!</v>
      </c>
      <c r="D33">
        <v>100</v>
      </c>
      <c r="E33" s="4">
        <v>166</v>
      </c>
      <c r="F33" s="4">
        <v>0</v>
      </c>
      <c r="G33" s="4">
        <v>166</v>
      </c>
      <c r="H33" s="3">
        <v>43631</v>
      </c>
      <c r="I33" t="str">
        <f t="shared" si="0"/>
        <v>2019/06</v>
      </c>
      <c r="J33" t="str" cm="1">
        <f t="array" ref="J33">_FV(C33,"Tipo de instrumento",TRUE)</f>
        <v>Ações</v>
      </c>
      <c r="K33" t="str" cm="1">
        <f t="array" ref="K33">_FV(TBProventos[[#This Row],[Ativo]],"Símbolo do ticker",TRUE)</f>
        <v>ITSA4</v>
      </c>
    </row>
    <row r="34" spans="2:11" x14ac:dyDescent="0.25">
      <c r="B34">
        <v>14</v>
      </c>
      <c r="C34" t="e" vm="7">
        <v>#VALUE!</v>
      </c>
      <c r="D34">
        <v>100</v>
      </c>
      <c r="E34" s="4">
        <v>37.44</v>
      </c>
      <c r="F34" s="4">
        <v>0</v>
      </c>
      <c r="G34" s="4">
        <v>37.44</v>
      </c>
      <c r="H34" s="3">
        <v>43633</v>
      </c>
      <c r="I34" t="str">
        <f t="shared" si="0"/>
        <v>2019/06</v>
      </c>
      <c r="J34" t="str" cm="1">
        <f t="array" ref="J34">_FV(C34,"Tipo de instrumento",TRUE)</f>
        <v>Fundos mais negociados</v>
      </c>
      <c r="K34" t="str" cm="1">
        <f t="array" ref="K34">_FV(TBProventos[[#This Row],[Ativo]],"Símbolo do ticker",TRUE)</f>
        <v>HGBS11</v>
      </c>
    </row>
    <row r="35" spans="2:11" x14ac:dyDescent="0.25">
      <c r="B35">
        <v>14</v>
      </c>
      <c r="C35" t="e" vm="4">
        <v>#VALUE!</v>
      </c>
      <c r="D35">
        <v>100</v>
      </c>
      <c r="E35" s="4">
        <v>52.02</v>
      </c>
      <c r="F35" s="4">
        <v>0</v>
      </c>
      <c r="G35" s="4">
        <v>52.02</v>
      </c>
      <c r="H35" s="3">
        <v>43633</v>
      </c>
      <c r="I35" t="str">
        <f t="shared" si="0"/>
        <v>2019/06</v>
      </c>
      <c r="J35" t="str" cm="1">
        <f t="array" ref="J35">_FV(C35,"Tipo de instrumento",TRUE)</f>
        <v>Fundos mais negociados</v>
      </c>
      <c r="K35" t="str" cm="1">
        <f t="array" ref="K35">_FV(TBProventos[[#This Row],[Ativo]],"Símbolo do ticker",TRUE)</f>
        <v>HGLG11</v>
      </c>
    </row>
    <row r="36" spans="2:11" x14ac:dyDescent="0.25">
      <c r="B36">
        <v>14</v>
      </c>
      <c r="C36" t="e" vm="5">
        <v>#VALUE!</v>
      </c>
      <c r="D36">
        <v>100</v>
      </c>
      <c r="E36" s="4">
        <v>42.14</v>
      </c>
      <c r="F36" s="4">
        <v>0</v>
      </c>
      <c r="G36" s="4">
        <v>42.14</v>
      </c>
      <c r="H36" s="3">
        <v>43633</v>
      </c>
      <c r="I36" t="str">
        <f t="shared" si="0"/>
        <v>2019/06</v>
      </c>
      <c r="J36" t="str" cm="1">
        <f t="array" ref="J36">_FV(C36,"Tipo de instrumento",TRUE)</f>
        <v>Fundos mais negociados</v>
      </c>
      <c r="K36" t="str" cm="1">
        <f t="array" ref="K36">_FV(TBProventos[[#This Row],[Ativo]],"Símbolo do ticker",TRUE)</f>
        <v>HGRE11</v>
      </c>
    </row>
    <row r="37" spans="2:11" x14ac:dyDescent="0.25">
      <c r="B37">
        <v>14</v>
      </c>
      <c r="C37" t="e" vm="8">
        <v>#VALUE!</v>
      </c>
      <c r="D37">
        <v>100</v>
      </c>
      <c r="E37" s="4">
        <v>177.12</v>
      </c>
      <c r="F37" s="4">
        <v>0</v>
      </c>
      <c r="G37" s="4">
        <v>177.12</v>
      </c>
      <c r="H37" s="3">
        <v>43633</v>
      </c>
      <c r="I37" t="str">
        <f t="shared" si="0"/>
        <v>2019/06</v>
      </c>
      <c r="J37" t="str" cm="1">
        <f t="array" ref="J37">_FV(C37,"Tipo de instrumento",TRUE)</f>
        <v>Fundos mais negociados</v>
      </c>
      <c r="K37" t="str" cm="1">
        <f t="array" ref="K37">_FV(TBProventos[[#This Row],[Ativo]],"Símbolo do ticker",TRUE)</f>
        <v>KNRI11</v>
      </c>
    </row>
    <row r="38" spans="2:11" x14ac:dyDescent="0.25">
      <c r="B38">
        <v>13</v>
      </c>
      <c r="C38" t="e" vm="3">
        <v>#VALUE!</v>
      </c>
      <c r="D38">
        <v>100</v>
      </c>
      <c r="E38" s="4">
        <v>162.75</v>
      </c>
      <c r="F38" s="4">
        <v>0</v>
      </c>
      <c r="G38" s="4">
        <v>162.75</v>
      </c>
      <c r="H38" s="3">
        <v>43661</v>
      </c>
      <c r="I38" t="str">
        <f t="shared" si="0"/>
        <v>2019/07</v>
      </c>
      <c r="J38" t="str" cm="1">
        <f t="array" ref="J38">_FV(C38,"Tipo de instrumento",TRUE)</f>
        <v>Ações</v>
      </c>
      <c r="K38" t="str" cm="1">
        <f t="array" ref="K38">_FV(TBProventos[[#This Row],[Ativo]],"Símbolo do ticker",TRUE)</f>
        <v>PETR4</v>
      </c>
    </row>
    <row r="39" spans="2:11" x14ac:dyDescent="0.25">
      <c r="B39">
        <v>14</v>
      </c>
      <c r="C39" t="e" vm="7">
        <v>#VALUE!</v>
      </c>
      <c r="D39">
        <v>100</v>
      </c>
      <c r="E39" s="4">
        <v>61</v>
      </c>
      <c r="F39" s="4">
        <v>0</v>
      </c>
      <c r="G39" s="4">
        <v>61</v>
      </c>
      <c r="H39" s="3">
        <v>43663</v>
      </c>
      <c r="I39" t="str">
        <f t="shared" si="0"/>
        <v>2019/07</v>
      </c>
      <c r="J39" t="str" cm="1">
        <f t="array" ref="J39">_FV(C39,"Tipo de instrumento",TRUE)</f>
        <v>Fundos mais negociados</v>
      </c>
      <c r="K39" t="str" cm="1">
        <f t="array" ref="K39">_FV(TBProventos[[#This Row],[Ativo]],"Símbolo do ticker",TRUE)</f>
        <v>HGBS11</v>
      </c>
    </row>
    <row r="40" spans="2:11" x14ac:dyDescent="0.25">
      <c r="B40">
        <v>14</v>
      </c>
      <c r="C40" t="e" vm="4">
        <v>#VALUE!</v>
      </c>
      <c r="D40">
        <v>100</v>
      </c>
      <c r="E40" s="4">
        <v>180.6</v>
      </c>
      <c r="F40" s="4">
        <v>0</v>
      </c>
      <c r="G40" s="4">
        <v>180.6</v>
      </c>
      <c r="H40" s="3">
        <v>43663</v>
      </c>
      <c r="I40" t="str">
        <f t="shared" si="0"/>
        <v>2019/07</v>
      </c>
      <c r="J40" t="str" cm="1">
        <f t="array" ref="J40">_FV(C40,"Tipo de instrumento",TRUE)</f>
        <v>Fundos mais negociados</v>
      </c>
      <c r="K40" t="str" cm="1">
        <f t="array" ref="K40">_FV(TBProventos[[#This Row],[Ativo]],"Símbolo do ticker",TRUE)</f>
        <v>HGLG11</v>
      </c>
    </row>
    <row r="41" spans="2:11" x14ac:dyDescent="0.25">
      <c r="B41">
        <v>14</v>
      </c>
      <c r="C41" t="e" vm="5">
        <v>#VALUE!</v>
      </c>
      <c r="D41">
        <v>100</v>
      </c>
      <c r="E41" s="4">
        <v>38.4</v>
      </c>
      <c r="F41" s="4">
        <v>0</v>
      </c>
      <c r="G41" s="4">
        <v>38.4</v>
      </c>
      <c r="H41" s="3">
        <v>43663</v>
      </c>
      <c r="I41" t="str">
        <f t="shared" si="0"/>
        <v>2019/07</v>
      </c>
      <c r="J41" t="str" cm="1">
        <f t="array" ref="J41">_FV(C41,"Tipo de instrumento",TRUE)</f>
        <v>Fundos mais negociados</v>
      </c>
      <c r="K41" t="str" cm="1">
        <f t="array" ref="K41">_FV(TBProventos[[#This Row],[Ativo]],"Símbolo do ticker",TRUE)</f>
        <v>HGRE11</v>
      </c>
    </row>
    <row r="42" spans="2:11" x14ac:dyDescent="0.25">
      <c r="B42">
        <v>14</v>
      </c>
      <c r="C42" t="e" vm="8">
        <v>#VALUE!</v>
      </c>
      <c r="D42">
        <v>100</v>
      </c>
      <c r="E42" s="4">
        <v>153.18</v>
      </c>
      <c r="F42" s="4">
        <v>0</v>
      </c>
      <c r="G42" s="4">
        <v>153.18</v>
      </c>
      <c r="H42" s="3">
        <v>43663</v>
      </c>
      <c r="I42" t="str">
        <f t="shared" si="0"/>
        <v>2019/07</v>
      </c>
      <c r="J42" t="str" cm="1">
        <f t="array" ref="J42">_FV(C42,"Tipo de instrumento",TRUE)</f>
        <v>Fundos mais negociados</v>
      </c>
      <c r="K42" t="str" cm="1">
        <f t="array" ref="K42">_FV(TBProventos[[#This Row],[Ativo]],"Símbolo do ticker",TRUE)</f>
        <v>KNRI11</v>
      </c>
    </row>
    <row r="43" spans="2:11" x14ac:dyDescent="0.25">
      <c r="B43">
        <v>13</v>
      </c>
      <c r="C43" t="e" vm="6">
        <v>#VALUE!</v>
      </c>
      <c r="D43">
        <v>100</v>
      </c>
      <c r="E43" s="4">
        <v>156.13999999999999</v>
      </c>
      <c r="F43" s="4">
        <v>0</v>
      </c>
      <c r="G43" s="4">
        <v>156.13999999999999</v>
      </c>
      <c r="H43" s="3">
        <v>43692</v>
      </c>
      <c r="I43" t="str">
        <f t="shared" si="0"/>
        <v>2019/08</v>
      </c>
      <c r="J43" t="str" cm="1">
        <f t="array" ref="J43">_FV(C43,"Tipo de instrumento",TRUE)</f>
        <v>Ações</v>
      </c>
      <c r="K43" t="str" cm="1">
        <f t="array" ref="K43">_FV(TBProventos[[#This Row],[Ativo]],"Símbolo do ticker",TRUE)</f>
        <v>FLRY3</v>
      </c>
    </row>
    <row r="44" spans="2:11" x14ac:dyDescent="0.25">
      <c r="B44">
        <v>14</v>
      </c>
      <c r="C44" t="e" vm="7">
        <v>#VALUE!</v>
      </c>
      <c r="D44">
        <v>100</v>
      </c>
      <c r="E44" s="4">
        <v>61</v>
      </c>
      <c r="F44" s="4">
        <v>1.03</v>
      </c>
      <c r="G44" s="4">
        <v>59.97</v>
      </c>
      <c r="H44" s="3">
        <v>43694</v>
      </c>
      <c r="I44" t="str">
        <f t="shared" si="0"/>
        <v>2019/08</v>
      </c>
      <c r="J44" t="str" cm="1">
        <f t="array" ref="J44">_FV(C44,"Tipo de instrumento",TRUE)</f>
        <v>Fundos mais negociados</v>
      </c>
      <c r="K44" t="str" cm="1">
        <f t="array" ref="K44">_FV(TBProventos[[#This Row],[Ativo]],"Símbolo do ticker",TRUE)</f>
        <v>HGBS11</v>
      </c>
    </row>
    <row r="45" spans="2:11" x14ac:dyDescent="0.25">
      <c r="B45">
        <v>14</v>
      </c>
      <c r="C45" t="e" vm="4">
        <v>#VALUE!</v>
      </c>
      <c r="D45">
        <v>100</v>
      </c>
      <c r="E45" s="4">
        <v>99</v>
      </c>
      <c r="F45" s="4">
        <v>0</v>
      </c>
      <c r="G45" s="4">
        <v>99</v>
      </c>
      <c r="H45" s="3">
        <v>43694</v>
      </c>
      <c r="I45" t="str">
        <f t="shared" si="0"/>
        <v>2019/08</v>
      </c>
      <c r="J45" t="str" cm="1">
        <f t="array" ref="J45">_FV(C45,"Tipo de instrumento",TRUE)</f>
        <v>Fundos mais negociados</v>
      </c>
      <c r="K45" t="str" cm="1">
        <f t="array" ref="K45">_FV(TBProventos[[#This Row],[Ativo]],"Símbolo do ticker",TRUE)</f>
        <v>HGLG11</v>
      </c>
    </row>
    <row r="46" spans="2:11" x14ac:dyDescent="0.25">
      <c r="B46">
        <v>14</v>
      </c>
      <c r="C46" t="e" vm="5">
        <v>#VALUE!</v>
      </c>
      <c r="D46">
        <v>100</v>
      </c>
      <c r="E46" s="4">
        <v>99.9</v>
      </c>
      <c r="F46" s="4">
        <v>0</v>
      </c>
      <c r="G46" s="4">
        <v>99.9</v>
      </c>
      <c r="H46" s="3">
        <v>43694</v>
      </c>
      <c r="I46" t="str">
        <f t="shared" si="0"/>
        <v>2019/08</v>
      </c>
      <c r="J46" t="str" cm="1">
        <f t="array" ref="J46">_FV(C46,"Tipo de instrumento",TRUE)</f>
        <v>Fundos mais negociados</v>
      </c>
      <c r="K46" t="str" cm="1">
        <f t="array" ref="K46">_FV(TBProventos[[#This Row],[Ativo]],"Símbolo do ticker",TRUE)</f>
        <v>HGRE11</v>
      </c>
    </row>
    <row r="47" spans="2:11" x14ac:dyDescent="0.25">
      <c r="B47">
        <v>14</v>
      </c>
      <c r="C47" t="e" vm="8">
        <v>#VALUE!</v>
      </c>
      <c r="D47">
        <v>100</v>
      </c>
      <c r="E47" s="4">
        <v>98.42</v>
      </c>
      <c r="F47" s="4">
        <v>0</v>
      </c>
      <c r="G47" s="4">
        <v>98.42</v>
      </c>
      <c r="H47" s="3">
        <v>43694</v>
      </c>
      <c r="I47" t="str">
        <f t="shared" si="0"/>
        <v>2019/08</v>
      </c>
      <c r="J47" t="str" cm="1">
        <f t="array" ref="J47">_FV(C47,"Tipo de instrumento",TRUE)</f>
        <v>Fundos mais negociados</v>
      </c>
      <c r="K47" t="str" cm="1">
        <f t="array" ref="K47">_FV(TBProventos[[#This Row],[Ativo]],"Símbolo do ticker",TRUE)</f>
        <v>KNRI11</v>
      </c>
    </row>
    <row r="48" spans="2:11" x14ac:dyDescent="0.25">
      <c r="B48">
        <v>13</v>
      </c>
      <c r="C48" t="e" vm="2">
        <v>#VALUE!</v>
      </c>
      <c r="D48">
        <v>100</v>
      </c>
      <c r="E48" s="4">
        <v>166</v>
      </c>
      <c r="F48" s="4">
        <v>0</v>
      </c>
      <c r="G48" s="4">
        <v>166</v>
      </c>
      <c r="H48" s="3">
        <v>43723</v>
      </c>
      <c r="I48" t="str">
        <f t="shared" si="0"/>
        <v>2019/09</v>
      </c>
      <c r="J48" t="str" cm="1">
        <f t="array" ref="J48">_FV(C48,"Tipo de instrumento",TRUE)</f>
        <v>Ações</v>
      </c>
      <c r="K48" t="str" cm="1">
        <f t="array" ref="K48">_FV(TBProventos[[#This Row],[Ativo]],"Símbolo do ticker",TRUE)</f>
        <v>CSNA3</v>
      </c>
    </row>
    <row r="49" spans="2:11" x14ac:dyDescent="0.25">
      <c r="B49">
        <v>14</v>
      </c>
      <c r="C49" t="e" vm="7">
        <v>#VALUE!</v>
      </c>
      <c r="D49">
        <v>100</v>
      </c>
      <c r="E49" s="4">
        <v>37.44</v>
      </c>
      <c r="F49" s="4">
        <v>0</v>
      </c>
      <c r="G49" s="4">
        <v>37.44</v>
      </c>
      <c r="H49" s="3">
        <v>43725</v>
      </c>
      <c r="I49" t="str">
        <f t="shared" si="0"/>
        <v>2019/09</v>
      </c>
      <c r="J49" t="str" cm="1">
        <f t="array" ref="J49">_FV(C49,"Tipo de instrumento",TRUE)</f>
        <v>Fundos mais negociados</v>
      </c>
      <c r="K49" t="str" cm="1">
        <f t="array" ref="K49">_FV(TBProventos[[#This Row],[Ativo]],"Símbolo do ticker",TRUE)</f>
        <v>HGBS11</v>
      </c>
    </row>
    <row r="50" spans="2:11" x14ac:dyDescent="0.25">
      <c r="B50">
        <v>14</v>
      </c>
      <c r="C50" t="e" vm="4">
        <v>#VALUE!</v>
      </c>
      <c r="D50">
        <v>100</v>
      </c>
      <c r="E50" s="4">
        <v>52.02</v>
      </c>
      <c r="F50" s="4">
        <v>0</v>
      </c>
      <c r="G50" s="4">
        <v>52.02</v>
      </c>
      <c r="H50" s="3">
        <v>43725</v>
      </c>
      <c r="I50" t="str">
        <f t="shared" si="0"/>
        <v>2019/09</v>
      </c>
      <c r="J50" t="str" cm="1">
        <f t="array" ref="J50">_FV(C50,"Tipo de instrumento",TRUE)</f>
        <v>Fundos mais negociados</v>
      </c>
      <c r="K50" t="str" cm="1">
        <f t="array" ref="K50">_FV(TBProventos[[#This Row],[Ativo]],"Símbolo do ticker",TRUE)</f>
        <v>HGLG11</v>
      </c>
    </row>
    <row r="51" spans="2:11" x14ac:dyDescent="0.25">
      <c r="B51">
        <v>14</v>
      </c>
      <c r="C51" t="e" vm="5">
        <v>#VALUE!</v>
      </c>
      <c r="D51">
        <v>100</v>
      </c>
      <c r="E51" s="4">
        <v>42.14</v>
      </c>
      <c r="F51" s="4">
        <v>0</v>
      </c>
      <c r="G51" s="4">
        <v>42.14</v>
      </c>
      <c r="H51" s="3">
        <v>43725</v>
      </c>
      <c r="I51" t="str">
        <f t="shared" si="0"/>
        <v>2019/09</v>
      </c>
      <c r="J51" t="str" cm="1">
        <f t="array" ref="J51">_FV(C51,"Tipo de instrumento",TRUE)</f>
        <v>Fundos mais negociados</v>
      </c>
      <c r="K51" t="str" cm="1">
        <f t="array" ref="K51">_FV(TBProventos[[#This Row],[Ativo]],"Símbolo do ticker",TRUE)</f>
        <v>HGRE11</v>
      </c>
    </row>
    <row r="52" spans="2:11" x14ac:dyDescent="0.25">
      <c r="B52">
        <v>14</v>
      </c>
      <c r="C52" t="e" vm="8">
        <v>#VALUE!</v>
      </c>
      <c r="D52">
        <v>100</v>
      </c>
      <c r="E52" s="4">
        <v>177.12</v>
      </c>
      <c r="F52" s="4">
        <v>0</v>
      </c>
      <c r="G52" s="4">
        <v>177.12</v>
      </c>
      <c r="H52" s="3">
        <v>43725</v>
      </c>
      <c r="I52" t="str">
        <f t="shared" si="0"/>
        <v>2019/09</v>
      </c>
      <c r="J52" t="str" cm="1">
        <f t="array" ref="J52">_FV(C52,"Tipo de instrumento",TRUE)</f>
        <v>Fundos mais negociados</v>
      </c>
      <c r="K52" t="str" cm="1">
        <f t="array" ref="K52">_FV(TBProventos[[#This Row],[Ativo]],"Símbolo do ticker",TRUE)</f>
        <v>KNRI11</v>
      </c>
    </row>
    <row r="53" spans="2:11" x14ac:dyDescent="0.25">
      <c r="B53">
        <v>13</v>
      </c>
      <c r="C53" t="e" vm="1">
        <v>#VALUE!</v>
      </c>
      <c r="D53">
        <v>100</v>
      </c>
      <c r="E53" s="4">
        <v>162.75</v>
      </c>
      <c r="F53" s="4">
        <v>0</v>
      </c>
      <c r="G53" s="4">
        <v>162.75</v>
      </c>
      <c r="H53" s="3">
        <v>43753</v>
      </c>
      <c r="I53" t="str">
        <f t="shared" si="0"/>
        <v>2019/10</v>
      </c>
      <c r="J53" t="str" cm="1">
        <f t="array" ref="J53">_FV(C53,"Tipo de instrumento",TRUE)</f>
        <v>Ações</v>
      </c>
      <c r="K53" t="str" cm="1">
        <f t="array" ref="K53">_FV(TBProventos[[#This Row],[Ativo]],"Símbolo do ticker",TRUE)</f>
        <v>ITSA4</v>
      </c>
    </row>
    <row r="54" spans="2:11" x14ac:dyDescent="0.25">
      <c r="B54">
        <v>14</v>
      </c>
      <c r="C54" t="e" vm="7">
        <v>#VALUE!</v>
      </c>
      <c r="D54">
        <v>100</v>
      </c>
      <c r="E54" s="4">
        <v>61</v>
      </c>
      <c r="F54" s="4">
        <v>0</v>
      </c>
      <c r="G54" s="4">
        <v>61</v>
      </c>
      <c r="H54" s="3">
        <v>43755</v>
      </c>
      <c r="I54" t="str">
        <f t="shared" si="0"/>
        <v>2019/10</v>
      </c>
      <c r="J54" t="str" cm="1">
        <f t="array" ref="J54">_FV(C54,"Tipo de instrumento",TRUE)</f>
        <v>Fundos mais negociados</v>
      </c>
      <c r="K54" t="str" cm="1">
        <f t="array" ref="K54">_FV(TBProventos[[#This Row],[Ativo]],"Símbolo do ticker",TRUE)</f>
        <v>HGBS11</v>
      </c>
    </row>
    <row r="55" spans="2:11" x14ac:dyDescent="0.25">
      <c r="B55">
        <v>14</v>
      </c>
      <c r="C55" t="e" vm="4">
        <v>#VALUE!</v>
      </c>
      <c r="D55">
        <v>100</v>
      </c>
      <c r="E55" s="4">
        <v>180.6</v>
      </c>
      <c r="F55" s="4">
        <v>0</v>
      </c>
      <c r="G55" s="4">
        <v>180.6</v>
      </c>
      <c r="H55" s="3">
        <v>43755</v>
      </c>
      <c r="I55" t="str">
        <f t="shared" si="0"/>
        <v>2019/10</v>
      </c>
      <c r="J55" t="str" cm="1">
        <f t="array" ref="J55">_FV(C55,"Tipo de instrumento",TRUE)</f>
        <v>Fundos mais negociados</v>
      </c>
      <c r="K55" t="str" cm="1">
        <f t="array" ref="K55">_FV(TBProventos[[#This Row],[Ativo]],"Símbolo do ticker",TRUE)</f>
        <v>HGLG11</v>
      </c>
    </row>
    <row r="56" spans="2:11" x14ac:dyDescent="0.25">
      <c r="B56">
        <v>14</v>
      </c>
      <c r="C56" t="e" vm="5">
        <v>#VALUE!</v>
      </c>
      <c r="D56">
        <v>100</v>
      </c>
      <c r="E56" s="4">
        <v>38.4</v>
      </c>
      <c r="F56" s="4">
        <v>0</v>
      </c>
      <c r="G56" s="4">
        <v>38.4</v>
      </c>
      <c r="H56" s="3">
        <v>43755</v>
      </c>
      <c r="I56" t="str">
        <f t="shared" si="0"/>
        <v>2019/10</v>
      </c>
      <c r="J56" t="str" cm="1">
        <f t="array" ref="J56">_FV(C56,"Tipo de instrumento",TRUE)</f>
        <v>Fundos mais negociados</v>
      </c>
      <c r="K56" t="str" cm="1">
        <f t="array" ref="K56">_FV(TBProventos[[#This Row],[Ativo]],"Símbolo do ticker",TRUE)</f>
        <v>HGRE11</v>
      </c>
    </row>
    <row r="57" spans="2:11" x14ac:dyDescent="0.25">
      <c r="B57">
        <v>14</v>
      </c>
      <c r="C57" t="e" vm="8">
        <v>#VALUE!</v>
      </c>
      <c r="D57">
        <v>100</v>
      </c>
      <c r="E57" s="4">
        <v>153.18</v>
      </c>
      <c r="F57" s="4">
        <v>0</v>
      </c>
      <c r="G57" s="4">
        <v>153.18</v>
      </c>
      <c r="H57" s="3">
        <v>43755</v>
      </c>
      <c r="I57" t="str">
        <f t="shared" si="0"/>
        <v>2019/10</v>
      </c>
      <c r="J57" t="str" cm="1">
        <f t="array" ref="J57">_FV(C57,"Tipo de instrumento",TRUE)</f>
        <v>Fundos mais negociados</v>
      </c>
      <c r="K57" t="str" cm="1">
        <f t="array" ref="K57">_FV(TBProventos[[#This Row],[Ativo]],"Símbolo do ticker",TRUE)</f>
        <v>KNRI11</v>
      </c>
    </row>
    <row r="58" spans="2:11" x14ac:dyDescent="0.25">
      <c r="B58">
        <v>13</v>
      </c>
      <c r="C58" t="e" vm="9">
        <v>#VALUE!</v>
      </c>
      <c r="D58">
        <v>100</v>
      </c>
      <c r="E58" s="4">
        <v>156.13999999999999</v>
      </c>
      <c r="F58" s="4">
        <v>0</v>
      </c>
      <c r="G58" s="4">
        <v>156.13999999999999</v>
      </c>
      <c r="H58" s="3">
        <v>43753</v>
      </c>
      <c r="I58" t="str">
        <f t="shared" si="0"/>
        <v>2019/10</v>
      </c>
      <c r="J58" t="str" cm="1">
        <f t="array" ref="J58">_FV(C58,"Tipo de instrumento",TRUE)</f>
        <v>Ações</v>
      </c>
      <c r="K58" t="str" cm="1">
        <f t="array" ref="K58">_FV(TBProventos[[#This Row],[Ativo]],"Símbolo do ticker",TRUE)</f>
        <v>TAEE4</v>
      </c>
    </row>
    <row r="59" spans="2:11" x14ac:dyDescent="0.25">
      <c r="B59">
        <v>14</v>
      </c>
      <c r="C59" t="e" vm="7">
        <v>#VALUE!</v>
      </c>
      <c r="D59">
        <v>100</v>
      </c>
      <c r="E59" s="4">
        <v>61</v>
      </c>
      <c r="F59" s="4">
        <v>0</v>
      </c>
      <c r="G59" s="4">
        <v>61</v>
      </c>
      <c r="H59" s="3">
        <v>43755</v>
      </c>
      <c r="I59" t="str">
        <f t="shared" si="0"/>
        <v>2019/10</v>
      </c>
      <c r="J59" t="str" cm="1">
        <f t="array" ref="J59">_FV(C59,"Tipo de instrumento",TRUE)</f>
        <v>Fundos mais negociados</v>
      </c>
      <c r="K59" t="str" cm="1">
        <f t="array" ref="K59">_FV(TBProventos[[#This Row],[Ativo]],"Símbolo do ticker",TRUE)</f>
        <v>HGBS11</v>
      </c>
    </row>
    <row r="60" spans="2:11" x14ac:dyDescent="0.25">
      <c r="B60">
        <v>14</v>
      </c>
      <c r="C60" t="e" vm="4">
        <v>#VALUE!</v>
      </c>
      <c r="D60">
        <v>100</v>
      </c>
      <c r="E60" s="4">
        <v>99</v>
      </c>
      <c r="F60" s="4">
        <v>0</v>
      </c>
      <c r="G60" s="4">
        <v>99</v>
      </c>
      <c r="H60" s="3">
        <v>43755</v>
      </c>
      <c r="I60" t="str">
        <f t="shared" si="0"/>
        <v>2019/10</v>
      </c>
      <c r="J60" t="str" cm="1">
        <f t="array" ref="J60">_FV(C60,"Tipo de instrumento",TRUE)</f>
        <v>Fundos mais negociados</v>
      </c>
      <c r="K60" t="str" cm="1">
        <f t="array" ref="K60">_FV(TBProventos[[#This Row],[Ativo]],"Símbolo do ticker",TRUE)</f>
        <v>HGLG11</v>
      </c>
    </row>
    <row r="61" spans="2:11" x14ac:dyDescent="0.25">
      <c r="B61">
        <v>14</v>
      </c>
      <c r="C61" t="e" vm="5">
        <v>#VALUE!</v>
      </c>
      <c r="D61">
        <v>100</v>
      </c>
      <c r="E61" s="4">
        <v>99.9</v>
      </c>
      <c r="F61" s="4">
        <v>0</v>
      </c>
      <c r="G61" s="4">
        <v>99.9</v>
      </c>
      <c r="H61" s="3">
        <v>43755</v>
      </c>
      <c r="I61" t="str">
        <f t="shared" si="0"/>
        <v>2019/10</v>
      </c>
      <c r="J61" t="str" cm="1">
        <f t="array" ref="J61">_FV(C61,"Tipo de instrumento",TRUE)</f>
        <v>Fundos mais negociados</v>
      </c>
      <c r="K61" t="str" cm="1">
        <f t="array" ref="K61">_FV(TBProventos[[#This Row],[Ativo]],"Símbolo do ticker",TRUE)</f>
        <v>HGRE11</v>
      </c>
    </row>
    <row r="62" spans="2:11" x14ac:dyDescent="0.25">
      <c r="B62">
        <v>14</v>
      </c>
      <c r="C62" t="e" vm="8">
        <v>#VALUE!</v>
      </c>
      <c r="D62">
        <v>100</v>
      </c>
      <c r="E62" s="4">
        <v>98.42</v>
      </c>
      <c r="F62" s="4">
        <v>0</v>
      </c>
      <c r="G62" s="4">
        <v>98.42</v>
      </c>
      <c r="H62" s="3">
        <v>43755</v>
      </c>
      <c r="I62" t="str">
        <f t="shared" si="0"/>
        <v>2019/10</v>
      </c>
      <c r="J62" t="str" cm="1">
        <f t="array" ref="J62">_FV(C62,"Tipo de instrumento",TRUE)</f>
        <v>Fundos mais negociados</v>
      </c>
      <c r="K62" t="str" cm="1">
        <f t="array" ref="K62">_FV(TBProventos[[#This Row],[Ativo]],"Símbolo do ticker",TRUE)</f>
        <v>KNRI11</v>
      </c>
    </row>
    <row r="63" spans="2:11" x14ac:dyDescent="0.25">
      <c r="B63">
        <v>13</v>
      </c>
      <c r="C63" t="e" vm="1">
        <v>#VALUE!</v>
      </c>
      <c r="D63">
        <v>100</v>
      </c>
      <c r="E63" s="4">
        <v>166</v>
      </c>
      <c r="F63" s="4">
        <v>0</v>
      </c>
      <c r="G63" s="4">
        <v>166</v>
      </c>
      <c r="H63" s="3">
        <v>43753</v>
      </c>
      <c r="I63" t="str">
        <f t="shared" si="0"/>
        <v>2019/10</v>
      </c>
      <c r="J63" t="str" cm="1">
        <f t="array" ref="J63">_FV(C63,"Tipo de instrumento",TRUE)</f>
        <v>Ações</v>
      </c>
      <c r="K63" t="str" cm="1">
        <f t="array" ref="K63">_FV(TBProventos[[#This Row],[Ativo]],"Símbolo do ticker",TRUE)</f>
        <v>ITSA4</v>
      </c>
    </row>
    <row r="64" spans="2:11" x14ac:dyDescent="0.25">
      <c r="B64">
        <v>14</v>
      </c>
      <c r="C64" t="e" vm="7">
        <v>#VALUE!</v>
      </c>
      <c r="D64">
        <v>100</v>
      </c>
      <c r="E64" s="4">
        <v>37.44</v>
      </c>
      <c r="F64" s="4">
        <v>0</v>
      </c>
      <c r="G64" s="4">
        <v>37.44</v>
      </c>
      <c r="H64" s="3">
        <v>43755</v>
      </c>
      <c r="I64" t="str">
        <f t="shared" si="0"/>
        <v>2019/10</v>
      </c>
      <c r="J64" t="str" cm="1">
        <f t="array" ref="J64">_FV(C64,"Tipo de instrumento",TRUE)</f>
        <v>Fundos mais negociados</v>
      </c>
      <c r="K64" t="str" cm="1">
        <f t="array" ref="K64">_FV(TBProventos[[#This Row],[Ativo]],"Símbolo do ticker",TRUE)</f>
        <v>HGBS11</v>
      </c>
    </row>
    <row r="65" spans="2:11" x14ac:dyDescent="0.25">
      <c r="B65">
        <v>14</v>
      </c>
      <c r="C65" t="e" vm="4">
        <v>#VALUE!</v>
      </c>
      <c r="D65">
        <v>100</v>
      </c>
      <c r="E65" s="4">
        <v>52.02</v>
      </c>
      <c r="F65" s="4">
        <v>0</v>
      </c>
      <c r="G65" s="4">
        <v>52.02</v>
      </c>
      <c r="H65" s="3">
        <v>43755</v>
      </c>
      <c r="I65" t="str">
        <f t="shared" si="0"/>
        <v>2019/10</v>
      </c>
      <c r="J65" t="str" cm="1">
        <f t="array" ref="J65">_FV(C65,"Tipo de instrumento",TRUE)</f>
        <v>Fundos mais negociados</v>
      </c>
      <c r="K65" t="str" cm="1">
        <f t="array" ref="K65">_FV(TBProventos[[#This Row],[Ativo]],"Símbolo do ticker",TRUE)</f>
        <v>HGLG11</v>
      </c>
    </row>
    <row r="66" spans="2:11" x14ac:dyDescent="0.25">
      <c r="B66">
        <v>14</v>
      </c>
      <c r="C66" t="e" vm="5">
        <v>#VALUE!</v>
      </c>
      <c r="D66">
        <v>100</v>
      </c>
      <c r="E66" s="4">
        <v>42.14</v>
      </c>
      <c r="F66" s="4">
        <v>0</v>
      </c>
      <c r="G66" s="4">
        <v>42.14</v>
      </c>
      <c r="H66" s="3">
        <v>43755</v>
      </c>
      <c r="I66" t="str">
        <f t="shared" si="0"/>
        <v>2019/10</v>
      </c>
      <c r="J66" t="str" cm="1">
        <f t="array" ref="J66">_FV(C66,"Tipo de instrumento",TRUE)</f>
        <v>Fundos mais negociados</v>
      </c>
      <c r="K66" t="str" cm="1">
        <f t="array" ref="K66">_FV(TBProventos[[#This Row],[Ativo]],"Símbolo do ticker",TRUE)</f>
        <v>HGRE11</v>
      </c>
    </row>
    <row r="67" spans="2:11" x14ac:dyDescent="0.25">
      <c r="B67">
        <v>14</v>
      </c>
      <c r="C67" t="e" vm="8">
        <v>#VALUE!</v>
      </c>
      <c r="D67">
        <v>100</v>
      </c>
      <c r="E67" s="4">
        <v>177.12</v>
      </c>
      <c r="F67" s="4">
        <v>0</v>
      </c>
      <c r="G67" s="4">
        <v>177.12</v>
      </c>
      <c r="H67" s="3">
        <v>43755</v>
      </c>
      <c r="I67" t="str">
        <f t="shared" ref="I67:I72" si="1">CONCATENATE(YEAR(H:H),"/",IF(MONTH(H:H)&lt;10,"0"&amp;MONTH(H:H),MONTH(H:H)))</f>
        <v>2019/10</v>
      </c>
      <c r="J67" t="str" cm="1">
        <f t="array" ref="J67">_FV(C67,"Tipo de instrumento",TRUE)</f>
        <v>Fundos mais negociados</v>
      </c>
      <c r="K67" t="str" cm="1">
        <f t="array" ref="K67">_FV(TBProventos[[#This Row],[Ativo]],"Símbolo do ticker",TRUE)</f>
        <v>KNRI11</v>
      </c>
    </row>
    <row r="68" spans="2:11" x14ac:dyDescent="0.25">
      <c r="B68">
        <v>14</v>
      </c>
      <c r="C68" t="e" vm="9">
        <v>#VALUE!</v>
      </c>
      <c r="D68">
        <v>100</v>
      </c>
      <c r="E68" s="4">
        <v>162.75</v>
      </c>
      <c r="F68" s="4">
        <v>0</v>
      </c>
      <c r="G68" s="4">
        <v>162.75</v>
      </c>
      <c r="H68" s="3">
        <v>43845</v>
      </c>
      <c r="I68" t="str">
        <f t="shared" si="1"/>
        <v>2020/01</v>
      </c>
      <c r="J68" t="str" cm="1">
        <f t="array" ref="J68">_FV(C68,"Tipo de instrumento",TRUE)</f>
        <v>Ações</v>
      </c>
      <c r="K68" t="str" cm="1">
        <f t="array" ref="K68">_FV(TBProventos[[#This Row],[Ativo]],"Símbolo do ticker",TRUE)</f>
        <v>TAEE4</v>
      </c>
    </row>
    <row r="69" spans="2:11" x14ac:dyDescent="0.25">
      <c r="B69">
        <v>14</v>
      </c>
      <c r="C69" t="e" vm="7">
        <v>#VALUE!</v>
      </c>
      <c r="D69">
        <v>100</v>
      </c>
      <c r="E69" s="4">
        <v>61</v>
      </c>
      <c r="F69" s="4">
        <v>0</v>
      </c>
      <c r="G69" s="4">
        <v>61</v>
      </c>
      <c r="H69" s="3">
        <v>43847</v>
      </c>
      <c r="I69" t="str">
        <f t="shared" si="1"/>
        <v>2020/01</v>
      </c>
      <c r="J69" t="str" cm="1">
        <f t="array" ref="J69">_FV(C69,"Tipo de instrumento",TRUE)</f>
        <v>Fundos mais negociados</v>
      </c>
      <c r="K69" t="str" cm="1">
        <f t="array" ref="K69">_FV(TBProventos[[#This Row],[Ativo]],"Símbolo do ticker",TRUE)</f>
        <v>HGBS11</v>
      </c>
    </row>
    <row r="70" spans="2:11" x14ac:dyDescent="0.25">
      <c r="B70">
        <v>14</v>
      </c>
      <c r="C70" t="e" vm="4">
        <v>#VALUE!</v>
      </c>
      <c r="D70">
        <v>100</v>
      </c>
      <c r="E70" s="4">
        <v>180.6</v>
      </c>
      <c r="F70" s="4">
        <v>0</v>
      </c>
      <c r="G70" s="4">
        <v>180.6</v>
      </c>
      <c r="H70" s="3">
        <v>43847</v>
      </c>
      <c r="I70" t="str">
        <f t="shared" si="1"/>
        <v>2020/01</v>
      </c>
      <c r="J70" t="str" cm="1">
        <f t="array" ref="J70">_FV(C70,"Tipo de instrumento",TRUE)</f>
        <v>Fundos mais negociados</v>
      </c>
      <c r="K70" t="str" cm="1">
        <f t="array" ref="K70">_FV(TBProventos[[#This Row],[Ativo]],"Símbolo do ticker",TRUE)</f>
        <v>HGLG11</v>
      </c>
    </row>
    <row r="71" spans="2:11" x14ac:dyDescent="0.25">
      <c r="B71">
        <v>14</v>
      </c>
      <c r="C71" t="e" vm="5">
        <v>#VALUE!</v>
      </c>
      <c r="D71">
        <v>100</v>
      </c>
      <c r="E71" s="4">
        <v>38.4</v>
      </c>
      <c r="F71" s="4">
        <v>0</v>
      </c>
      <c r="G71" s="4">
        <v>38.4</v>
      </c>
      <c r="H71" s="3">
        <v>43847</v>
      </c>
      <c r="I71" t="str">
        <f t="shared" si="1"/>
        <v>2020/01</v>
      </c>
      <c r="J71" t="str" cm="1">
        <f t="array" ref="J71">_FV(C71,"Tipo de instrumento",TRUE)</f>
        <v>Fundos mais negociados</v>
      </c>
      <c r="K71" t="str" cm="1">
        <f t="array" ref="K71">_FV(TBProventos[[#This Row],[Ativo]],"Símbolo do ticker",TRUE)</f>
        <v>HGRE11</v>
      </c>
    </row>
    <row r="72" spans="2:11" x14ac:dyDescent="0.25">
      <c r="B72">
        <v>14</v>
      </c>
      <c r="C72" t="e" vm="8">
        <v>#VALUE!</v>
      </c>
      <c r="D72">
        <v>100</v>
      </c>
      <c r="E72" s="4">
        <v>153.18</v>
      </c>
      <c r="F72" s="4">
        <v>0</v>
      </c>
      <c r="G72" s="4">
        <v>153.18</v>
      </c>
      <c r="H72" s="3">
        <v>43847</v>
      </c>
      <c r="I72" t="str">
        <f t="shared" si="1"/>
        <v>2020/01</v>
      </c>
      <c r="J72" t="str" cm="1">
        <f t="array" ref="J72">_FV(C72,"Tipo de instrumento",TRUE)</f>
        <v>Fundos mais negociados</v>
      </c>
      <c r="K72" t="str" cm="1">
        <f t="array" ref="K72">_FV(TBProventos[[#This Row],[Ativo]],"Símbolo do ticker",TRUE)</f>
        <v>KNRI11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20DD-FDD7-460C-8DB9-697FC4EE9844}">
  <dimension ref="B1:N11"/>
  <sheetViews>
    <sheetView workbookViewId="0">
      <selection activeCell="C4" sqref="C4"/>
    </sheetView>
  </sheetViews>
  <sheetFormatPr defaultRowHeight="15" x14ac:dyDescent="0.25"/>
  <cols>
    <col min="4" max="4" width="10.5703125" customWidth="1"/>
    <col min="5" max="5" width="16" style="2" customWidth="1"/>
    <col min="6" max="6" width="11" customWidth="1"/>
    <col min="7" max="7" width="14.5703125" style="2" bestFit="1" customWidth="1"/>
    <col min="8" max="8" width="14" style="2" bestFit="1" customWidth="1"/>
    <col min="9" max="9" width="13.28515625" style="2" customWidth="1"/>
    <col min="10" max="10" width="15.28515625" style="11" customWidth="1"/>
    <col min="14" max="14" width="10.42578125" bestFit="1" customWidth="1"/>
  </cols>
  <sheetData>
    <row r="1" spans="2:14" x14ac:dyDescent="0.25">
      <c r="B1" t="s">
        <v>0</v>
      </c>
      <c r="C1" t="s">
        <v>1</v>
      </c>
      <c r="D1" t="s">
        <v>47</v>
      </c>
      <c r="E1" s="2" t="s">
        <v>58</v>
      </c>
      <c r="F1" t="s">
        <v>59</v>
      </c>
      <c r="G1" s="2" t="s">
        <v>65</v>
      </c>
      <c r="H1" s="2" t="s">
        <v>60</v>
      </c>
      <c r="I1" s="2" t="s">
        <v>61</v>
      </c>
      <c r="J1" s="11" t="s">
        <v>62</v>
      </c>
      <c r="L1" s="28" t="s">
        <v>63</v>
      </c>
      <c r="M1" s="28"/>
      <c r="N1" s="13">
        <v>43881</v>
      </c>
    </row>
    <row r="2" spans="2:14" x14ac:dyDescent="0.25">
      <c r="B2" s="9" t="s">
        <v>48</v>
      </c>
      <c r="C2" t="str">
        <f>VLOOKUP(TBRCarteira[[#This Row],[Ativo]],TBAtivos[],2,FALSE)</f>
        <v>EMPRESA</v>
      </c>
      <c r="D2">
        <f>VLOOKUP(TBRCarteira[[#This Row],[Ativo]],TBAtivos[],3,FALSE)</f>
        <v>14.44</v>
      </c>
      <c r="E2" s="30">
        <f ca="1">SUMIFS(TBAportes[Total],TBAportes[Símbolo do ticker],TBRCarteira[[#This Row],[Ativo]],TBAportes[Data],"&lt;="&amp;IF($N$1="",TODAY(),$N$1))</f>
        <v>4323</v>
      </c>
      <c r="F2">
        <f ca="1">SUMIFS(TBAportes[Quantidade],TBAportes[Símbolo do ticker],TBRCarteira[[#This Row],[Ativo]],TBAportes[Data],"&lt;="&amp;IF($N$1="",TODAY(),$N$1))</f>
        <v>300</v>
      </c>
      <c r="G2" s="30">
        <f ca="1">IF(TBRCarteira[[#This Row],[Total qte]]=0,0,TBRCarteira[[#This Row],[Total aportado]]/TBRCarteira[[#This Row],[Total qte]])</f>
        <v>14.41</v>
      </c>
      <c r="H2" s="30">
        <f ca="1">TBRCarteira[[#This Row],[Total qte]]*TBRCarteira[[#This Row],[Cotação]]</f>
        <v>4332</v>
      </c>
      <c r="I2" s="2">
        <f ca="1">TBRCarteira[[#This Row],[Total atual]]-TBRCarteira[[#This Row],[Total aportado]]</f>
        <v>9</v>
      </c>
      <c r="J2" s="11">
        <f ca="1">(TBRCarteira[[#This Row],[Total atual]]-TBRCarteira[[#This Row],[Total aportado]])/TBRCarteira[[#This Row],[Total aportado]]</f>
        <v>2.0818875780707841E-3</v>
      </c>
    </row>
    <row r="3" spans="2:14" x14ac:dyDescent="0.25">
      <c r="B3" t="s">
        <v>50</v>
      </c>
      <c r="C3" t="str">
        <f>VLOOKUP(TBRCarteira[[#This Row],[Ativo]],TBAtivos[],2,FALSE)</f>
        <v>EMPRESA</v>
      </c>
      <c r="D3">
        <f>VLOOKUP(TBRCarteira[[#This Row],[Ativo]],TBAtivos[],3,FALSE)</f>
        <v>14.69</v>
      </c>
      <c r="E3" s="30">
        <f ca="1">SUMIFS(TBAportes[Total],TBAportes[Símbolo do ticker],TBRCarteira[[#This Row],[Ativo]],TBAportes[Data],"&lt;="&amp;IF($N$1="",TODAY(),$N$1))</f>
        <v>2918</v>
      </c>
      <c r="F3">
        <f ca="1">SUMIFS(TBAportes[Quantidade],TBAportes[Símbolo do ticker],TBRCarteira[[#This Row],[Ativo]],TBAportes[Data],"&lt;="&amp;IF($N$1="",TODAY(),$N$1))</f>
        <v>200</v>
      </c>
      <c r="G3" s="30">
        <f ca="1">IF(TBRCarteira[[#This Row],[Total qte]]=0,0,TBRCarteira[[#This Row],[Total aportado]]/TBRCarteira[[#This Row],[Total qte]])</f>
        <v>14.59</v>
      </c>
      <c r="H3" s="30">
        <f ca="1">TBRCarteira[[#This Row],[Total qte]]*TBRCarteira[[#This Row],[Cotação]]</f>
        <v>2938</v>
      </c>
      <c r="I3" s="2">
        <f ca="1">TBRCarteira[[#This Row],[Total atual]]-TBRCarteira[[#This Row],[Total aportado]]</f>
        <v>20</v>
      </c>
      <c r="J3" s="11">
        <f ca="1">(TBRCarteira[[#This Row],[Total atual]]-TBRCarteira[[#This Row],[Total aportado]])/TBRCarteira[[#This Row],[Total aportado]]</f>
        <v>6.8540095956134339E-3</v>
      </c>
    </row>
    <row r="4" spans="2:14" x14ac:dyDescent="0.25">
      <c r="B4" s="9" t="s">
        <v>51</v>
      </c>
      <c r="C4" t="str">
        <f>VLOOKUP(TBRCarteira[[#This Row],[Ativo]],TBAtivos[],2,FALSE)</f>
        <v>EMPRESA</v>
      </c>
      <c r="D4">
        <f>VLOOKUP(TBRCarteira[[#This Row],[Ativo]],TBAtivos[],3,FALSE)</f>
        <v>9.57</v>
      </c>
      <c r="E4" s="30">
        <f ca="1">SUMIFS(TBAportes[Total],TBAportes[Símbolo do ticker],TBRCarteira[[#This Row],[Ativo]],TBAportes[Data],"&lt;="&amp;IF($N$1="",TODAY(),$N$1))</f>
        <v>2898</v>
      </c>
      <c r="F4">
        <f ca="1">SUMIFS(TBAportes[Quantidade],TBAportes[Símbolo do ticker],TBRCarteira[[#This Row],[Ativo]],TBAportes[Data],"&lt;="&amp;IF($N$1="",TODAY(),$N$1))</f>
        <v>300</v>
      </c>
      <c r="G4" s="30">
        <f ca="1">IF(TBRCarteira[[#This Row],[Total qte]]=0,0,TBRCarteira[[#This Row],[Total aportado]]/TBRCarteira[[#This Row],[Total qte]])</f>
        <v>9.66</v>
      </c>
      <c r="H4" s="30">
        <f ca="1">TBRCarteira[[#This Row],[Total qte]]*TBRCarteira[[#This Row],[Cotação]]</f>
        <v>2871</v>
      </c>
      <c r="I4" s="2">
        <f ca="1">TBRCarteira[[#This Row],[Total atual]]-TBRCarteira[[#This Row],[Total aportado]]</f>
        <v>-27</v>
      </c>
      <c r="J4" s="11">
        <f ca="1">(TBRCarteira[[#This Row],[Total atual]]-TBRCarteira[[#This Row],[Total aportado]])/TBRCarteira[[#This Row],[Total aportado]]</f>
        <v>-9.316770186335404E-3</v>
      </c>
    </row>
    <row r="5" spans="2:14" x14ac:dyDescent="0.25">
      <c r="B5" t="s">
        <v>52</v>
      </c>
      <c r="C5" t="str">
        <f>VLOOKUP(TBRCarteira[[#This Row],[Ativo]],TBAtivos[],2,FALSE)</f>
        <v>EMPRESA</v>
      </c>
      <c r="D5">
        <f>VLOOKUP(TBRCarteira[[#This Row],[Ativo]],TBAtivos[],3,FALSE)</f>
        <v>41.27</v>
      </c>
      <c r="E5" s="30">
        <f ca="1">SUMIFS(TBAportes[Total],TBAportes[Símbolo do ticker],TBRCarteira[[#This Row],[Ativo]],TBAportes[Data],"&lt;="&amp;IF($N$1="",TODAY(),$N$1))</f>
        <v>16568</v>
      </c>
      <c r="F5">
        <f ca="1">SUMIFS(TBAportes[Quantidade],TBAportes[Símbolo do ticker],TBRCarteira[[#This Row],[Ativo]],TBAportes[Data],"&lt;="&amp;IF($N$1="",TODAY(),$N$1))</f>
        <v>400</v>
      </c>
      <c r="G5" s="30">
        <f ca="1">IF(TBRCarteira[[#This Row],[Total qte]]=0,0,TBRCarteira[[#This Row],[Total aportado]]/TBRCarteira[[#This Row],[Total qte]])</f>
        <v>41.42</v>
      </c>
      <c r="H5" s="30">
        <f ca="1">TBRCarteira[[#This Row],[Total qte]]*TBRCarteira[[#This Row],[Cotação]]</f>
        <v>16508</v>
      </c>
      <c r="I5" s="2">
        <f ca="1">TBRCarteira[[#This Row],[Total atual]]-TBRCarteira[[#This Row],[Total aportado]]</f>
        <v>-60</v>
      </c>
      <c r="J5" s="11">
        <f ca="1">(TBRCarteira[[#This Row],[Total atual]]-TBRCarteira[[#This Row],[Total aportado]])/TBRCarteira[[#This Row],[Total aportado]]</f>
        <v>-3.6214389183969096E-3</v>
      </c>
    </row>
    <row r="6" spans="2:14" x14ac:dyDescent="0.25">
      <c r="B6" s="9" t="s">
        <v>2</v>
      </c>
      <c r="C6" t="str">
        <f>VLOOKUP(TBRCarteira[[#This Row],[Ativo]],TBAtivos[],2,FALSE)</f>
        <v>FII</v>
      </c>
      <c r="D6">
        <f>VLOOKUP(TBRCarteira[[#This Row],[Ativo]],TBAtivos[],3,FALSE)</f>
        <v>224.2</v>
      </c>
      <c r="E6" s="30">
        <f ca="1">SUMIFS(TBAportes[Total],TBAportes[Símbolo do ticker],TBRCarteira[[#This Row],[Ativo]],TBAportes[Data],"&lt;="&amp;IF($N$1="",TODAY(),$N$1))</f>
        <v>1997.19</v>
      </c>
      <c r="F6">
        <f ca="1">SUMIFS(TBAportes[Quantidade],TBAportes[Símbolo do ticker],TBRCarteira[[#This Row],[Ativo]],TBAportes[Data],"&lt;="&amp;IF($N$1="",TODAY(),$N$1))</f>
        <v>9</v>
      </c>
      <c r="G6" s="30">
        <f ca="1">IF(TBRCarteira[[#This Row],[Total qte]]=0,0,TBRCarteira[[#This Row],[Total aportado]]/TBRCarteira[[#This Row],[Total qte]])</f>
        <v>221.91</v>
      </c>
      <c r="H6" s="30">
        <f ca="1">TBRCarteira[[#This Row],[Total qte]]*TBRCarteira[[#This Row],[Cotação]]</f>
        <v>2017.8</v>
      </c>
      <c r="I6" s="2">
        <f ca="1">TBRCarteira[[#This Row],[Total atual]]-TBRCarteira[[#This Row],[Total aportado]]</f>
        <v>20.6099999999999</v>
      </c>
      <c r="J6" s="11">
        <f ca="1">(TBRCarteira[[#This Row],[Total atual]]-TBRCarteira[[#This Row],[Total aportado]])/TBRCarteira[[#This Row],[Total aportado]]</f>
        <v>1.0319498895948758E-2</v>
      </c>
    </row>
    <row r="7" spans="2:14" x14ac:dyDescent="0.25">
      <c r="B7" t="s">
        <v>54</v>
      </c>
      <c r="C7" t="str">
        <f>VLOOKUP(TBRCarteira[[#This Row],[Ativo]],TBAtivos[],2,FALSE)</f>
        <v>FII</v>
      </c>
      <c r="D7">
        <f>VLOOKUP(TBRCarteira[[#This Row],[Ativo]],TBAtivos[],3,FALSE)</f>
        <v>163.93</v>
      </c>
      <c r="E7" s="30">
        <f ca="1">SUMIFS(TBAportes[Total],TBAportes[Símbolo do ticker],TBRCarteira[[#This Row],[Ativo]],TBAportes[Data],"&lt;="&amp;IF($N$1="",TODAY(),$N$1))</f>
        <v>2776.4399999999996</v>
      </c>
      <c r="F7">
        <f ca="1">SUMIFS(TBAportes[Quantidade],TBAportes[Símbolo do ticker],TBRCarteira[[#This Row],[Ativo]],TBAportes[Data],"&lt;="&amp;IF($N$1="",TODAY(),$N$1))</f>
        <v>17</v>
      </c>
      <c r="G7" s="30">
        <f ca="1">IF(TBRCarteira[[#This Row],[Total qte]]=0,0,TBRCarteira[[#This Row],[Total aportado]]/TBRCarteira[[#This Row],[Total qte]])</f>
        <v>163.31999999999996</v>
      </c>
      <c r="H7" s="30">
        <f ca="1">TBRCarteira[[#This Row],[Total qte]]*TBRCarteira[[#This Row],[Cotação]]</f>
        <v>2786.81</v>
      </c>
      <c r="I7" s="2">
        <f ca="1">TBRCarteira[[#This Row],[Total atual]]-TBRCarteira[[#This Row],[Total aportado]]</f>
        <v>10.370000000000346</v>
      </c>
      <c r="J7" s="11">
        <f ca="1">(TBRCarteira[[#This Row],[Total atual]]-TBRCarteira[[#This Row],[Total aportado]])/TBRCarteira[[#This Row],[Total aportado]]</f>
        <v>3.7349987754103624E-3</v>
      </c>
    </row>
    <row r="8" spans="2:14" x14ac:dyDescent="0.25">
      <c r="B8" s="9" t="s">
        <v>55</v>
      </c>
      <c r="C8" t="str">
        <f>VLOOKUP(TBRCarteira[[#This Row],[Ativo]],TBAtivos[],2,FALSE)</f>
        <v>FII</v>
      </c>
      <c r="D8">
        <f>VLOOKUP(TBRCarteira[[#This Row],[Ativo]],TBAtivos[],3,FALSE)</f>
        <v>125.81</v>
      </c>
      <c r="E8" s="30">
        <f ca="1">SUMIFS(TBAportes[Total],TBAportes[Símbolo do ticker],TBRCarteira[[#This Row],[Ativo]],TBAportes[Data],"&lt;="&amp;IF($N$1="",TODAY(),$N$1))</f>
        <v>2367.21</v>
      </c>
      <c r="F8">
        <f ca="1">SUMIFS(TBAportes[Quantidade],TBAportes[Símbolo do ticker],TBRCarteira[[#This Row],[Ativo]],TBAportes[Data],"&lt;="&amp;IF($N$1="",TODAY(),$N$1))</f>
        <v>19</v>
      </c>
      <c r="G8" s="30">
        <f ca="1">IF(TBRCarteira[[#This Row],[Total qte]]=0,0,TBRCarteira[[#This Row],[Total aportado]]/TBRCarteira[[#This Row],[Total qte]])</f>
        <v>124.59</v>
      </c>
      <c r="H8" s="30">
        <f ca="1">TBRCarteira[[#This Row],[Total qte]]*TBRCarteira[[#This Row],[Cotação]]</f>
        <v>2390.39</v>
      </c>
      <c r="I8" s="2">
        <f ca="1">TBRCarteira[[#This Row],[Total atual]]-TBRCarteira[[#This Row],[Total aportado]]</f>
        <v>23.179999999999836</v>
      </c>
      <c r="J8" s="11">
        <f ca="1">(TBRCarteira[[#This Row],[Total atual]]-TBRCarteira[[#This Row],[Total aportado]])/TBRCarteira[[#This Row],[Total aportado]]</f>
        <v>9.7921181475238098E-3</v>
      </c>
    </row>
    <row r="9" spans="2:14" x14ac:dyDescent="0.25">
      <c r="B9" t="s">
        <v>56</v>
      </c>
      <c r="C9" t="str">
        <f>VLOOKUP(TBRCarteira[[#This Row],[Ativo]],TBAtivos[],2,FALSE)</f>
        <v>FII</v>
      </c>
      <c r="D9">
        <f>VLOOKUP(TBRCarteira[[#This Row],[Ativo]],TBAtivos[],3,FALSE)</f>
        <v>163.89</v>
      </c>
      <c r="E9" s="30">
        <f ca="1">SUMIFS(TBAportes[Total],TBAportes[Símbolo do ticker],TBRCarteira[[#This Row],[Ativo]],TBAportes[Data],"&lt;="&amp;IF($N$1="",TODAY(),$N$1))</f>
        <v>2928.6</v>
      </c>
      <c r="F9">
        <f ca="1">SUMIFS(TBAportes[Quantidade],TBAportes[Símbolo do ticker],TBRCarteira[[#This Row],[Ativo]],TBAportes[Data],"&lt;="&amp;IF($N$1="",TODAY(),$N$1))</f>
        <v>18</v>
      </c>
      <c r="G9" s="30">
        <f ca="1">IF(TBRCarteira[[#This Row],[Total qte]]=0,0,TBRCarteira[[#This Row],[Total aportado]]/TBRCarteira[[#This Row],[Total qte]])</f>
        <v>162.69999999999999</v>
      </c>
      <c r="H9" s="30">
        <f ca="1">TBRCarteira[[#This Row],[Total qte]]*TBRCarteira[[#This Row],[Cotação]]</f>
        <v>2950.0199999999995</v>
      </c>
      <c r="I9" s="2">
        <f ca="1">TBRCarteira[[#This Row],[Total atual]]-TBRCarteira[[#This Row],[Total aportado]]</f>
        <v>21.419999999999618</v>
      </c>
      <c r="J9" s="11">
        <f ca="1">(TBRCarteira[[#This Row],[Total atual]]-TBRCarteira[[#This Row],[Total aportado]])/TBRCarteira[[#This Row],[Total aportado]]</f>
        <v>7.3140749846341661E-3</v>
      </c>
    </row>
    <row r="10" spans="2:14" x14ac:dyDescent="0.25">
      <c r="B10" s="10" t="s">
        <v>57</v>
      </c>
      <c r="C10" t="str">
        <f>VLOOKUP(TBRCarteira[[#This Row],[Ativo]],TBAtivos[],2,FALSE)</f>
        <v>EMPRESA</v>
      </c>
      <c r="D10">
        <f>VLOOKUP(TBRCarteira[[#This Row],[Ativo]],TBAtivos[],3,FALSE)</f>
        <v>11.83</v>
      </c>
      <c r="E10" s="30">
        <f ca="1">SUMIFS(TBAportes[Total],TBAportes[Símbolo do ticker],TBRCarteira[[#This Row],[Ativo]],TBAportes[Data],"&lt;="&amp;IF($N$1="",TODAY(),$N$1))</f>
        <v>2384</v>
      </c>
      <c r="F10">
        <f ca="1">SUMIFS(TBAportes[Quantidade],TBAportes[Símbolo do ticker],TBRCarteira[[#This Row],[Ativo]],TBAportes[Data],"&lt;="&amp;IF($N$1="",TODAY(),$N$1))</f>
        <v>200</v>
      </c>
      <c r="G10" s="30">
        <f ca="1">IF(TBRCarteira[[#This Row],[Total qte]]=0,0,TBRCarteira[[#This Row],[Total aportado]]/TBRCarteira[[#This Row],[Total qte]])</f>
        <v>11.92</v>
      </c>
      <c r="H10" s="30">
        <f ca="1">TBRCarteira[[#This Row],[Total qte]]*TBRCarteira[[#This Row],[Cotação]]</f>
        <v>2366</v>
      </c>
      <c r="I10" s="2">
        <f ca="1">TBRCarteira[[#This Row],[Total atual]]-TBRCarteira[[#This Row],[Total aportado]]</f>
        <v>-18</v>
      </c>
      <c r="J10" s="12">
        <f ca="1">(TBRCarteira[[#This Row],[Total atual]]-TBRCarteira[[#This Row],[Total aportado]])/TBRCarteira[[#This Row],[Total aportado]]</f>
        <v>-7.550335570469799E-3</v>
      </c>
    </row>
    <row r="11" spans="2:14" x14ac:dyDescent="0.25">
      <c r="B11" s="9" t="s">
        <v>6</v>
      </c>
      <c r="E11" s="2">
        <f ca="1">SUBTOTAL(109,TBRCarteira[Total aportado])</f>
        <v>39160.439999999995</v>
      </c>
      <c r="G11"/>
      <c r="H11" s="2">
        <f ca="1">SUBTOTAL(109,TBRCarteira[Total atual])</f>
        <v>39160.019999999997</v>
      </c>
      <c r="I11" s="2">
        <f ca="1">SUBTOTAL(109,TBRCarteira[Valorização])</f>
        <v>-0.42000000000030013</v>
      </c>
    </row>
  </sheetData>
  <mergeCells count="1">
    <mergeCell ref="L1:M1"/>
  </mergeCells>
  <conditionalFormatting sqref="I1:I10 I12:I1048576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171A-5245-4332-9A76-F152B827C8DE}">
  <dimension ref="A1:H14"/>
  <sheetViews>
    <sheetView showGridLines="0" tabSelected="1" workbookViewId="0">
      <selection activeCell="C16" sqref="C16"/>
    </sheetView>
  </sheetViews>
  <sheetFormatPr defaultRowHeight="15" x14ac:dyDescent="0.25"/>
  <cols>
    <col min="1" max="1" width="3.28515625" customWidth="1"/>
    <col min="2" max="2" width="25.140625" bestFit="1" customWidth="1"/>
    <col min="3" max="3" width="27.28515625" customWidth="1"/>
    <col min="4" max="4" width="43.28515625" customWidth="1"/>
    <col min="5" max="5" width="24.140625" customWidth="1"/>
    <col min="6" max="6" width="17.5703125" customWidth="1"/>
    <col min="7" max="7" width="18" customWidth="1"/>
    <col min="8" max="8" width="29.5703125" customWidth="1"/>
  </cols>
  <sheetData>
    <row r="1" spans="1:8" ht="24.95" customHeight="1" thickBot="1" x14ac:dyDescent="0.4">
      <c r="A1" s="15"/>
      <c r="B1" s="15"/>
      <c r="C1" s="15"/>
      <c r="D1" s="17" t="s">
        <v>69</v>
      </c>
      <c r="E1" s="20">
        <v>15000</v>
      </c>
      <c r="F1" s="15"/>
      <c r="G1" s="17" t="s">
        <v>70</v>
      </c>
      <c r="H1" s="34">
        <f ca="1">IF(RCarteira!N1="",TODAY(),RCarteira!N1)</f>
        <v>43881</v>
      </c>
    </row>
    <row r="2" spans="1:8" x14ac:dyDescent="0.25">
      <c r="A2" s="15"/>
      <c r="B2" s="15"/>
      <c r="C2" s="15"/>
      <c r="D2" s="15"/>
      <c r="E2" s="15"/>
      <c r="F2" s="15"/>
      <c r="G2" s="15"/>
      <c r="H2" s="15"/>
    </row>
    <row r="4" spans="1:8" x14ac:dyDescent="0.25">
      <c r="B4" s="14" t="s">
        <v>66</v>
      </c>
    </row>
    <row r="5" spans="1:8" ht="30" customHeight="1" x14ac:dyDescent="0.25">
      <c r="B5" s="23">
        <f ca="1">DadosDashBoard!C13</f>
        <v>29015</v>
      </c>
    </row>
    <row r="7" spans="1:8" ht="15.75" thickBot="1" x14ac:dyDescent="0.3">
      <c r="B7" s="14" t="s">
        <v>67</v>
      </c>
    </row>
    <row r="8" spans="1:8" ht="30" customHeight="1" thickBot="1" x14ac:dyDescent="0.3">
      <c r="B8" s="24">
        <f ca="1">DadosDashBoard!C12</f>
        <v>29091</v>
      </c>
    </row>
    <row r="10" spans="1:8" ht="15.75" thickBot="1" x14ac:dyDescent="0.3">
      <c r="B10" s="14" t="s">
        <v>61</v>
      </c>
    </row>
    <row r="11" spans="1:8" ht="30" customHeight="1" thickBot="1" x14ac:dyDescent="0.3">
      <c r="B11" s="24">
        <f ca="1">DadosDashBoard!C14</f>
        <v>-76</v>
      </c>
    </row>
    <row r="13" spans="1:8" ht="15.75" thickBot="1" x14ac:dyDescent="0.3">
      <c r="B13" s="14" t="s">
        <v>62</v>
      </c>
    </row>
    <row r="14" spans="1:8" ht="30" customHeight="1" thickBot="1" x14ac:dyDescent="0.3">
      <c r="B14" s="25">
        <f ca="1">DadosDashBoard!C15</f>
        <v>-2.6124918359630126E-3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Drop Down 1">
              <controlPr defaultSize="0" autoLine="0" autoPict="0">
                <anchor moveWithCells="1">
                  <from>
                    <xdr:col>0</xdr:col>
                    <xdr:colOff>209550</xdr:colOff>
                    <xdr:row>0</xdr:row>
                    <xdr:rowOff>9525</xdr:rowOff>
                  </from>
                  <to>
                    <xdr:col>2</xdr:col>
                    <xdr:colOff>9525</xdr:colOff>
                    <xdr:row>0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513E-FE50-4D7D-BB38-2C27BB3C1E79}">
  <dimension ref="B2:L61"/>
  <sheetViews>
    <sheetView topLeftCell="A45" workbookViewId="0">
      <selection activeCell="H52" sqref="H52:I61"/>
    </sheetView>
  </sheetViews>
  <sheetFormatPr defaultRowHeight="15" x14ac:dyDescent="0.25"/>
  <cols>
    <col min="2" max="2" width="32.28515625" bestFit="1" customWidth="1"/>
    <col min="3" max="3" width="19.140625" bestFit="1" customWidth="1"/>
    <col min="4" max="4" width="13.28515625" bestFit="1" customWidth="1"/>
    <col min="6" max="6" width="14.140625" bestFit="1" customWidth="1"/>
    <col min="7" max="9" width="13.28515625" bestFit="1" customWidth="1"/>
    <col min="10" max="10" width="11.140625" bestFit="1" customWidth="1"/>
    <col min="11" max="11" width="33.28515625" bestFit="1" customWidth="1"/>
    <col min="12" max="12" width="13.28515625" bestFit="1" customWidth="1"/>
  </cols>
  <sheetData>
    <row r="2" spans="2:12" ht="15.75" x14ac:dyDescent="0.25">
      <c r="B2" s="19" t="s">
        <v>71</v>
      </c>
      <c r="C2" s="22" t="s">
        <v>78</v>
      </c>
      <c r="E2" s="22" t="s">
        <v>77</v>
      </c>
      <c r="F2" s="22"/>
      <c r="G2" s="22"/>
      <c r="H2" s="22"/>
      <c r="I2" s="22"/>
      <c r="K2" s="22" t="s">
        <v>80</v>
      </c>
      <c r="L2" s="22"/>
    </row>
    <row r="3" spans="2:12" x14ac:dyDescent="0.25">
      <c r="B3" s="15">
        <v>1</v>
      </c>
      <c r="C3" s="15" t="s">
        <v>75</v>
      </c>
      <c r="E3" s="15"/>
      <c r="F3" s="15"/>
      <c r="G3" s="15" t="s">
        <v>75</v>
      </c>
      <c r="H3" s="15" t="s">
        <v>17</v>
      </c>
      <c r="I3" s="15" t="s">
        <v>53</v>
      </c>
      <c r="K3" s="15" t="s">
        <v>17</v>
      </c>
      <c r="L3" s="21">
        <f ca="1">H5</f>
        <v>29015</v>
      </c>
    </row>
    <row r="4" spans="2:12" x14ac:dyDescent="0.25">
      <c r="B4" s="15">
        <v>2</v>
      </c>
      <c r="C4" s="15" t="s">
        <v>17</v>
      </c>
      <c r="E4" s="15">
        <v>1</v>
      </c>
      <c r="F4" s="15" t="s">
        <v>58</v>
      </c>
      <c r="G4" s="21">
        <f>SUM(TBAportes[Total])</f>
        <v>39160.44</v>
      </c>
      <c r="H4" s="21">
        <f ca="1">SUMIFS(TBRCarteira[Total aportado],TBRCarteira[Tipo],"Empresa")</f>
        <v>29091</v>
      </c>
      <c r="I4" s="21">
        <f ca="1">SUMIFS(TBRCarteira[Total aportado],TBRCarteira[Tipo],"FII")</f>
        <v>10069.439999999999</v>
      </c>
      <c r="K4" s="15" t="s">
        <v>53</v>
      </c>
      <c r="L4" s="21">
        <f ca="1">I5</f>
        <v>10145.02</v>
      </c>
    </row>
    <row r="5" spans="2:12" x14ac:dyDescent="0.25">
      <c r="B5" s="15">
        <v>3</v>
      </c>
      <c r="C5" s="15" t="s">
        <v>76</v>
      </c>
      <c r="E5" s="15">
        <v>2</v>
      </c>
      <c r="F5" s="15" t="s">
        <v>66</v>
      </c>
      <c r="G5" s="21">
        <f ca="1">SUM(TBRCarteira[Total atual])</f>
        <v>39160.019999999997</v>
      </c>
      <c r="H5" s="21">
        <f ca="1">SUMIFS(TBRCarteira[Total atual],TBRCarteira[Tipo],"Empresa")</f>
        <v>29015</v>
      </c>
      <c r="I5" s="21">
        <f ca="1">SUMIFS(TBRCarteira[Total atual],TBRCarteira[Tipo],"FII")</f>
        <v>10145.02</v>
      </c>
      <c r="K5" s="15" t="s">
        <v>68</v>
      </c>
      <c r="L5" s="21">
        <f>C9</f>
        <v>15000</v>
      </c>
    </row>
    <row r="6" spans="2:12" x14ac:dyDescent="0.25">
      <c r="E6" s="15">
        <v>3</v>
      </c>
      <c r="F6" s="15" t="s">
        <v>61</v>
      </c>
      <c r="G6" s="21">
        <f ca="1">SUM(TBRCarteira[Valorização])</f>
        <v>-0.42000000000030013</v>
      </c>
      <c r="H6" s="21">
        <f ca="1">SUMIFS(TBRCarteira[Valorização],TBRCarteira[Tipo],"Empresa")</f>
        <v>-76</v>
      </c>
      <c r="I6" s="21">
        <f ca="1">SUMIFS(TBRCarteira[Valorização],TBRCarteira[Tipo],"FII")</f>
        <v>75.5799999999997</v>
      </c>
    </row>
    <row r="7" spans="2:12" ht="15.75" x14ac:dyDescent="0.25">
      <c r="B7" s="19" t="s">
        <v>72</v>
      </c>
      <c r="C7" s="18"/>
      <c r="E7" s="15">
        <v>4</v>
      </c>
      <c r="F7" s="15" t="s">
        <v>62</v>
      </c>
      <c r="G7" s="12">
        <f ca="1">( G5-G4)/G4</f>
        <v>-1.0725109319648342E-5</v>
      </c>
      <c r="H7" s="12">
        <f ca="1">(H5-H4)/H4</f>
        <v>-2.6124918359630126E-3</v>
      </c>
      <c r="I7" s="12">
        <f ca="1">(I5-I4)/I5</f>
        <v>7.4499606703586334E-3</v>
      </c>
    </row>
    <row r="8" spans="2:12" x14ac:dyDescent="0.25">
      <c r="B8" s="15" t="s">
        <v>73</v>
      </c>
      <c r="C8" s="15">
        <v>2</v>
      </c>
    </row>
    <row r="9" spans="2:12" x14ac:dyDescent="0.25">
      <c r="B9" s="15" t="s">
        <v>74</v>
      </c>
      <c r="C9" s="21">
        <f>DashBoard!E1</f>
        <v>15000</v>
      </c>
      <c r="E9" s="22" t="s">
        <v>81</v>
      </c>
      <c r="F9" s="22"/>
      <c r="G9" s="22"/>
      <c r="I9" s="22" t="s">
        <v>83</v>
      </c>
      <c r="J9" s="22"/>
      <c r="K9" s="22"/>
      <c r="L9" s="22"/>
    </row>
    <row r="10" spans="2:12" x14ac:dyDescent="0.25">
      <c r="E10" s="15" t="s">
        <v>82</v>
      </c>
      <c r="F10" s="15" t="s">
        <v>0</v>
      </c>
      <c r="G10" s="15" t="s">
        <v>10</v>
      </c>
      <c r="I10" s="15" t="s">
        <v>82</v>
      </c>
      <c r="J10" s="27" t="s">
        <v>0</v>
      </c>
      <c r="K10" s="15" t="s">
        <v>10</v>
      </c>
      <c r="L10" s="16" t="s">
        <v>84</v>
      </c>
    </row>
    <row r="11" spans="2:12" x14ac:dyDescent="0.25">
      <c r="B11" s="18" t="s">
        <v>79</v>
      </c>
      <c r="C11" s="18"/>
      <c r="E11" s="27">
        <v>10</v>
      </c>
      <c r="F11" s="15" t="str" cm="1">
        <f t="array" aca="1" ref="F11:F20" ca="1">_xlfn.IFS(C8=1,J11:J20,C8=2,H24:H33,C8=3,C24:C33)</f>
        <v>-</v>
      </c>
      <c r="G11" s="21" cm="1">
        <f t="array" aca="1" ref="G11:G20" ca="1">_xlfn.IFS(C8=1,K11:K20,C8=2,I24:I33,C8=3,D24:D33)</f>
        <v>0</v>
      </c>
      <c r="I11" s="27">
        <v>10</v>
      </c>
      <c r="J11" s="27" t="str" cm="1">
        <f t="array" aca="1" ref="J11" ca="1">IF(ISNA(INDEX(TBRCarteira[Ativo],L11,1)),INDEX(TBRCarteira[Ativo],L11,1),"-")</f>
        <v>-</v>
      </c>
      <c r="K11" s="26">
        <f ca="1">IF(ISNUMBER(LARGE(TBRCarteira[Total atual],I11)),LARGE(TBRCarteira[Total atual],I11),0)</f>
        <v>0</v>
      </c>
      <c r="L11" s="16" t="str">
        <f ca="1">IF(ISNUMBER(MATCH(K11,TBRCarteira[Total atual],0)),MATCH(K11,TBRCarteira[Total atual],0),"-")</f>
        <v>-</v>
      </c>
    </row>
    <row r="12" spans="2:12" x14ac:dyDescent="0.25">
      <c r="B12" s="15" t="s">
        <v>58</v>
      </c>
      <c r="C12" s="21" cm="1">
        <f t="array" aca="1" ref="C12" ca="1">INDEX(G4:I7,1,C8)</f>
        <v>29091</v>
      </c>
      <c r="E12" s="27">
        <v>9</v>
      </c>
      <c r="F12" s="15" t="str">
        <f ca="1"/>
        <v>-</v>
      </c>
      <c r="G12" s="21">
        <f ca="1"/>
        <v>0</v>
      </c>
      <c r="I12" s="27">
        <v>9</v>
      </c>
      <c r="J12" s="27" t="str" cm="1">
        <f t="array" aca="1" ref="J12" ca="1">IF(L12&lt;=0,"-",INDEX(TBRCarteira[Ativo],L12,1))</f>
        <v>HGBS11</v>
      </c>
      <c r="K12" s="26">
        <f ca="1">IF(ISNUMBER(LARGE(TBRCarteira[Total atual],I12)),LARGE(TBRCarteira[Total atual],I12),0)</f>
        <v>2017.8</v>
      </c>
      <c r="L12" s="16">
        <f ca="1">IF(ISNUMBER(MATCH(K12,TBRCarteira[Total atual],0)),MATCH(K12,TBRCarteira[Total atual],0),0)</f>
        <v>5</v>
      </c>
    </row>
    <row r="13" spans="2:12" x14ac:dyDescent="0.25">
      <c r="B13" s="15" t="s">
        <v>66</v>
      </c>
      <c r="C13" s="21" cm="1">
        <f t="array" aca="1" ref="C13" ca="1">INDEX(G4:I7,2,C8)</f>
        <v>29015</v>
      </c>
      <c r="E13" s="27">
        <v>8</v>
      </c>
      <c r="F13" s="15" t="str">
        <f ca="1"/>
        <v>-</v>
      </c>
      <c r="G13" s="21">
        <f ca="1"/>
        <v>0</v>
      </c>
      <c r="I13" s="27">
        <v>8</v>
      </c>
      <c r="J13" s="27" t="str" cm="1">
        <f t="array" aca="1" ref="J13" ca="1">IF(L13&lt;=0,"-",INDEX(TBRCarteira[Ativo],L13,1))</f>
        <v>TAEE4</v>
      </c>
      <c r="K13" s="26">
        <f ca="1">IF(ISNUMBER(LARGE(TBRCarteira[Total atual],I13)),LARGE(TBRCarteira[Total atual],I13),0)</f>
        <v>2366</v>
      </c>
      <c r="L13" s="16">
        <f ca="1">IF(ISNUMBER(MATCH(K13,TBRCarteira[Total atual],0)),MATCH(K13,TBRCarteira[Total atual],0),0)</f>
        <v>9</v>
      </c>
    </row>
    <row r="14" spans="2:12" x14ac:dyDescent="0.25">
      <c r="B14" s="15" t="s">
        <v>61</v>
      </c>
      <c r="C14" s="21" cm="1">
        <f t="array" aca="1" ref="C14" ca="1">INDEX(G4:I7,3,C8)</f>
        <v>-76</v>
      </c>
      <c r="E14" s="27">
        <v>7</v>
      </c>
      <c r="F14" s="15" t="str">
        <f ca="1"/>
        <v>-</v>
      </c>
      <c r="G14" s="21">
        <f ca="1"/>
        <v>0</v>
      </c>
      <c r="I14" s="27">
        <v>7</v>
      </c>
      <c r="J14" s="27" t="str" cm="1">
        <f t="array" aca="1" ref="J14" ca="1">IF(L14&lt;=0,"-",INDEX(TBRCarteira[Ativo],L14,1))</f>
        <v>HGRE11</v>
      </c>
      <c r="K14" s="26">
        <f ca="1">IF(ISNUMBER(LARGE(TBRCarteira[Total atual],I14)),LARGE(TBRCarteira[Total atual],I14),0)</f>
        <v>2390.39</v>
      </c>
      <c r="L14" s="16">
        <f ca="1">IF(ISNUMBER(MATCH(K14,TBRCarteira[Total atual],0)),MATCH(K14,TBRCarteira[Total atual],0),0)</f>
        <v>7</v>
      </c>
    </row>
    <row r="15" spans="2:12" x14ac:dyDescent="0.25">
      <c r="B15" s="15" t="s">
        <v>62</v>
      </c>
      <c r="C15" s="12" cm="1">
        <f t="array" aca="1" ref="C15" ca="1">INDEX(G4:I7,4,C8)</f>
        <v>-2.6124918359630126E-3</v>
      </c>
      <c r="E15" s="27">
        <v>6</v>
      </c>
      <c r="F15" s="15" t="str">
        <f ca="1"/>
        <v>-</v>
      </c>
      <c r="G15" s="21">
        <f ca="1"/>
        <v>0</v>
      </c>
      <c r="I15" s="27">
        <v>6</v>
      </c>
      <c r="J15" s="27" t="str" cm="1">
        <f t="array" aca="1" ref="J15" ca="1">IF(L15&lt;=0,"-",INDEX(TBRCarteira[Ativo],L15,1))</f>
        <v>HGLG11</v>
      </c>
      <c r="K15" s="26">
        <f ca="1">IF(ISNUMBER(LARGE(TBRCarteira[Total atual],I15)),LARGE(TBRCarteira[Total atual],I15),0)</f>
        <v>2786.81</v>
      </c>
      <c r="L15" s="16">
        <f ca="1">IF(ISNUMBER(MATCH(K15,TBRCarteira[Total atual],0)),MATCH(K15,TBRCarteira[Total atual],0),0)</f>
        <v>6</v>
      </c>
    </row>
    <row r="16" spans="2:12" x14ac:dyDescent="0.25">
      <c r="E16" s="27">
        <v>5</v>
      </c>
      <c r="F16" s="15" t="str">
        <f ca="1"/>
        <v>TAEE4</v>
      </c>
      <c r="G16" s="21">
        <f ca="1"/>
        <v>2366</v>
      </c>
      <c r="I16" s="27">
        <v>5</v>
      </c>
      <c r="J16" s="27" t="str" cm="1">
        <f t="array" aca="1" ref="J16" ca="1">IF(L16&lt;=0,"-",INDEX(TBRCarteira[Ativo],L16,1))</f>
        <v>ITSA4</v>
      </c>
      <c r="K16" s="26">
        <f ca="1">IF(ISNUMBER(LARGE(TBRCarteira[Total atual],I16)),LARGE(TBRCarteira[Total atual],I16),0)</f>
        <v>2871</v>
      </c>
      <c r="L16" s="16">
        <f ca="1">IF(ISNUMBER(MATCH(K16,TBRCarteira[Total atual],0)),MATCH(K16,TBRCarteira[Total atual],0),0)</f>
        <v>3</v>
      </c>
    </row>
    <row r="17" spans="2:12" x14ac:dyDescent="0.25">
      <c r="E17" s="27">
        <v>4</v>
      </c>
      <c r="F17" s="15" t="str">
        <f ca="1"/>
        <v>ITSA4</v>
      </c>
      <c r="G17" s="21">
        <f ca="1"/>
        <v>2871</v>
      </c>
      <c r="I17" s="27">
        <v>4</v>
      </c>
      <c r="J17" s="27" t="str" cm="1">
        <f t="array" aca="1" ref="J17" ca="1">IF(L17&lt;=0,"-",INDEX(TBRCarteira[Ativo],L17,1))</f>
        <v>FLRY3</v>
      </c>
      <c r="K17" s="26">
        <f ca="1">IF(ISNUMBER(LARGE(TBRCarteira[Total atual],I17)),LARGE(TBRCarteira[Total atual],I17),0)</f>
        <v>2938</v>
      </c>
      <c r="L17" s="16">
        <f ca="1">IF(ISNUMBER(MATCH(K17,TBRCarteira[Total atual],0)),MATCH(K17,TBRCarteira[Total atual],0),0)</f>
        <v>2</v>
      </c>
    </row>
    <row r="18" spans="2:12" x14ac:dyDescent="0.25">
      <c r="E18" s="27">
        <v>3</v>
      </c>
      <c r="F18" s="15" t="str">
        <f ca="1"/>
        <v>FLRY3</v>
      </c>
      <c r="G18" s="21">
        <f ca="1"/>
        <v>2938</v>
      </c>
      <c r="I18" s="27">
        <v>3</v>
      </c>
      <c r="J18" s="27" t="str" cm="1">
        <f t="array" aca="1" ref="J18" ca="1">IF(L18&lt;=0,"-",INDEX(TBRCarteira[Ativo],L18,1))</f>
        <v>KNRI11</v>
      </c>
      <c r="K18" s="26">
        <f ca="1">IF(ISNUMBER(LARGE(TBRCarteira[Total atual],I18)),LARGE(TBRCarteira[Total atual],I18),0)</f>
        <v>2950.0199999999995</v>
      </c>
      <c r="L18" s="16">
        <f ca="1">IF(ISNUMBER(MATCH(K18,TBRCarteira[Total atual],0)),MATCH(K18,TBRCarteira[Total atual],0),0)</f>
        <v>8</v>
      </c>
    </row>
    <row r="19" spans="2:12" x14ac:dyDescent="0.25">
      <c r="E19" s="27">
        <v>2</v>
      </c>
      <c r="F19" s="15" t="str">
        <f ca="1"/>
        <v>CSNA3</v>
      </c>
      <c r="G19" s="21">
        <f ca="1"/>
        <v>4332</v>
      </c>
      <c r="I19" s="27">
        <v>2</v>
      </c>
      <c r="J19" s="27" t="str" cm="1">
        <f t="array" aca="1" ref="J19" ca="1">IF(L19&lt;=0,"-",INDEX(TBRCarteira[Ativo],L19,1))</f>
        <v>CSNA3</v>
      </c>
      <c r="K19" s="26">
        <f ca="1">IF(ISNUMBER(LARGE(TBRCarteira[Total atual],I19)),LARGE(TBRCarteira[Total atual],I19),0)</f>
        <v>4332</v>
      </c>
      <c r="L19" s="16">
        <f ca="1">IF(ISNUMBER(MATCH(K19,TBRCarteira[Total atual],0)),MATCH(K19,TBRCarteira[Total atual],0),0)</f>
        <v>1</v>
      </c>
    </row>
    <row r="20" spans="2:12" x14ac:dyDescent="0.25">
      <c r="E20" s="27">
        <v>1</v>
      </c>
      <c r="F20" s="15" t="str">
        <f ca="1"/>
        <v>PETR4</v>
      </c>
      <c r="G20" s="21">
        <f ca="1"/>
        <v>16508</v>
      </c>
      <c r="I20" s="27">
        <v>1</v>
      </c>
      <c r="J20" s="27" t="str" cm="1">
        <f t="array" aca="1" ref="J20" ca="1">IF(L20&lt;=0,"-",INDEX(TBRCarteira[Ativo],L20,1))</f>
        <v>PETR4</v>
      </c>
      <c r="K20" s="26">
        <f ca="1">IF(ISNUMBER(LARGE(TBRCarteira[Total atual],I20)),LARGE(TBRCarteira[Total atual],I20),0)</f>
        <v>16508</v>
      </c>
      <c r="L20" s="16">
        <f ca="1">IF(ISNUMBER(MATCH(K20,TBRCarteira[Total atual],0)),MATCH(K20,TBRCarteira[Total atual],0),0)</f>
        <v>4</v>
      </c>
    </row>
    <row r="22" spans="2:12" x14ac:dyDescent="0.25">
      <c r="B22" s="22" t="s">
        <v>85</v>
      </c>
      <c r="C22" s="22"/>
      <c r="D22" s="22"/>
      <c r="E22" s="22"/>
      <c r="G22" s="22" t="s">
        <v>86</v>
      </c>
      <c r="H22" s="22"/>
      <c r="I22" s="22"/>
      <c r="J22" s="22"/>
    </row>
    <row r="23" spans="2:12" x14ac:dyDescent="0.25">
      <c r="B23" s="15" t="s">
        <v>82</v>
      </c>
      <c r="C23" s="27" t="s">
        <v>0</v>
      </c>
      <c r="D23" s="15" t="s">
        <v>10</v>
      </c>
      <c r="E23" s="16" t="s">
        <v>84</v>
      </c>
      <c r="G23" s="15" t="s">
        <v>82</v>
      </c>
      <c r="H23" s="27" t="s">
        <v>0</v>
      </c>
      <c r="I23" s="15" t="s">
        <v>10</v>
      </c>
      <c r="J23" s="16" t="s">
        <v>84</v>
      </c>
    </row>
    <row r="24" spans="2:12" x14ac:dyDescent="0.25">
      <c r="B24" s="27">
        <v>10</v>
      </c>
      <c r="C24" s="27" t="str" cm="1">
        <f t="array" aca="1" ref="C24" ca="1">IF(E24&lt;=0,"-",INDEX(TBRCarteira[Ativo],E24,1))</f>
        <v>-</v>
      </c>
      <c r="D24" s="26" cm="1">
        <f t="array" aca="1" ref="D24" ca="1">IF(ISNUMBER(LARGE(IF(TBRCarteira[Tipo]="FII",TBRCarteira[Total atual],0),B24)),LARGE(IF(TBRCarteira[Tipo]="FII",TBRCarteira[Total atual],0),B24),0)</f>
        <v>0</v>
      </c>
      <c r="E24" s="16">
        <f ca="1">IF(ISNUMBER(MATCH(D24,TBRCarteira[Total atual],0)),MATCH(D24,TBRCarteira[Total atual],0),0)</f>
        <v>0</v>
      </c>
      <c r="F24" s="29"/>
      <c r="G24" s="27">
        <v>10</v>
      </c>
      <c r="H24" s="27" t="str" cm="1">
        <f t="array" aca="1" ref="H24" ca="1">IF(J24&lt;=0,"-",INDEX(TBRCarteira[Ativo],J24,1))</f>
        <v>-</v>
      </c>
      <c r="I24" s="26" cm="1">
        <f t="array" aca="1" ref="I24" ca="1">IF(ISNUMBER(LARGE(IF(TBRCarteira[Tipo]="EMPRESA",TBRCarteira[Total atual],0),G24)),LARGE(IF(TBRCarteira[Tipo]="EMPRESA",TBRCarteira[Total atual],0),G24),0)</f>
        <v>0</v>
      </c>
      <c r="J24" s="16">
        <f ca="1">IF(ISNUMBER(MATCH(I24,TBRCarteira[Total atual],0)),MATCH(I24,TBRCarteira[Total atual],0),0)</f>
        <v>0</v>
      </c>
    </row>
    <row r="25" spans="2:12" x14ac:dyDescent="0.25">
      <c r="B25" s="27">
        <v>9</v>
      </c>
      <c r="C25" s="27" t="str" cm="1">
        <f t="array" aca="1" ref="C25" ca="1">IF(E25&lt;=0,"-",INDEX(TBRCarteira[Ativo],E25,1))</f>
        <v>-</v>
      </c>
      <c r="D25" s="26" cm="1">
        <f t="array" aca="1" ref="D25" ca="1">IF(ISNUMBER(LARGE(IF(TBRCarteira[Tipo]="FII",TBRCarteira[Total atual],0),B25)),LARGE(IF(TBRCarteira[Tipo]="FII",TBRCarteira[Total atual],0),B25),0)</f>
        <v>0</v>
      </c>
      <c r="E25" s="16">
        <f ca="1">IF(ISNUMBER(MATCH(D25,TBRCarteira[Total atual],0)),MATCH(D25,TBRCarteira[Total atual],0),0)</f>
        <v>0</v>
      </c>
      <c r="G25" s="27">
        <v>9</v>
      </c>
      <c r="H25" s="27" t="str" cm="1">
        <f t="array" aca="1" ref="H25" ca="1">IF(J25&lt;=0,"-",INDEX(TBRCarteira[Ativo],J25,1))</f>
        <v>-</v>
      </c>
      <c r="I25" s="26" cm="1">
        <f t="array" aca="1" ref="I25" ca="1">IF(ISNUMBER(LARGE(IF(TBRCarteira[Tipo]="EMPRESA",TBRCarteira[Total atual],0),G25)),LARGE(IF(TBRCarteira[Tipo]="EMPRESA",TBRCarteira[Total atual],0),G25),0)</f>
        <v>0</v>
      </c>
      <c r="J25" s="16">
        <f ca="1">IF(ISNUMBER(MATCH(I25,TBRCarteira[Total atual],0)),MATCH(I25,TBRCarteira[Total atual],0),0)</f>
        <v>0</v>
      </c>
    </row>
    <row r="26" spans="2:12" x14ac:dyDescent="0.25">
      <c r="B26" s="27">
        <v>8</v>
      </c>
      <c r="C26" s="27" t="str" cm="1">
        <f t="array" aca="1" ref="C26" ca="1">IF(E26&lt;=0,"-",INDEX(TBRCarteira[Ativo],E26,1))</f>
        <v>-</v>
      </c>
      <c r="D26" s="26" cm="1">
        <f t="array" aca="1" ref="D26" ca="1">IF(ISNUMBER(LARGE(IF(TBRCarteira[Tipo]="FII",TBRCarteira[Total atual],0),B26)),LARGE(IF(TBRCarteira[Tipo]="FII",TBRCarteira[Total atual],0),B26),0)</f>
        <v>0</v>
      </c>
      <c r="E26" s="16">
        <f ca="1">IF(ISNUMBER(MATCH(D26,TBRCarteira[Total atual],0)),MATCH(D26,TBRCarteira[Total atual],0),0)</f>
        <v>0</v>
      </c>
      <c r="G26" s="27">
        <v>8</v>
      </c>
      <c r="H26" s="27" t="str" cm="1">
        <f t="array" aca="1" ref="H26" ca="1">IF(J26&lt;=0,"-",INDEX(TBRCarteira[Ativo],J26,1))</f>
        <v>-</v>
      </c>
      <c r="I26" s="26" cm="1">
        <f t="array" aca="1" ref="I26" ca="1">IF(ISNUMBER(LARGE(IF(TBRCarteira[Tipo]="EMPRESA",TBRCarteira[Total atual],0),G26)),LARGE(IF(TBRCarteira[Tipo]="EMPRESA",TBRCarteira[Total atual],0),G26),0)</f>
        <v>0</v>
      </c>
      <c r="J26" s="16">
        <f ca="1">IF(ISNUMBER(MATCH(I26,TBRCarteira[Total atual],0)),MATCH(I26,TBRCarteira[Total atual],0),0)</f>
        <v>0</v>
      </c>
    </row>
    <row r="27" spans="2:12" x14ac:dyDescent="0.25">
      <c r="B27" s="27">
        <v>7</v>
      </c>
      <c r="C27" s="27" t="str" cm="1">
        <f t="array" aca="1" ref="C27" ca="1">IF(E27&lt;=0,"-",INDEX(TBRCarteira[Ativo],E27,1))</f>
        <v>-</v>
      </c>
      <c r="D27" s="26" cm="1">
        <f t="array" aca="1" ref="D27" ca="1">IF(ISNUMBER(LARGE(IF(TBRCarteira[Tipo]="FII",TBRCarteira[Total atual],0),B27)),LARGE(IF(TBRCarteira[Tipo]="FII",TBRCarteira[Total atual],0),B27),0)</f>
        <v>0</v>
      </c>
      <c r="E27" s="16">
        <f ca="1">IF(ISNUMBER(MATCH(D27,TBRCarteira[Total atual],0)),MATCH(D27,TBRCarteira[Total atual],0),0)</f>
        <v>0</v>
      </c>
      <c r="G27" s="27">
        <v>7</v>
      </c>
      <c r="H27" s="27" t="str" cm="1">
        <f t="array" aca="1" ref="H27" ca="1">IF(J27&lt;=0,"-",INDEX(TBRCarteira[Ativo],J27,1))</f>
        <v>-</v>
      </c>
      <c r="I27" s="26" cm="1">
        <f t="array" aca="1" ref="I27" ca="1">IF(ISNUMBER(LARGE(IF(TBRCarteira[Tipo]="EMPRESA",TBRCarteira[Total atual],0),G27)),LARGE(IF(TBRCarteira[Tipo]="EMPRESA",TBRCarteira[Total atual],0),G27),0)</f>
        <v>0</v>
      </c>
      <c r="J27" s="16">
        <f ca="1">IF(ISNUMBER(MATCH(I27,TBRCarteira[Total atual],0)),MATCH(I27,TBRCarteira[Total atual],0),0)</f>
        <v>0</v>
      </c>
    </row>
    <row r="28" spans="2:12" x14ac:dyDescent="0.25">
      <c r="B28" s="27">
        <v>6</v>
      </c>
      <c r="C28" s="27" t="str" cm="1">
        <f t="array" aca="1" ref="C28" ca="1">IF(E28&lt;=0,"-",INDEX(TBRCarteira[Ativo],E28,1))</f>
        <v>-</v>
      </c>
      <c r="D28" s="26" cm="1">
        <f t="array" aca="1" ref="D28" ca="1">IF(ISNUMBER(LARGE(IF(TBRCarteira[Tipo]="FII",TBRCarteira[Total atual],0),B28)),LARGE(IF(TBRCarteira[Tipo]="FII",TBRCarteira[Total atual],0),B28),0)</f>
        <v>0</v>
      </c>
      <c r="E28" s="16">
        <f ca="1">IF(ISNUMBER(MATCH(D28,TBRCarteira[Total atual],0)),MATCH(D28,TBRCarteira[Total atual],0),0)</f>
        <v>0</v>
      </c>
      <c r="G28" s="27">
        <v>6</v>
      </c>
      <c r="H28" s="27" t="str" cm="1">
        <f t="array" aca="1" ref="H28" ca="1">IF(J28&lt;=0,"-",INDEX(TBRCarteira[Ativo],J28,1))</f>
        <v>-</v>
      </c>
      <c r="I28" s="26" cm="1">
        <f t="array" aca="1" ref="I28" ca="1">IF(ISNUMBER(LARGE(IF(TBRCarteira[Tipo]="EMPRESA",TBRCarteira[Total atual],0),G28)),LARGE(IF(TBRCarteira[Tipo]="EMPRESA",TBRCarteira[Total atual],0),G28),0)</f>
        <v>0</v>
      </c>
      <c r="J28" s="16">
        <f ca="1">IF(ISNUMBER(MATCH(I28,TBRCarteira[Total atual],0)),MATCH(I28,TBRCarteira[Total atual],0),0)</f>
        <v>0</v>
      </c>
    </row>
    <row r="29" spans="2:12" x14ac:dyDescent="0.25">
      <c r="B29" s="27">
        <v>5</v>
      </c>
      <c r="C29" s="27" t="str" cm="1">
        <f t="array" aca="1" ref="C29" ca="1">IF(E29&lt;=0,"-",INDEX(TBRCarteira[Ativo],E29,1))</f>
        <v>-</v>
      </c>
      <c r="D29" s="26" cm="1">
        <f t="array" aca="1" ref="D29" ca="1">IF(ISNUMBER(LARGE(IF(TBRCarteira[Tipo]="FII",TBRCarteira[Total atual],0),B29)),LARGE(IF(TBRCarteira[Tipo]="FII",TBRCarteira[Total atual],0),B29),0)</f>
        <v>0</v>
      </c>
      <c r="E29" s="16">
        <f ca="1">IF(ISNUMBER(MATCH(D29,TBRCarteira[Total atual],0)),MATCH(D29,TBRCarteira[Total atual],0),0)</f>
        <v>0</v>
      </c>
      <c r="G29" s="27">
        <v>5</v>
      </c>
      <c r="H29" s="27" t="str" cm="1">
        <f t="array" aca="1" ref="H29" ca="1">IF(J29&lt;=0,"-",INDEX(TBRCarteira[Ativo],J29,1))</f>
        <v>TAEE4</v>
      </c>
      <c r="I29" s="26" cm="1">
        <f t="array" aca="1" ref="I29" ca="1">IF(ISNUMBER(LARGE(IF(TBRCarteira[Tipo]="EMPRESA",TBRCarteira[Total atual],0),G29)),LARGE(IF(TBRCarteira[Tipo]="EMPRESA",TBRCarteira[Total atual],0),G29),0)</f>
        <v>2366</v>
      </c>
      <c r="J29" s="16">
        <f ca="1">IF(ISNUMBER(MATCH(I29,TBRCarteira[Total atual],0)),MATCH(I29,TBRCarteira[Total atual],0),0)</f>
        <v>9</v>
      </c>
    </row>
    <row r="30" spans="2:12" x14ac:dyDescent="0.25">
      <c r="B30" s="27">
        <v>4</v>
      </c>
      <c r="C30" s="27" t="str" cm="1">
        <f t="array" aca="1" ref="C30" ca="1">IF(E30&lt;=0,"-",INDEX(TBRCarteira[Ativo],E30,1))</f>
        <v>HGBS11</v>
      </c>
      <c r="D30" s="26" cm="1">
        <f t="array" aca="1" ref="D30" ca="1">IF(ISNUMBER(LARGE(IF(TBRCarteira[Tipo]="FII",TBRCarteira[Total atual],0),B30)),LARGE(IF(TBRCarteira[Tipo]="FII",TBRCarteira[Total atual],0),B30),0)</f>
        <v>2017.8</v>
      </c>
      <c r="E30" s="16">
        <f ca="1">IF(ISNUMBER(MATCH(D30,TBRCarteira[Total atual],0)),MATCH(D30,TBRCarteira[Total atual],0),"-")</f>
        <v>5</v>
      </c>
      <c r="G30" s="27">
        <v>4</v>
      </c>
      <c r="H30" s="27" t="str" cm="1">
        <f t="array" aca="1" ref="H30" ca="1">IF(J30&lt;=0,"-",INDEX(TBRCarteira[Ativo],J30,1))</f>
        <v>ITSA4</v>
      </c>
      <c r="I30" s="26" cm="1">
        <f t="array" aca="1" ref="I30" ca="1">IF(ISNUMBER(LARGE(IF(TBRCarteira[Tipo]="EMPRESA",TBRCarteira[Total atual],0),G30)),LARGE(IF(TBRCarteira[Tipo]="EMPRESA",TBRCarteira[Total atual],0),G30),0)</f>
        <v>2871</v>
      </c>
      <c r="J30" s="16">
        <f ca="1">IF(ISNUMBER(MATCH(I30,TBRCarteira[Total atual],0)),MATCH(I30,TBRCarteira[Total atual],0),0)</f>
        <v>3</v>
      </c>
    </row>
    <row r="31" spans="2:12" x14ac:dyDescent="0.25">
      <c r="B31" s="27">
        <v>3</v>
      </c>
      <c r="C31" s="27" t="str" cm="1">
        <f t="array" aca="1" ref="C31" ca="1">IF(E31&lt;=0,"-",INDEX(TBRCarteira[Ativo],E31,1))</f>
        <v>HGRE11</v>
      </c>
      <c r="D31" s="26" cm="1">
        <f t="array" aca="1" ref="D31" ca="1">IF(ISNUMBER(LARGE(IF(TBRCarteira[Tipo]="FII",TBRCarteira[Total atual],0),B31)),LARGE(IF(TBRCarteira[Tipo]="FII",TBRCarteira[Total atual],0),B31),0)</f>
        <v>2390.39</v>
      </c>
      <c r="E31" s="16">
        <f ca="1">IF(ISNUMBER(MATCH(D31,TBRCarteira[Total atual],0)),MATCH(D31,TBRCarteira[Total atual],0),"-")</f>
        <v>7</v>
      </c>
      <c r="G31" s="27">
        <v>3</v>
      </c>
      <c r="H31" s="27" t="str" cm="1">
        <f t="array" aca="1" ref="H31" ca="1">IF(J31&lt;=0,"-",INDEX(TBRCarteira[Ativo],J31,1))</f>
        <v>FLRY3</v>
      </c>
      <c r="I31" s="26" cm="1">
        <f t="array" aca="1" ref="I31" ca="1">IF(ISNUMBER(LARGE(IF(TBRCarteira[Tipo]="EMPRESA",TBRCarteira[Total atual],0),G31)),LARGE(IF(TBRCarteira[Tipo]="EMPRESA",TBRCarteira[Total atual],0),G31),0)</f>
        <v>2938</v>
      </c>
      <c r="J31" s="16">
        <f ca="1">IF(ISNUMBER(MATCH(I31,TBRCarteira[Total atual],0)),MATCH(I31,TBRCarteira[Total atual],0),0)</f>
        <v>2</v>
      </c>
    </row>
    <row r="32" spans="2:12" x14ac:dyDescent="0.25">
      <c r="B32" s="27">
        <v>2</v>
      </c>
      <c r="C32" s="27" t="str" cm="1">
        <f t="array" aca="1" ref="C32" ca="1">IF(E32&lt;=0,"-",INDEX(TBRCarteira[Ativo],E32,1))</f>
        <v>HGLG11</v>
      </c>
      <c r="D32" s="26" cm="1">
        <f t="array" aca="1" ref="D32" ca="1">IF(ISNUMBER(LARGE(IF(TBRCarteira[Tipo]="FII",TBRCarteira[Total atual],0),B32)),LARGE(IF(TBRCarteira[Tipo]="FII",TBRCarteira[Total atual],0),B32),0)</f>
        <v>2786.81</v>
      </c>
      <c r="E32" s="16">
        <f ca="1">IF(ISNUMBER(MATCH(D32,TBRCarteira[Total atual],0)),MATCH(D32,TBRCarteira[Total atual],0),"-")</f>
        <v>6</v>
      </c>
      <c r="G32" s="27">
        <v>2</v>
      </c>
      <c r="H32" s="27" t="str" cm="1">
        <f t="array" aca="1" ref="H32" ca="1">IF(J32&lt;=0,"-",INDEX(TBRCarteira[Ativo],J32,1))</f>
        <v>CSNA3</v>
      </c>
      <c r="I32" s="26" cm="1">
        <f t="array" aca="1" ref="I32" ca="1">IF(ISNUMBER(LARGE(IF(TBRCarteira[Tipo]="EMPRESA",TBRCarteira[Total atual],0),G32)),LARGE(IF(TBRCarteira[Tipo]="EMPRESA",TBRCarteira[Total atual],0),G32),0)</f>
        <v>4332</v>
      </c>
      <c r="J32" s="16">
        <f ca="1">IF(ISNUMBER(MATCH(I32,TBRCarteira[Total atual],0)),MATCH(I32,TBRCarteira[Total atual],0),0)</f>
        <v>1</v>
      </c>
    </row>
    <row r="33" spans="2:10" x14ac:dyDescent="0.25">
      <c r="B33" s="27">
        <v>1</v>
      </c>
      <c r="C33" s="27" t="str" cm="1">
        <f t="array" aca="1" ref="C33" ca="1">IF(E33&lt;=0,"-",INDEX(TBRCarteira[Ativo],E33,1))</f>
        <v>KNRI11</v>
      </c>
      <c r="D33" s="26" cm="1">
        <f t="array" aca="1" ref="D33" ca="1">IF(ISNUMBER(LARGE(IF(TBRCarteira[Tipo]="FII",TBRCarteira[Total atual],0),B33)),LARGE(IF(TBRCarteira[Tipo]="FII",TBRCarteira[Total atual],0),B33),0)</f>
        <v>2950.0199999999995</v>
      </c>
      <c r="E33" s="16">
        <f ca="1">IF(ISNUMBER(MATCH(D33,TBRCarteira[Total atual],0)),MATCH(D33,TBRCarteira[Total atual],0),"-")</f>
        <v>8</v>
      </c>
      <c r="G33" s="27">
        <v>1</v>
      </c>
      <c r="H33" s="27" t="str" cm="1">
        <f t="array" aca="1" ref="H33" ca="1">IF(J33&lt;=0,"-",INDEX(TBRCarteira[Ativo],J33,1))</f>
        <v>PETR4</v>
      </c>
      <c r="I33" s="26" cm="1">
        <f t="array" aca="1" ref="I33" ca="1">IF(ISNUMBER(LARGE(IF(TBRCarteira[Tipo]="EMPRESA",TBRCarteira[Total atual],0),G33)),LARGE(IF(TBRCarteira[Tipo]="EMPRESA",TBRCarteira[Total atual],0),G33),0)</f>
        <v>16508</v>
      </c>
      <c r="J33" s="16">
        <f ca="1">IF(ISNUMBER(MATCH(I33,TBRCarteira[Total atual],0)),MATCH(I33,TBRCarteira[Total atual],0),0)</f>
        <v>4</v>
      </c>
    </row>
    <row r="37" spans="2:10" x14ac:dyDescent="0.25">
      <c r="B37" s="22" t="s">
        <v>87</v>
      </c>
      <c r="C37" s="22"/>
      <c r="D37" s="22"/>
      <c r="E37" s="22"/>
      <c r="G37" s="22" t="s">
        <v>88</v>
      </c>
      <c r="H37" s="22"/>
      <c r="I37" s="22"/>
      <c r="J37" s="22"/>
    </row>
    <row r="38" spans="2:10" x14ac:dyDescent="0.25">
      <c r="B38" s="15" t="s">
        <v>82</v>
      </c>
      <c r="C38" s="27" t="s">
        <v>0</v>
      </c>
      <c r="D38" s="15" t="s">
        <v>61</v>
      </c>
      <c r="E38" s="16" t="s">
        <v>84</v>
      </c>
      <c r="G38" s="15" t="s">
        <v>82</v>
      </c>
      <c r="H38" s="27" t="s">
        <v>0</v>
      </c>
      <c r="I38" s="15" t="s">
        <v>61</v>
      </c>
      <c r="J38" s="16" t="s">
        <v>84</v>
      </c>
    </row>
    <row r="39" spans="2:10" x14ac:dyDescent="0.25">
      <c r="B39" s="27">
        <v>10</v>
      </c>
      <c r="C39" s="27" t="str" cm="1">
        <f t="array" aca="1" ref="C39" ca="1">IF(E39&lt;=0,"-",INDEX(TBRCarteira[Ativo],E39,1))</f>
        <v>-</v>
      </c>
      <c r="D39" s="32">
        <f ca="1">IF(ISNUMBER(LARGE(TBRCarteira[Valorização %],B39)),LARGE(TBRCarteira[Valorização %],B39),0)</f>
        <v>0</v>
      </c>
      <c r="E39" s="16">
        <f ca="1">IF(ISNUMBER(MATCH(D39,TBRCarteira[Valorização %],0)),MATCH(D39,TBRCarteira[Valorização %],0),0)</f>
        <v>0</v>
      </c>
      <c r="G39" s="27">
        <v>10</v>
      </c>
      <c r="H39" s="27" t="str" cm="1">
        <f t="array" aca="1" ref="H39" ca="1">IF(J39&lt;=0,"-",INDEX(TBRCarteira[Ativo],J39,1))</f>
        <v>-</v>
      </c>
      <c r="I39" s="31" cm="1">
        <f t="array" aca="1" ref="I39" ca="1">IF(ISNUMBER(LARGE(IF(TBRCarteira[Tipo]="FII",TBRCarteira[Valorização %],0),G39)),LARGE(IF(TBRCarteira[Tipo]="FII",TBRCarteira[Valorização %],0),G39),0)</f>
        <v>0</v>
      </c>
      <c r="J39" s="16">
        <f ca="1">IF(ISNUMBER(MATCH(I39,TBRCarteira[Valorização %],0)),MATCH(I39,TBRCarteira[Valorização %],0),0)</f>
        <v>0</v>
      </c>
    </row>
    <row r="40" spans="2:10" x14ac:dyDescent="0.25">
      <c r="B40" s="27">
        <v>9</v>
      </c>
      <c r="C40" s="27" t="str" cm="1">
        <f t="array" aca="1" ref="C40" ca="1">IF(E40&lt;=0,"-",INDEX(TBRCarteira[Ativo],E40,1))</f>
        <v>ITSA4</v>
      </c>
      <c r="D40" s="32">
        <f ca="1">IF(ISNUMBER(LARGE(TBRCarteira[Valorização %],B40)),LARGE(TBRCarteira[Valorização %],B40),0)</f>
        <v>-9.316770186335404E-3</v>
      </c>
      <c r="E40" s="16">
        <f ca="1">IF(ISNUMBER(MATCH(D40,TBRCarteira[Valorização %],0)),MATCH(D40,TBRCarteira[Valorização %],0),0)</f>
        <v>3</v>
      </c>
      <c r="G40" s="27">
        <v>9</v>
      </c>
      <c r="H40" s="27" t="str" cm="1">
        <f t="array" aca="1" ref="H40" ca="1">IF(J40&lt;=0,"-",INDEX(TBRCarteira[Ativo],J40,1))</f>
        <v>-</v>
      </c>
      <c r="I40" s="31" cm="1">
        <f t="array" aca="1" ref="I40" ca="1">IF(ISNUMBER(LARGE(IF(TBRCarteira[Tipo]="FII",TBRCarteira[Valorização %],0),G40)),LARGE(IF(TBRCarteira[Tipo]="FII",TBRCarteira[Valorização %],0),G40),0)</f>
        <v>0</v>
      </c>
      <c r="J40" s="16">
        <f ca="1">IF(ISNUMBER(MATCH(I40,TBRCarteira[Valorização %],0)),MATCH(I40,TBRCarteira[Valorização %],0),0)</f>
        <v>0</v>
      </c>
    </row>
    <row r="41" spans="2:10" x14ac:dyDescent="0.25">
      <c r="B41" s="27">
        <v>8</v>
      </c>
      <c r="C41" s="27" t="str" cm="1">
        <f t="array" aca="1" ref="C41" ca="1">IF(E41&lt;=0,"-",INDEX(TBRCarteira[Ativo],E41,1))</f>
        <v>TAEE4</v>
      </c>
      <c r="D41" s="32">
        <f ca="1">IF(ISNUMBER(LARGE(TBRCarteira[Valorização %],B41)),LARGE(TBRCarteira[Valorização %],B41),0)</f>
        <v>-7.550335570469799E-3</v>
      </c>
      <c r="E41" s="16">
        <f ca="1">IF(ISNUMBER(MATCH(D41,TBRCarteira[Valorização %],0)),MATCH(D41,TBRCarteira[Valorização %],0),0)</f>
        <v>9</v>
      </c>
      <c r="G41" s="27">
        <v>8</v>
      </c>
      <c r="H41" s="27" t="str" cm="1">
        <f t="array" aca="1" ref="H41" ca="1">IF(J41&lt;=0,"-",INDEX(TBRCarteira[Ativo],J41,1))</f>
        <v>-</v>
      </c>
      <c r="I41" s="31" cm="1">
        <f t="array" aca="1" ref="I41" ca="1">IF(ISNUMBER(LARGE(IF(TBRCarteira[Tipo]="FII",TBRCarteira[Valorização %],0),G41)),LARGE(IF(TBRCarteira[Tipo]="FII",TBRCarteira[Valorização %],0),G41),0)</f>
        <v>0</v>
      </c>
      <c r="J41" s="16">
        <f ca="1">IF(ISNUMBER(MATCH(I41,TBRCarteira[Valorização %],0)),MATCH(I41,TBRCarteira[Valorização %],0),0)</f>
        <v>0</v>
      </c>
    </row>
    <row r="42" spans="2:10" x14ac:dyDescent="0.25">
      <c r="B42" s="27">
        <v>7</v>
      </c>
      <c r="C42" s="27" t="str" cm="1">
        <f t="array" aca="1" ref="C42" ca="1">IF(E42&lt;=0,"-",INDEX(TBRCarteira[Ativo],E42,1))</f>
        <v>PETR4</v>
      </c>
      <c r="D42" s="32">
        <f ca="1">IF(ISNUMBER(LARGE(TBRCarteira[Valorização %],B42)),LARGE(TBRCarteira[Valorização %],B42),0)</f>
        <v>-3.6214389183969096E-3</v>
      </c>
      <c r="E42" s="16">
        <f ca="1">IF(ISNUMBER(MATCH(D42,TBRCarteira[Valorização %],0)),MATCH(D42,TBRCarteira[Valorização %],0),0)</f>
        <v>4</v>
      </c>
      <c r="G42" s="27">
        <v>7</v>
      </c>
      <c r="H42" s="27" t="str" cm="1">
        <f t="array" aca="1" ref="H42" ca="1">IF(J42&lt;=0,"-",INDEX(TBRCarteira[Ativo],J42,1))</f>
        <v>-</v>
      </c>
      <c r="I42" s="31" cm="1">
        <f t="array" aca="1" ref="I42" ca="1">IF(ISNUMBER(LARGE(IF(TBRCarteira[Tipo]="FII",TBRCarteira[Valorização %],0),G42)),LARGE(IF(TBRCarteira[Tipo]="FII",TBRCarteira[Valorização %],0),G42),0)</f>
        <v>0</v>
      </c>
      <c r="J42" s="16">
        <f ca="1">IF(ISNUMBER(MATCH(I42,TBRCarteira[Valorização %],0)),MATCH(I42,TBRCarteira[Valorização %],0),0)</f>
        <v>0</v>
      </c>
    </row>
    <row r="43" spans="2:10" x14ac:dyDescent="0.25">
      <c r="B43" s="27">
        <v>6</v>
      </c>
      <c r="C43" s="27" t="str" cm="1">
        <f t="array" aca="1" ref="C43" ca="1">IF(E43&lt;=0,"-",INDEX(TBRCarteira[Ativo],E43,1))</f>
        <v>CSNA3</v>
      </c>
      <c r="D43" s="32">
        <f ca="1">IF(ISNUMBER(LARGE(TBRCarteira[Valorização %],B43)),LARGE(TBRCarteira[Valorização %],B43),0)</f>
        <v>2.0818875780707841E-3</v>
      </c>
      <c r="E43" s="16">
        <f ca="1">IF(ISNUMBER(MATCH(D43,TBRCarteira[Valorização %],0)),MATCH(D43,TBRCarteira[Valorização %],0),0)</f>
        <v>1</v>
      </c>
      <c r="G43" s="27">
        <v>6</v>
      </c>
      <c r="H43" s="27" t="str" cm="1">
        <f t="array" aca="1" ref="H43" ca="1">IF(J43&lt;=0,"-",INDEX(TBRCarteira[Ativo],J43,1))</f>
        <v>-</v>
      </c>
      <c r="I43" s="31" cm="1">
        <f t="array" aca="1" ref="I43" ca="1">IF(ISNUMBER(LARGE(IF(TBRCarteira[Tipo]="FII",TBRCarteira[Valorização %],0),G43)),LARGE(IF(TBRCarteira[Tipo]="FII",TBRCarteira[Valorização %],0),G43),0)</f>
        <v>0</v>
      </c>
      <c r="J43" s="16">
        <f ca="1">IF(ISNUMBER(MATCH(I43,TBRCarteira[Valorização %],0)),MATCH(I43,TBRCarteira[Valorização %],0),0)</f>
        <v>0</v>
      </c>
    </row>
    <row r="44" spans="2:10" x14ac:dyDescent="0.25">
      <c r="B44" s="27">
        <v>5</v>
      </c>
      <c r="C44" s="27" t="str" cm="1">
        <f t="array" aca="1" ref="C44" ca="1">IF(E44&lt;=0,"-",INDEX(TBRCarteira[Ativo],E44,1))</f>
        <v>HGLG11</v>
      </c>
      <c r="D44" s="32">
        <f ca="1">IF(ISNUMBER(LARGE(TBRCarteira[Valorização %],B44)),LARGE(TBRCarteira[Valorização %],B44),0)</f>
        <v>3.7349987754103624E-3</v>
      </c>
      <c r="E44" s="16">
        <f ca="1">IF(ISNUMBER(MATCH(D44,TBRCarteira[Valorização %],0)),MATCH(D44,TBRCarteira[Valorização %],0),0)</f>
        <v>6</v>
      </c>
      <c r="G44" s="27">
        <v>5</v>
      </c>
      <c r="H44" s="27" t="str" cm="1">
        <f t="array" aca="1" ref="H44" ca="1">IF(J44&lt;=0,"-",INDEX(TBRCarteira[Ativo],J44,1))</f>
        <v>-</v>
      </c>
      <c r="I44" s="31" cm="1">
        <f t="array" aca="1" ref="I44" ca="1">IF(ISNUMBER(LARGE(IF(TBRCarteira[Tipo]="FII",TBRCarteira[Valorização %],0),G44)),LARGE(IF(TBRCarteira[Tipo]="FII",TBRCarteira[Valorização %],0),G44),0)</f>
        <v>0</v>
      </c>
      <c r="J44" s="16">
        <f ca="1">IF(ISNUMBER(MATCH(I44,TBRCarteira[Valorização %],0)),MATCH(I44,TBRCarteira[Valorização %],0),0)</f>
        <v>0</v>
      </c>
    </row>
    <row r="45" spans="2:10" x14ac:dyDescent="0.25">
      <c r="B45" s="27">
        <v>4</v>
      </c>
      <c r="C45" s="27" t="str" cm="1">
        <f t="array" aca="1" ref="C45" ca="1">IF(E45&lt;=0,"-",INDEX(TBRCarteira[Ativo],E45,1))</f>
        <v>FLRY3</v>
      </c>
      <c r="D45" s="32">
        <f ca="1">IF(ISNUMBER(LARGE(TBRCarteira[Valorização %],B45)),LARGE(TBRCarteira[Valorização %],B45),0)</f>
        <v>6.8540095956134339E-3</v>
      </c>
      <c r="E45" s="16">
        <f ca="1">IF(ISNUMBER(MATCH(D45,TBRCarteira[Valorização %],0)),MATCH(D45,TBRCarteira[Valorização %],0),0)</f>
        <v>2</v>
      </c>
      <c r="G45" s="27">
        <v>4</v>
      </c>
      <c r="H45" s="27" t="str" cm="1">
        <f t="array" aca="1" ref="H45" ca="1">IF(J45&lt;=0,"-",INDEX(TBRCarteira[Ativo],J45,1))</f>
        <v>HGLG11</v>
      </c>
      <c r="I45" s="31" cm="1">
        <f t="array" aca="1" ref="I45" ca="1">IF(ISNUMBER(LARGE(IF(TBRCarteira[Tipo]="FII",TBRCarteira[Valorização %],0),G45)),LARGE(IF(TBRCarteira[Tipo]="FII",TBRCarteira[Valorização %],0),G45),0)</f>
        <v>3.7349987754103624E-3</v>
      </c>
      <c r="J45" s="16">
        <f ca="1">IF(ISNUMBER(MATCH(I45,TBRCarteira[Valorização %],0)),MATCH(I45,TBRCarteira[Valorização %],0),0)</f>
        <v>6</v>
      </c>
    </row>
    <row r="46" spans="2:10" x14ac:dyDescent="0.25">
      <c r="B46" s="27">
        <v>3</v>
      </c>
      <c r="C46" s="27" t="str" cm="1">
        <f t="array" aca="1" ref="C46" ca="1">IF(E46&lt;=0,"-",INDEX(TBRCarteira[Ativo],E46,1))</f>
        <v>KNRI11</v>
      </c>
      <c r="D46" s="32">
        <f ca="1">IF(ISNUMBER(LARGE(TBRCarteira[Valorização %],B46)),LARGE(TBRCarteira[Valorização %],B46),0)</f>
        <v>7.3140749846341661E-3</v>
      </c>
      <c r="E46" s="16">
        <f ca="1">IF(ISNUMBER(MATCH(D46,TBRCarteira[Valorização %],0)),MATCH(D46,TBRCarteira[Valorização %],0),0)</f>
        <v>8</v>
      </c>
      <c r="G46" s="27">
        <v>3</v>
      </c>
      <c r="H46" s="27" t="str" cm="1">
        <f t="array" aca="1" ref="H46" ca="1">IF(J46&lt;=0,"-",INDEX(TBRCarteira[Ativo],J46,1))</f>
        <v>KNRI11</v>
      </c>
      <c r="I46" s="31" cm="1">
        <f t="array" aca="1" ref="I46" ca="1">IF(ISNUMBER(LARGE(IF(TBRCarteira[Tipo]="FII",TBRCarteira[Valorização %],0),G46)),LARGE(IF(TBRCarteira[Tipo]="FII",TBRCarteira[Valorização %],0),G46),0)</f>
        <v>7.3140749846341661E-3</v>
      </c>
      <c r="J46" s="16">
        <f ca="1">IF(ISNUMBER(MATCH(I46,TBRCarteira[Valorização %],0)),MATCH(I46,TBRCarteira[Valorização %],0),0)</f>
        <v>8</v>
      </c>
    </row>
    <row r="47" spans="2:10" x14ac:dyDescent="0.25">
      <c r="B47" s="27">
        <v>2</v>
      </c>
      <c r="C47" s="27" t="str" cm="1">
        <f t="array" aca="1" ref="C47" ca="1">IF(E47&lt;=0,"-",INDEX(TBRCarteira[Ativo],E47,1))</f>
        <v>HGRE11</v>
      </c>
      <c r="D47" s="32">
        <f ca="1">IF(ISNUMBER(LARGE(TBRCarteira[Valorização %],B47)),LARGE(TBRCarteira[Valorização %],B47),0)</f>
        <v>9.7921181475238098E-3</v>
      </c>
      <c r="E47" s="16">
        <f ca="1">IF(ISNUMBER(MATCH(D47,TBRCarteira[Valorização %],0)),MATCH(D47,TBRCarteira[Valorização %],0),0)</f>
        <v>7</v>
      </c>
      <c r="G47" s="27">
        <v>2</v>
      </c>
      <c r="H47" s="27" t="str" cm="1">
        <f t="array" aca="1" ref="H47" ca="1">IF(J47&lt;=0,"-",INDEX(TBRCarteira[Ativo],J47,1))</f>
        <v>HGRE11</v>
      </c>
      <c r="I47" s="31" cm="1">
        <f t="array" aca="1" ref="I47" ca="1">IF(ISNUMBER(LARGE(IF(TBRCarteira[Tipo]="FII",TBRCarteira[Valorização %],0),G47)),LARGE(IF(TBRCarteira[Tipo]="FII",TBRCarteira[Valorização %],0),G47),0)</f>
        <v>9.7921181475238098E-3</v>
      </c>
      <c r="J47" s="16">
        <f ca="1">IF(ISNUMBER(MATCH(I47,TBRCarteira[Valorização %],0)),MATCH(I47,TBRCarteira[Valorização %],0),0)</f>
        <v>7</v>
      </c>
    </row>
    <row r="48" spans="2:10" x14ac:dyDescent="0.25">
      <c r="B48" s="27">
        <v>1</v>
      </c>
      <c r="C48" s="27" t="str" cm="1">
        <f t="array" aca="1" ref="C48" ca="1">IF(E48&lt;=0,"-",INDEX(TBRCarteira[Ativo],E48,1))</f>
        <v>HGBS11</v>
      </c>
      <c r="D48" s="32">
        <f ca="1">IF(ISNUMBER(LARGE(TBRCarteira[Valorização %],B48)),LARGE(TBRCarteira[Valorização %],B48),0)</f>
        <v>1.0319498895948758E-2</v>
      </c>
      <c r="E48" s="16">
        <f ca="1">IF(ISNUMBER(MATCH(D48,TBRCarteira[Valorização %],0)),MATCH(D48,TBRCarteira[Valorização %],0),0)</f>
        <v>5</v>
      </c>
      <c r="G48" s="27">
        <v>1</v>
      </c>
      <c r="H48" s="27" t="str" cm="1">
        <f t="array" aca="1" ref="H48" ca="1">IF(J48&lt;=0,"-",INDEX(TBRCarteira[Ativo],J48,1))</f>
        <v>HGBS11</v>
      </c>
      <c r="I48" s="31" cm="1">
        <f t="array" aca="1" ref="I48" ca="1">IF(ISNUMBER(LARGE(IF(TBRCarteira[Tipo]="FII",TBRCarteira[Valorização %],0),G48)),LARGE(IF(TBRCarteira[Tipo]="FII",TBRCarteira[Valorização %],0),G48),0)</f>
        <v>1.0319498895948758E-2</v>
      </c>
      <c r="J48" s="16">
        <f ca="1">IF(ISNUMBER(MATCH(I48,TBRCarteira[Valorização %],0)),MATCH(I48,TBRCarteira[Valorização %],0),0)</f>
        <v>5</v>
      </c>
    </row>
    <row r="50" spans="2:9" x14ac:dyDescent="0.25">
      <c r="B50" s="22" t="s">
        <v>90</v>
      </c>
      <c r="C50" s="22"/>
      <c r="D50" s="22"/>
      <c r="E50" s="22"/>
      <c r="G50" s="22" t="s">
        <v>89</v>
      </c>
      <c r="H50" s="22"/>
      <c r="I50" s="22"/>
    </row>
    <row r="51" spans="2:9" x14ac:dyDescent="0.25">
      <c r="B51" s="15" t="s">
        <v>82</v>
      </c>
      <c r="C51" s="27" t="s">
        <v>0</v>
      </c>
      <c r="D51" s="15" t="s">
        <v>61</v>
      </c>
      <c r="E51" s="16" t="s">
        <v>84</v>
      </c>
      <c r="G51" s="15" t="s">
        <v>82</v>
      </c>
      <c r="H51" s="15" t="s">
        <v>0</v>
      </c>
      <c r="I51" s="15" t="s">
        <v>61</v>
      </c>
    </row>
    <row r="52" spans="2:9" x14ac:dyDescent="0.25">
      <c r="B52" s="27">
        <v>10</v>
      </c>
      <c r="C52" s="27" t="str" cm="1">
        <f t="array" aca="1" ref="C52" ca="1">IF(E52&lt;=0,"-",INDEX(TBRCarteira[Ativo],E52,1))</f>
        <v>-</v>
      </c>
      <c r="D52" s="33" cm="1">
        <f t="array" aca="1" ref="D52" ca="1">IF(ISNUMBER(LARGE(IF(TBRCarteira[Tipo]="EMPRESA",TBRCarteira[Valorização %],0),B52)),LARGE(IF(TBRCarteira[Tipo]="EMPRESA",TBRCarteira[Valorização %],0),B52),0)</f>
        <v>0</v>
      </c>
      <c r="E52" s="16">
        <f ca="1">IF(ISNUMBER(MATCH(D52,TBRCarteira[Valorização %],0)),MATCH(D52,TBRCarteira[Valorização %],0),0)</f>
        <v>0</v>
      </c>
      <c r="G52" s="27">
        <v>10</v>
      </c>
      <c r="H52" s="15" t="str" cm="1">
        <f t="array" aca="1" ref="H52:H61" ca="1">_xlfn.IFS($C$8=1,C39:C48,$C$8=2,C52:C61,$C$8=3,H39:H48)</f>
        <v>-</v>
      </c>
      <c r="I52" s="31" cm="1">
        <f t="array" aca="1" ref="I52:I61" ca="1">_xlfn.IFS($C$8=1,D39:D48,$C$8=2,D52:D61,$C$8=3,I39:I48)</f>
        <v>0</v>
      </c>
    </row>
    <row r="53" spans="2:9" x14ac:dyDescent="0.25">
      <c r="B53" s="27">
        <v>9</v>
      </c>
      <c r="C53" s="27" t="str" cm="1">
        <f t="array" aca="1" ref="C53" ca="1">IF(E53&lt;=0,"-",INDEX(TBRCarteira[Ativo],E53,1))</f>
        <v>ITSA4</v>
      </c>
      <c r="D53" s="33" cm="1">
        <f t="array" aca="1" ref="D53" ca="1">IF(ISNUMBER(LARGE(IF(TBRCarteira[Tipo]="EMPRESA",TBRCarteira[Valorização %],0),B53)),LARGE(IF(TBRCarteira[Tipo]="EMPRESA",TBRCarteira[Valorização %],0),B53),0)</f>
        <v>-9.316770186335404E-3</v>
      </c>
      <c r="E53" s="16">
        <f ca="1">IF(ISNUMBER(MATCH(D53,TBRCarteira[Valorização %],0)),MATCH(D53,TBRCarteira[Valorização %],0),0)</f>
        <v>3</v>
      </c>
      <c r="G53" s="27">
        <v>9</v>
      </c>
      <c r="H53" s="15" t="str">
        <f ca="1"/>
        <v>ITSA4</v>
      </c>
      <c r="I53" s="31">
        <f ca="1"/>
        <v>-9.316770186335404E-3</v>
      </c>
    </row>
    <row r="54" spans="2:9" x14ac:dyDescent="0.25">
      <c r="B54" s="27">
        <v>8</v>
      </c>
      <c r="C54" s="27" t="str" cm="1">
        <f t="array" aca="1" ref="C54" ca="1">IF(E54&lt;=0,"-",INDEX(TBRCarteira[Ativo],E54,1))</f>
        <v>TAEE4</v>
      </c>
      <c r="D54" s="33" cm="1">
        <f t="array" aca="1" ref="D54" ca="1">IF(ISNUMBER(LARGE(IF(TBRCarteira[Tipo]="EMPRESA",TBRCarteira[Valorização %],0),B54)),LARGE(IF(TBRCarteira[Tipo]="EMPRESA",TBRCarteira[Valorização %],0),B54),0)</f>
        <v>-7.550335570469799E-3</v>
      </c>
      <c r="E54" s="16">
        <f ca="1">IF(ISNUMBER(MATCH(D54,TBRCarteira[Valorização %],0)),MATCH(D54,TBRCarteira[Valorização %],0),0)</f>
        <v>9</v>
      </c>
      <c r="G54" s="27">
        <v>8</v>
      </c>
      <c r="H54" s="15" t="str">
        <f ca="1"/>
        <v>TAEE4</v>
      </c>
      <c r="I54" s="31">
        <f ca="1"/>
        <v>-7.550335570469799E-3</v>
      </c>
    </row>
    <row r="55" spans="2:9" x14ac:dyDescent="0.25">
      <c r="B55" s="27">
        <v>7</v>
      </c>
      <c r="C55" s="27" t="str" cm="1">
        <f t="array" aca="1" ref="C55" ca="1">IF(E55&lt;=0,"-",INDEX(TBRCarteira[Ativo],E55,1))</f>
        <v>PETR4</v>
      </c>
      <c r="D55" s="33" cm="1">
        <f t="array" aca="1" ref="D55" ca="1">IF(ISNUMBER(LARGE(IF(TBRCarteira[Tipo]="EMPRESA",TBRCarteira[Valorização %],0),B55)),LARGE(IF(TBRCarteira[Tipo]="EMPRESA",TBRCarteira[Valorização %],0),B55),0)</f>
        <v>-3.6214389183969096E-3</v>
      </c>
      <c r="E55" s="16">
        <f ca="1">IF(ISNUMBER(MATCH(D55,TBRCarteira[Valorização %],0)),MATCH(D55,TBRCarteira[Valorização %],0),0)</f>
        <v>4</v>
      </c>
      <c r="G55" s="27">
        <v>7</v>
      </c>
      <c r="H55" s="15" t="str">
        <f ca="1"/>
        <v>PETR4</v>
      </c>
      <c r="I55" s="31">
        <f ca="1"/>
        <v>-3.6214389183969096E-3</v>
      </c>
    </row>
    <row r="56" spans="2:9" x14ac:dyDescent="0.25">
      <c r="B56" s="27">
        <v>6</v>
      </c>
      <c r="C56" s="27" t="str" cm="1">
        <f t="array" aca="1" ref="C56" ca="1">IF(E56&lt;=0,"-",INDEX(TBRCarteira[Ativo],E56,1))</f>
        <v>-</v>
      </c>
      <c r="D56" s="33" cm="1">
        <f t="array" aca="1" ref="D56" ca="1">IF(ISNUMBER(LARGE(IF(TBRCarteira[Tipo]="EMPRESA",TBRCarteira[Valorização %],0),B56)),LARGE(IF(TBRCarteira[Tipo]="EMPRESA",TBRCarteira[Valorização %],0),B56),0)</f>
        <v>0</v>
      </c>
      <c r="E56" s="16">
        <f ca="1">IF(ISNUMBER(MATCH(D56,TBRCarteira[Valorização %],0)),MATCH(D56,TBRCarteira[Valorização %],0),0)</f>
        <v>0</v>
      </c>
      <c r="G56" s="27">
        <v>6</v>
      </c>
      <c r="H56" s="15" t="str">
        <f ca="1"/>
        <v>-</v>
      </c>
      <c r="I56" s="31">
        <f ca="1"/>
        <v>0</v>
      </c>
    </row>
    <row r="57" spans="2:9" x14ac:dyDescent="0.25">
      <c r="B57" s="27">
        <v>5</v>
      </c>
      <c r="C57" s="27" t="str" cm="1">
        <f t="array" aca="1" ref="C57" ca="1">IF(E57&lt;=0,"-",INDEX(TBRCarteira[Ativo],E57,1))</f>
        <v>-</v>
      </c>
      <c r="D57" s="33" cm="1">
        <f t="array" aca="1" ref="D57" ca="1">IF(ISNUMBER(LARGE(IF(TBRCarteira[Tipo]="EMPRESA",TBRCarteira[Valorização %],0),B57)),LARGE(IF(TBRCarteira[Tipo]="EMPRESA",TBRCarteira[Valorização %],0),B57),0)</f>
        <v>0</v>
      </c>
      <c r="E57" s="16">
        <f ca="1">IF(ISNUMBER(MATCH(D57,TBRCarteira[Valorização %],0)),MATCH(D57,TBRCarteira[Valorização %],0),0)</f>
        <v>0</v>
      </c>
      <c r="G57" s="27">
        <v>5</v>
      </c>
      <c r="H57" s="15" t="str">
        <f ca="1"/>
        <v>-</v>
      </c>
      <c r="I57" s="31">
        <f ca="1"/>
        <v>0</v>
      </c>
    </row>
    <row r="58" spans="2:9" x14ac:dyDescent="0.25">
      <c r="B58" s="27">
        <v>4</v>
      </c>
      <c r="C58" s="27" t="str" cm="1">
        <f t="array" aca="1" ref="C58" ca="1">IF(E58&lt;=0,"-",INDEX(TBRCarteira[Ativo],E58,1))</f>
        <v>-</v>
      </c>
      <c r="D58" s="33" cm="1">
        <f t="array" aca="1" ref="D58" ca="1">IF(ISNUMBER(LARGE(IF(TBRCarteira[Tipo]="EMPRESA",TBRCarteira[Valorização %],0),B58)),LARGE(IF(TBRCarteira[Tipo]="EMPRESA",TBRCarteira[Valorização %],0),B58),0)</f>
        <v>0</v>
      </c>
      <c r="E58" s="16">
        <f ca="1">IF(ISNUMBER(MATCH(D58,TBRCarteira[Valorização %],0)),MATCH(D58,TBRCarteira[Valorização %],0),0)</f>
        <v>0</v>
      </c>
      <c r="G58" s="27">
        <v>4</v>
      </c>
      <c r="H58" s="15" t="str">
        <f ca="1"/>
        <v>-</v>
      </c>
      <c r="I58" s="31">
        <f ca="1"/>
        <v>0</v>
      </c>
    </row>
    <row r="59" spans="2:9" x14ac:dyDescent="0.25">
      <c r="B59" s="27">
        <v>3</v>
      </c>
      <c r="C59" s="27" t="str" cm="1">
        <f t="array" aca="1" ref="C59" ca="1">IF(E59&lt;=0,"-",INDEX(TBRCarteira[Ativo],E59,1))</f>
        <v>-</v>
      </c>
      <c r="D59" s="33" cm="1">
        <f t="array" aca="1" ref="D59" ca="1">IF(ISNUMBER(LARGE(IF(TBRCarteira[Tipo]="EMPRESA",TBRCarteira[Valorização %],0),B59)),LARGE(IF(TBRCarteira[Tipo]="EMPRESA",TBRCarteira[Valorização %],0),B59),0)</f>
        <v>0</v>
      </c>
      <c r="E59" s="16">
        <f ca="1">IF(ISNUMBER(MATCH(D59,TBRCarteira[Valorização %],0)),MATCH(D59,TBRCarteira[Valorização %],0),0)</f>
        <v>0</v>
      </c>
      <c r="G59" s="27">
        <v>3</v>
      </c>
      <c r="H59" s="15" t="str">
        <f ca="1"/>
        <v>-</v>
      </c>
      <c r="I59" s="31">
        <f ca="1"/>
        <v>0</v>
      </c>
    </row>
    <row r="60" spans="2:9" x14ac:dyDescent="0.25">
      <c r="B60" s="27">
        <v>2</v>
      </c>
      <c r="C60" s="27" t="str" cm="1">
        <f t="array" aca="1" ref="C60" ca="1">IF(E60&lt;=0,"-",INDEX(TBRCarteira[Ativo],E60,1))</f>
        <v>CSNA3</v>
      </c>
      <c r="D60" s="33" cm="1">
        <f t="array" aca="1" ref="D60" ca="1">IF(ISNUMBER(LARGE(IF(TBRCarteira[Tipo]="EMPRESA",TBRCarteira[Valorização %],0),B60)),LARGE(IF(TBRCarteira[Tipo]="EMPRESA",TBRCarteira[Valorização %],0),B60),0)</f>
        <v>2.0818875780707841E-3</v>
      </c>
      <c r="E60" s="16">
        <f ca="1">IF(ISNUMBER(MATCH(D60,TBRCarteira[Valorização %],0)),MATCH(D60,TBRCarteira[Valorização %],0),0)</f>
        <v>1</v>
      </c>
      <c r="G60" s="27">
        <v>2</v>
      </c>
      <c r="H60" s="15" t="str">
        <f ca="1"/>
        <v>CSNA3</v>
      </c>
      <c r="I60" s="31">
        <f ca="1"/>
        <v>2.0818875780707841E-3</v>
      </c>
    </row>
    <row r="61" spans="2:9" x14ac:dyDescent="0.25">
      <c r="B61" s="27">
        <v>1</v>
      </c>
      <c r="C61" s="27" t="str" cm="1">
        <f t="array" aca="1" ref="C61" ca="1">IF(E61&lt;=0,"-",INDEX(TBRCarteira[Ativo],E61,1))</f>
        <v>FLRY3</v>
      </c>
      <c r="D61" s="33" cm="1">
        <f t="array" aca="1" ref="D61" ca="1">IF(ISNUMBER(LARGE(IF(TBRCarteira[Tipo]="EMPRESA",TBRCarteira[Valorização %],0),B61)),LARGE(IF(TBRCarteira[Tipo]="EMPRESA",TBRCarteira[Valorização %],0),B61),0)</f>
        <v>6.8540095956134339E-3</v>
      </c>
      <c r="E61" s="16">
        <f ca="1">IF(ISNUMBER(MATCH(D61,TBRCarteira[Valorização %],0)),MATCH(D61,TBRCarteira[Valorização %],0),0)</f>
        <v>2</v>
      </c>
      <c r="G61" s="27">
        <v>1</v>
      </c>
      <c r="H61" s="15" t="str">
        <f ca="1"/>
        <v>FLRY3</v>
      </c>
      <c r="I61" s="31">
        <f ca="1"/>
        <v>6.8540095956134339E-3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7D2E9-1982-4A0A-A748-A52A02ECB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Raportes</vt:lpstr>
      <vt:lpstr>Aportes</vt:lpstr>
      <vt:lpstr>Ativos</vt:lpstr>
      <vt:lpstr>RProventos</vt:lpstr>
      <vt:lpstr>Proventos</vt:lpstr>
      <vt:lpstr>RCarteira</vt:lpstr>
      <vt:lpstr>DashBoard</vt:lpstr>
      <vt:lpstr>DadosDashBoard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COUTO</dc:creator>
  <cp:lastModifiedBy>ALAN COUTO</cp:lastModifiedBy>
  <dcterms:created xsi:type="dcterms:W3CDTF">2024-04-23T11:20:53Z</dcterms:created>
  <dcterms:modified xsi:type="dcterms:W3CDTF">2024-04-24T18:20:35Z</dcterms:modified>
</cp:coreProperties>
</file>