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0.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430" codeName="{8C4F1C90-05EB-6A55-5F09-09C24B55AC0B}"/>
  <workbookPr showInkAnnotation="0" codeName="ThisWorkbook"/>
  <mc:AlternateContent xmlns:mc="http://schemas.openxmlformats.org/markup-compatibility/2006">
    <mc:Choice Requires="x15">
      <x15ac:absPath xmlns:x15ac="http://schemas.microsoft.com/office/spreadsheetml/2010/11/ac" url="C:\Users\alanj\Documents\GitHub\lemp11-nas\SATA_board\"/>
    </mc:Choice>
  </mc:AlternateContent>
  <xr:revisionPtr revIDLastSave="0" documentId="13_ncr:1_{1C43A251-76E0-40D7-8528-7C6F7DC2917F}" xr6:coauthVersionLast="47" xr6:coauthVersionMax="47" xr10:uidLastSave="{00000000-0000-0000-0000-000000000000}"/>
  <workbookProtection workbookPassword="CCC8" lockStructure="1"/>
  <bookViews>
    <workbookView xWindow="-21720" yWindow="-9165" windowWidth="21840" windowHeight="37920" tabRatio="285" xr2:uid="{00000000-000D-0000-FFFF-FFFF00000000}"/>
  </bookViews>
  <sheets>
    <sheet name="Design Converter" sheetId="1" r:id="rId1"/>
    <sheet name="BOM &amp; Schematic" sheetId="16" r:id="rId2"/>
    <sheet name="EVMs" sheetId="14" r:id="rId3"/>
    <sheet name="Variable Management" sheetId="2" state="hidden" r:id="rId4"/>
    <sheet name="Schematic Management" sheetId="22" state="hidden" r:id="rId5"/>
    <sheet name="Efficiency Plot Management" sheetId="19" state="hidden" r:id="rId6"/>
    <sheet name="Efficiency vs VIN Calculations" sheetId="20" state="hidden" r:id="rId7"/>
    <sheet name="Efficiency vs Load Calculations" sheetId="21" state="hidden" r:id="rId8"/>
    <sheet name="Stability Calculations" sheetId="17" state="hidden" r:id="rId9"/>
    <sheet name="Standard Value Calculator" sheetId="8" state="hidden" r:id="rId10"/>
    <sheet name="Snubber" sheetId="11" state="hidden" r:id="rId11"/>
    <sheet name="Parallel Output Caps" sheetId="6" state="hidden" r:id="rId12"/>
  </sheets>
  <definedNames>
    <definedName name="_Don1">'Variable Management'!$B$48</definedName>
    <definedName name="_Don2">'Variable Management'!$B$69</definedName>
    <definedName name="Acs">'Variable Management'!$B$294</definedName>
    <definedName name="Adc">'Stability Calculations'!$Q$3</definedName>
    <definedName name="AEA">'Variable Management'!$B$292</definedName>
    <definedName name="Afb">'Variable Management'!$B$293</definedName>
    <definedName name="Am">'Variable Management'!$B$297</definedName>
    <definedName name="Am_boost">'Variable Management'!$B$296</definedName>
    <definedName name="Am_buck">'Variable Management'!$B$295</definedName>
    <definedName name="Boost_CS_Threshold">'Variable Management'!$B$112</definedName>
    <definedName name="Boost_CS_Threshold_max">'Variable Management'!$B$113</definedName>
    <definedName name="Boost_CS_Threshold_min">'Variable Management'!$B$111</definedName>
    <definedName name="Buck_CS_threshold">'Variable Management'!$B$108</definedName>
    <definedName name="Buck_CS_threshold_max">'Variable Management'!$B$109</definedName>
    <definedName name="Buck_CS_threshold_min">'Variable Management'!$B$107</definedName>
    <definedName name="Cb">'Variable Management'!$B$233</definedName>
    <definedName name="Cbw">'Variable Management'!$B$288</definedName>
    <definedName name="Cby">'Variable Management'!$B$232</definedName>
    <definedName name="Cc1ea">'Variable Management'!$B$318</definedName>
    <definedName name="Cc1ea_u">'Variable Management'!$B$323</definedName>
    <definedName name="Cc2ea">'Variable Management'!$B$319</definedName>
    <definedName name="Cc2ea_u">'Variable Management'!$B$324</definedName>
    <definedName name="Cdither">'Variable Management'!$B$232</definedName>
    <definedName name="Cin">'Variable Management'!$B$189</definedName>
    <definedName name="CinEsrMax">'Variable Management'!$B$192</definedName>
    <definedName name="Cinmin">'Variable Management'!$B$187</definedName>
    <definedName name="Constant_Current_Loop_Setpoint">'Variable Management'!$B$154</definedName>
    <definedName name="Cout">'Variable Management'!$B$169</definedName>
    <definedName name="CoutEsr">'Variable Management'!$B$173</definedName>
    <definedName name="CoutEsrMax">'Variable Management'!$B$170</definedName>
    <definedName name="Coutmin">'Variable Management'!$B$167</definedName>
    <definedName name="CSAmp_gain">'Variable Management'!$B$237</definedName>
    <definedName name="Csb">'Variable Management'!$B$230</definedName>
    <definedName name="Csby">'Variable Management'!$B$231</definedName>
    <definedName name="Csideal">'Variable Management'!$B$139</definedName>
    <definedName name="Cslope">'Variable Management'!$B$141</definedName>
    <definedName name="Cslope_ideal">'Variable Management'!$B$139</definedName>
    <definedName name="Css">'Variable Management'!$B$205</definedName>
    <definedName name="Css_u">'Variable Management'!$B$206</definedName>
    <definedName name="D_max_buck_BB">'Variable Management'!$B$34</definedName>
    <definedName name="D_max_buck_enterBB">'Variable Management'!$B$38</definedName>
    <definedName name="D_max_exitBB_to_buck">'Variable Management'!$B$37</definedName>
    <definedName name="D_min_boost">'Variable Management'!$B$32</definedName>
    <definedName name="D_min_boost_exitBB_to_buck">'Variable Management'!$B$36</definedName>
    <definedName name="Deadtime">'Variable Management'!$B$361</definedName>
    <definedName name="DITHER">'Variable Management'!$O$10</definedName>
    <definedName name="Doff1">'Variable Management'!$B$49</definedName>
    <definedName name="Doff2">'Variable Management'!$B$70</definedName>
    <definedName name="Don_buckboost">'Variable Management'!$B$54</definedName>
    <definedName name="Don_Vinmax">'Variable Management'!$B$53</definedName>
    <definedName name="Don_Vinmax_2">'Variable Management'!$B$74</definedName>
    <definedName name="Don_Vinmin">'Variable Management'!$B$51</definedName>
    <definedName name="Don_Vinmin_2">'Variable Management'!$B$72</definedName>
    <definedName name="Don_Vinnom">'Variable Management'!$B$52</definedName>
    <definedName name="Don_Vinnom_2">'Variable Management'!$B$73</definedName>
    <definedName name="EFF_IOUT">'Efficiency Plot Management'!$B$5</definedName>
    <definedName name="EFF_VIN">'Efficiency Plot Management'!$B$7</definedName>
    <definedName name="Efficiency">'Variable Management'!$B$16</definedName>
    <definedName name="Fcross">'Variable Management'!$B$316</definedName>
    <definedName name="Fdither">'Variable Management'!$B$230</definedName>
    <definedName name="Fesr">'Variable Management'!$B$312</definedName>
    <definedName name="Fload_u">'Variable Management'!$B$306</definedName>
    <definedName name="Fp_dominant">'Variable Management'!$B$308</definedName>
    <definedName name="Fp1_u">'Variable Management'!$B$310</definedName>
    <definedName name="Fp2_u">'Variable Management'!$B$311</definedName>
    <definedName name="Frhp">'Variable Management'!$B$313</definedName>
    <definedName name="Fsw">'Variable Management'!$B$22</definedName>
    <definedName name="Fz1_u">'Variable Management'!$B$329</definedName>
    <definedName name="GBW">'Variable Management'!$B$287</definedName>
    <definedName name="Gfs_Q1">'Variable Management'!$B$372</definedName>
    <definedName name="Gfs_Q2">'Variable Management'!$D$372</definedName>
    <definedName name="Gfs_Q3">'Variable Management'!$B$389</definedName>
    <definedName name="Gfs_Q4">'Variable Management'!$D$389</definedName>
    <definedName name="gm">'Variable Management'!$B$239</definedName>
    <definedName name="gm_slopecomp">'Variable Management'!$B$241</definedName>
    <definedName name="Icoutrms">'Variable Management'!$B$160</definedName>
    <definedName name="Iin_Vinmax">'Variable Management'!$B$20</definedName>
    <definedName name="Iin_Vinmin">'Variable Management'!$B$18</definedName>
    <definedName name="Iin_Vinnom">'Variable Management'!$B$19</definedName>
    <definedName name="IL_peak_OCP">'Variable Management'!$B$137</definedName>
    <definedName name="Ilimit_DC">'Variable Management'!$B$100</definedName>
    <definedName name="ILpeak_OCP_Vinmax">'Variable Management'!$B$134</definedName>
    <definedName name="ILpeak_OCP_Vinmin">'Variable Management'!$B$132</definedName>
    <definedName name="ILpeak_OCP_Vinnom">'Variable Management'!$B$133</definedName>
    <definedName name="Iout">'Variable Management'!$B$13</definedName>
    <definedName name="Iout_OCP_Vinmax">'Variable Management'!$B$129</definedName>
    <definedName name="Iout_OCP_Vinmin">'Variable Management'!$B$127</definedName>
    <definedName name="Iout_OCP_Vinnom">'Variable Management'!$B$128</definedName>
    <definedName name="Iout_threshold">'Variable Management'!$B$155</definedName>
    <definedName name="Iq">'Variable Management'!$B$363</definedName>
    <definedName name="Ireverse">'Variable Management'!$B$401</definedName>
    <definedName name="Iripple_edgebuckboost">'Variable Management'!$B$81</definedName>
    <definedName name="Iripple_Vinmax">'Variable Management'!$B$80</definedName>
    <definedName name="Iripple_Vinmin">'Variable Management'!$B$78</definedName>
    <definedName name="Iripple_Vinnom">'Variable Management'!$B$79</definedName>
    <definedName name="Isc_const">'Variable Management'!$B$242</definedName>
    <definedName name="Islope_fixed">'Variable Management'!$B$143</definedName>
    <definedName name="Iss">'Variable Management'!$B$204</definedName>
    <definedName name="Iuvlo_hys">'Variable Management'!$B$223</definedName>
    <definedName name="Iuvlo1">'Variable Management'!$B$221</definedName>
    <definedName name="Iuvlo2">'Variable Management'!$B$222</definedName>
    <definedName name="k">'Variable Management'!$B$279</definedName>
    <definedName name="K_1">'Variable Management'!$B$283</definedName>
    <definedName name="k_boost">'Variable Management'!$B$276</definedName>
    <definedName name="k_buck">'Variable Management'!$B$274</definedName>
    <definedName name="K_SL">'Variable Management'!$B$251</definedName>
    <definedName name="KD">'Variable Management'!$B$284</definedName>
    <definedName name="KM">'Variable Management'!$B$282</definedName>
    <definedName name="Lf">'Variable Management'!$B$66</definedName>
    <definedName name="Lopt">'Variable Management'!$B$64</definedName>
    <definedName name="Ltc">'Variable Management'!$B$349</definedName>
    <definedName name="mc">'Variable Management'!$B$278</definedName>
    <definedName name="mc_boost">'Variable Management'!$B$275</definedName>
    <definedName name="mc_buck">'Variable Management'!$B$273</definedName>
    <definedName name="Pi">'Variable Management'!$B$236</definedName>
    <definedName name="PICTURE">INDIRECT('Efficiency Plot Management'!$A$2)</definedName>
    <definedName name="PICTURE2" localSheetId="0">INDIRECT('Schematic Management'!$A$2)</definedName>
    <definedName name="PICTURE2" localSheetId="4">INDIRECT('Schematic Management'!$A$2)</definedName>
    <definedName name="Pin">'Variable Management'!$B$17</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Management'!$B$15</definedName>
    <definedName name="_xlnm.Print_Area" localSheetId="1">'BOM &amp; Schematic'!$A$1:$J$81</definedName>
    <definedName name="_xlnm.Print_Area" localSheetId="0">'Design Converter'!$A$1:$Q$114</definedName>
    <definedName name="pterm1">'Stability Calculations'!$N$4</definedName>
    <definedName name="pterm2">'Stability Calculations'!$N$5</definedName>
    <definedName name="Q">'Variable Management'!$B$280</definedName>
    <definedName name="Qg_Q1">'Variable Management'!$B$368</definedName>
    <definedName name="Qg_Q2">'Variable Management'!$D$368</definedName>
    <definedName name="Qg_Q3">'Variable Management'!$B$385</definedName>
    <definedName name="Qg_Q4">'Variable Management'!$D$385</definedName>
    <definedName name="Qgd_Q1">'Variable Management'!$B$369</definedName>
    <definedName name="Qgd_Q2">'Variable Management'!$D$369</definedName>
    <definedName name="Qgd_Q3">'Variable Management'!$B$386</definedName>
    <definedName name="Qgd_Q4">'Variable Management'!$D$386</definedName>
    <definedName name="Qgs_Q1">'Variable Management'!$B$370</definedName>
    <definedName name="Qgs_Q2">'Variable Management'!$D$370</definedName>
    <definedName name="Qgs_Q3">'Variable Management'!$B$387</definedName>
    <definedName name="Qgs_Q4">'Variable Management'!$D$387</definedName>
    <definedName name="Qrr_Q1">'Variable Management'!$B$377</definedName>
    <definedName name="Qrr_Q2">'Variable Management'!$D$377</definedName>
    <definedName name="Qrr_Q3">'Variable Management'!$B$394</definedName>
    <definedName name="Qrr_Q4">'Variable Management'!$D$394</definedName>
    <definedName name="QrrSky_Q2">'Variable Management'!$B$400</definedName>
    <definedName name="QrrSky_Q3">'Variable Management'!$D$400</definedName>
    <definedName name="radconv">'Stability Calculations'!$Q$6</definedName>
    <definedName name="Rcea1">'Variable Management'!$B$317</definedName>
    <definedName name="Rcea1_u">'Variable Management'!$B$322</definedName>
    <definedName name="RCinEsr">'Variable Management'!$B$194</definedName>
    <definedName name="RCoutEsr">'Variable Management'!$B$173</definedName>
    <definedName name="Rdcr">'Variable Management'!$B$67</definedName>
    <definedName name="Rdson1">'Variable Management'!$B$366</definedName>
    <definedName name="Rdson2">'Variable Management'!$D$366</definedName>
    <definedName name="Rdson3">'Variable Management'!$B$383</definedName>
    <definedName name="Rdson4">'Variable Management'!$D$383</definedName>
    <definedName name="RdsonBotTc">'Variable Management'!$B$384</definedName>
    <definedName name="RdsonDRB">'Variable Management'!$B$358</definedName>
    <definedName name="RdsonDRB2">'Variable Management'!$B$359</definedName>
    <definedName name="RdsonDRT">'Variable Management'!$B$355</definedName>
    <definedName name="RdsonDRT2">'Variable Management'!$B$356</definedName>
    <definedName name="RdsonTopTc">'Variable Management'!$B$367</definedName>
    <definedName name="Rfadj">'Variable Management'!$B$25</definedName>
    <definedName name="Rfb1_">'Variable Management'!$B$332</definedName>
    <definedName name="Rfb2_">'Variable Management'!$B$333</definedName>
    <definedName name="Rfb2_u">'Variable Management'!$B$334</definedName>
    <definedName name="Rfets">'Variable Management'!$B$338</definedName>
    <definedName name="Rgate1">'Variable Management'!$B$371</definedName>
    <definedName name="Rgate2">'Variable Management'!$D$371</definedName>
    <definedName name="Rgate3">'Variable Management'!$B$388</definedName>
    <definedName name="Rgate4">'Variable Management'!$D$388</definedName>
    <definedName name="Ri">'Variable Management'!$B$238</definedName>
    <definedName name="Ro">'Variable Management'!$B$303</definedName>
    <definedName name="RoEA">'Variable Management'!$B$289</definedName>
    <definedName name="Rout">'Variable Management'!$B$14</definedName>
    <definedName name="Rpg">'Variable Management'!$B$225</definedName>
    <definedName name="Rs">'Variable Management'!$B$122</definedName>
    <definedName name="Rs_ideal">'Variable Management'!$B$121</definedName>
    <definedName name="Rsb">'Variable Management'!$B$226</definedName>
    <definedName name="Rshunt">'Variable Management'!$B$156</definedName>
    <definedName name="Rshunt_std">'Standard Value Calculator'!$O$21</definedName>
    <definedName name="Ruvlo1">'Variable Management'!$B$212</definedName>
    <definedName name="Ruvlo2">'Variable Management'!$B$213</definedName>
    <definedName name="SCH_DITH">'Schematic Management'!$B$5</definedName>
    <definedName name="SCH_NO_DITH">'Schematic Management'!$B$8</definedName>
    <definedName name="SCH_WITH_DITH">'Schematic Management'!$B$5</definedName>
    <definedName name="Se">'Variable Management'!$B$246</definedName>
    <definedName name="Se_ext">'Variable Management'!$B$254</definedName>
    <definedName name="Se_fixed">'Variable Management'!$B$244</definedName>
    <definedName name="Se_proportional">'Variable Management'!$B$245</definedName>
    <definedName name="Sf">'Variable Management'!$B$256</definedName>
    <definedName name="Sn">'Variable Management'!$B$255</definedName>
    <definedName name="Ta">'Variable Management'!$B$347</definedName>
    <definedName name="Tf_boost">'Variable Management'!$D$408</definedName>
    <definedName name="Tf_buck">'Variable Management'!$B$408</definedName>
    <definedName name="ThetaCa">'Variable Management'!$B$350</definedName>
    <definedName name="ThetaJA_Q1">'Variable Management'!$B$379</definedName>
    <definedName name="ThetaJA_Q2">'Variable Management'!$D$379</definedName>
    <definedName name="ThetaJA_Q3">'Variable Management'!$B$396</definedName>
    <definedName name="ThetaJA_Q4">'Variable Management'!$D$396</definedName>
    <definedName name="ThetaJaCtrl">'Variable Management'!$B$404</definedName>
    <definedName name="TL">'Variable Management'!$B$96</definedName>
    <definedName name="Toff_min_buck">'Variable Management'!$B$28</definedName>
    <definedName name="Toff_Vinmax">'Variable Management'!$B$262</definedName>
    <definedName name="Ton_min_boost">'Variable Management'!$B$29</definedName>
    <definedName name="Ton_Vinmin">'Variable Management'!$B$264</definedName>
    <definedName name="Tr_boost">'Variable Management'!$D$407</definedName>
    <definedName name="Tr_buck">'Variable Management'!$B$407</definedName>
    <definedName name="Trr_Q1">'Variable Management'!$B$378</definedName>
    <definedName name="Trr_Q2">'Variable Management'!$D$378</definedName>
    <definedName name="Trr_Q3">'Variable Management'!$B$395</definedName>
    <definedName name="Trr_Q4">'Variable Management'!$D$395</definedName>
    <definedName name="Ts">'Variable Management'!$B$23</definedName>
    <definedName name="Tss">'Variable Management'!$B$203</definedName>
    <definedName name="V_sc_fixed">'Variable Management'!$B$248</definedName>
    <definedName name="V_sc_proportional">'Variable Management'!$B$249</definedName>
    <definedName name="V_sc_total">'Variable Management'!$B$250</definedName>
    <definedName name="Vdd">'Variable Management'!$B$353</definedName>
    <definedName name="VfdSky_Q2">'Variable Management'!$B$399</definedName>
    <definedName name="VfdSky_Q3">'Variable Management'!$D$399</definedName>
    <definedName name="Vin">'Variable Management'!$B$8</definedName>
    <definedName name="VIN_BB_to_buck">'Variable Management'!$B$43</definedName>
    <definedName name="VIN_boost_to_BB">'Variable Management'!$B$41</definedName>
    <definedName name="VIN_edgebuckboost">'Variable Management'!$B$10</definedName>
    <definedName name="VIN_max">'Variable Management'!$B$9</definedName>
    <definedName name="VIN_min">'Variable Management'!$B$7</definedName>
    <definedName name="VIN_nom">'Variable Management'!$B$8</definedName>
    <definedName name="Vinripple1">'Variable Management'!$B$183</definedName>
    <definedName name="Vinripple2">'Variable Management'!$B$198</definedName>
    <definedName name="VINuvlo_off">'Variable Management'!$B$211</definedName>
    <definedName name="VINuvlo_on">'Variable Management'!$B$210</definedName>
    <definedName name="Vout">'Variable Management'!$B$12</definedName>
    <definedName name="Vref">'Variable Management'!$B$24</definedName>
    <definedName name="Vripple1">'Variable Management'!$B$76</definedName>
    <definedName name="Vripple2">'Variable Management'!$B$174</definedName>
    <definedName name="Vsd_Q1">'Variable Management'!$B$376</definedName>
    <definedName name="Vsd_Q2">'Variable Management'!$D$376</definedName>
    <definedName name="Vsd_Q3">'Variable Management'!$B$393</definedName>
    <definedName name="Vsd_Q4">'Variable Management'!$D$393</definedName>
    <definedName name="Vsp_Q1">'Variable Management'!$B$374</definedName>
    <definedName name="Vsp_Q2">'Variable Management'!$D$374</definedName>
    <definedName name="Vsp_Q3">'Variable Management'!$B$391</definedName>
    <definedName name="Vsp_Q4">'Variable Management'!$D$391</definedName>
    <definedName name="Vth_Q1">'Variable Management'!$B$373</definedName>
    <definedName name="Vth_Q2">'Variable Management'!$D$373</definedName>
    <definedName name="Vth_Q3">'Variable Management'!$B$390</definedName>
    <definedName name="Vth_Q4">'Variable Management'!$D$390</definedName>
    <definedName name="Vuvlo_hys">'Variable Management'!$B$220</definedName>
    <definedName name="Vuvlo_off">'Variable Management'!$B$219</definedName>
    <definedName name="Vuvlo_on">'Variable Management'!$B$218</definedName>
    <definedName name="z_RHP">'Stability Calculations'!$K$5</definedName>
    <definedName name="Zero1">'Stability Calculations'!$K$3</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0" i="2" l="1"/>
  <c r="B291" i="2" s="1"/>
  <c r="D61" i="1" l="1"/>
  <c r="C450" i="2"/>
  <c r="F60" i="1"/>
  <c r="F61" i="1"/>
  <c r="A2" i="22"/>
  <c r="B353" i="2" l="1"/>
  <c r="B68" i="21" l="1"/>
  <c r="B69" i="21" s="1"/>
  <c r="B60" i="21"/>
  <c r="B55" i="21"/>
  <c r="B35" i="21"/>
  <c r="B33" i="21"/>
  <c r="B30" i="21"/>
  <c r="B28" i="21"/>
  <c r="B27" i="21"/>
  <c r="B21" i="21"/>
  <c r="B15" i="21"/>
  <c r="B29" i="2"/>
  <c r="B60" i="20"/>
  <c r="B55" i="20"/>
  <c r="B35" i="20"/>
  <c r="B33" i="20"/>
  <c r="B30" i="20"/>
  <c r="B28" i="20"/>
  <c r="B27" i="20"/>
  <c r="B21" i="20"/>
  <c r="B15" i="20"/>
  <c r="A2" i="19"/>
  <c r="D400" i="2" l="1"/>
  <c r="D399" i="2"/>
  <c r="D396" i="2"/>
  <c r="D394" i="2"/>
  <c r="D393" i="2"/>
  <c r="D390" i="2"/>
  <c r="D389" i="2"/>
  <c r="D387" i="2"/>
  <c r="D386" i="2"/>
  <c r="D385" i="2"/>
  <c r="D383" i="2"/>
  <c r="D379" i="2"/>
  <c r="D377" i="2"/>
  <c r="B54" i="21" s="1"/>
  <c r="D376" i="2"/>
  <c r="B53" i="21" s="1"/>
  <c r="D373" i="2"/>
  <c r="D372" i="2"/>
  <c r="D371" i="2"/>
  <c r="B52" i="21" s="1"/>
  <c r="D370" i="2"/>
  <c r="D369" i="2"/>
  <c r="D368" i="2"/>
  <c r="B51" i="21" s="1"/>
  <c r="D366" i="2"/>
  <c r="B49" i="21" s="1"/>
  <c r="B56" i="20" l="1"/>
  <c r="B56" i="21"/>
  <c r="B52" i="20"/>
  <c r="B54" i="20"/>
  <c r="B51" i="20"/>
  <c r="B53" i="20"/>
  <c r="B49" i="20"/>
  <c r="K175" i="2"/>
  <c r="B389" i="2"/>
  <c r="B390" i="2"/>
  <c r="B386" i="2"/>
  <c r="B387" i="2"/>
  <c r="B377" i="2"/>
  <c r="B438" i="2"/>
  <c r="A55" i="16"/>
  <c r="C72" i="16" l="1"/>
  <c r="B424" i="2"/>
  <c r="A424" i="2"/>
  <c r="A426" i="2"/>
  <c r="B434" i="2"/>
  <c r="A56" i="16"/>
  <c r="A433"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I3" i="17" l="1"/>
  <c r="B447" i="2"/>
  <c r="A447" i="2"/>
  <c r="B288" i="2"/>
  <c r="B122" i="2"/>
  <c r="B125" i="2" l="1"/>
  <c r="C65" i="16"/>
  <c r="B238" i="2"/>
  <c r="B124" i="2"/>
  <c r="B326" i="2"/>
  <c r="B446" i="2"/>
  <c r="A446" i="2"/>
  <c r="B445" i="2"/>
  <c r="A445" i="2"/>
  <c r="L294" i="2" l="1"/>
  <c r="B300"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92" i="2"/>
  <c r="C6" i="17" s="1"/>
  <c r="Q6" i="17"/>
  <c r="B428" i="2" l="1"/>
  <c r="A428" i="2"/>
  <c r="B230" i="2"/>
  <c r="B231" i="2" s="1"/>
  <c r="B169" i="2"/>
  <c r="B154" i="2"/>
  <c r="B141" i="2"/>
  <c r="C52" i="16" s="1"/>
  <c r="B100" i="2"/>
  <c r="B212" i="2"/>
  <c r="B8" i="2"/>
  <c r="N47" i="1" s="1"/>
  <c r="B9" i="2"/>
  <c r="H11" i="21" l="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0"/>
  <c r="B24" i="21"/>
  <c r="B11" i="20"/>
  <c r="B156" i="2"/>
  <c r="B464" i="2" s="1"/>
  <c r="B435" i="2"/>
  <c r="B244" i="2"/>
  <c r="I255" i="2"/>
  <c r="A449" i="2"/>
  <c r="B299" i="2"/>
  <c r="B294" i="2"/>
  <c r="B474" i="2"/>
  <c r="B449" i="2"/>
  <c r="B471" i="2"/>
  <c r="G144" i="2"/>
  <c r="BU17" i="21" l="1"/>
  <c r="B16" i="21"/>
  <c r="BU16" i="21"/>
  <c r="BU15" i="21"/>
  <c r="BU14" i="21"/>
  <c r="BU13" i="21"/>
  <c r="BU12" i="21"/>
  <c r="BU11" i="21"/>
  <c r="BU9" i="21"/>
  <c r="BT17" i="20"/>
  <c r="BT16" i="20"/>
  <c r="B16" i="20"/>
  <c r="BT14" i="20"/>
  <c r="BT12" i="20"/>
  <c r="BT9" i="20"/>
  <c r="BT15" i="20"/>
  <c r="BT13" i="20"/>
  <c r="BT11" i="20"/>
  <c r="N21" i="8"/>
  <c r="A464" i="2"/>
  <c r="N6" i="8"/>
  <c r="E37" i="1"/>
  <c r="F3" i="17"/>
  <c r="CE17" i="21" l="1"/>
  <c r="CC17" i="21"/>
  <c r="CA17" i="21"/>
  <c r="BY17" i="21"/>
  <c r="BW17" i="21"/>
  <c r="CD17" i="21"/>
  <c r="CB17" i="21"/>
  <c r="BZ17" i="21"/>
  <c r="BX17" i="21"/>
  <c r="BV17" i="21"/>
  <c r="CD9" i="21"/>
  <c r="CB9" i="21"/>
  <c r="BZ9" i="21"/>
  <c r="BX9" i="21"/>
  <c r="BV9" i="21"/>
  <c r="CE9" i="21"/>
  <c r="CC9" i="21"/>
  <c r="CA9" i="21"/>
  <c r="BY9" i="21"/>
  <c r="BW9" i="21"/>
  <c r="CD11" i="21"/>
  <c r="CB11" i="21"/>
  <c r="BZ11" i="21"/>
  <c r="BX11" i="21"/>
  <c r="BV11" i="21"/>
  <c r="CE11" i="21"/>
  <c r="CC11" i="21"/>
  <c r="CA11" i="21"/>
  <c r="BY11" i="21"/>
  <c r="BW11" i="21"/>
  <c r="CD12" i="21"/>
  <c r="CB12" i="21"/>
  <c r="BZ12" i="21"/>
  <c r="BX12" i="21"/>
  <c r="BV12" i="21"/>
  <c r="CE12" i="21"/>
  <c r="CC12" i="21"/>
  <c r="CA12" i="21"/>
  <c r="BY12" i="21"/>
  <c r="BW12" i="21"/>
  <c r="CD13" i="21"/>
  <c r="CB13" i="21"/>
  <c r="BZ13" i="21"/>
  <c r="BX13" i="21"/>
  <c r="BV13" i="21"/>
  <c r="CE13" i="21"/>
  <c r="CC13" i="21"/>
  <c r="CA13" i="21"/>
  <c r="BY13" i="21"/>
  <c r="BW13" i="21"/>
  <c r="CD14" i="21"/>
  <c r="CB14" i="21"/>
  <c r="BZ14" i="21"/>
  <c r="BX14" i="21"/>
  <c r="BV14" i="21"/>
  <c r="CE14" i="21"/>
  <c r="CC14" i="21"/>
  <c r="CA14" i="21"/>
  <c r="BY14" i="21"/>
  <c r="BW14" i="21"/>
  <c r="CD15" i="21"/>
  <c r="CB15" i="21"/>
  <c r="BZ15" i="21"/>
  <c r="BX15" i="21"/>
  <c r="BV15" i="21"/>
  <c r="CE15" i="21"/>
  <c r="CC15" i="21"/>
  <c r="CA15" i="21"/>
  <c r="BY15" i="21"/>
  <c r="BW15" i="21"/>
  <c r="CD16" i="21"/>
  <c r="CB16" i="21"/>
  <c r="BZ16" i="21"/>
  <c r="BX16" i="21"/>
  <c r="BV16" i="21"/>
  <c r="CE16" i="21"/>
  <c r="CC16" i="21"/>
  <c r="CA16" i="21"/>
  <c r="BY16" i="21"/>
  <c r="BW16" i="21"/>
  <c r="CC9" i="20"/>
  <c r="CA9" i="20"/>
  <c r="BY9" i="20"/>
  <c r="BW9" i="20"/>
  <c r="BU9" i="20"/>
  <c r="CD9" i="20"/>
  <c r="CB9" i="20"/>
  <c r="BZ9" i="20"/>
  <c r="BX9" i="20"/>
  <c r="BV9" i="20"/>
  <c r="CD12" i="20"/>
  <c r="CB12" i="20"/>
  <c r="BZ12" i="20"/>
  <c r="BX12" i="20"/>
  <c r="BV12" i="20"/>
  <c r="CC12" i="20"/>
  <c r="CA12" i="20"/>
  <c r="BY12" i="20"/>
  <c r="BW12" i="20"/>
  <c r="BU12" i="20"/>
  <c r="CD14" i="20"/>
  <c r="CB14" i="20"/>
  <c r="BZ14" i="20"/>
  <c r="BX14" i="20"/>
  <c r="BV14" i="20"/>
  <c r="CC14" i="20"/>
  <c r="CA14" i="20"/>
  <c r="BY14" i="20"/>
  <c r="BW14" i="20"/>
  <c r="BU14" i="20"/>
  <c r="CC11" i="20"/>
  <c r="CA11" i="20"/>
  <c r="BY11" i="20"/>
  <c r="BW11" i="20"/>
  <c r="BU11" i="20"/>
  <c r="CD11" i="20"/>
  <c r="CB11" i="20"/>
  <c r="BZ11" i="20"/>
  <c r="BX11" i="20"/>
  <c r="BV11" i="20"/>
  <c r="CC13" i="20"/>
  <c r="CA13" i="20"/>
  <c r="BY13" i="20"/>
  <c r="BW13" i="20"/>
  <c r="BU13" i="20"/>
  <c r="CD13" i="20"/>
  <c r="CB13" i="20"/>
  <c r="BZ13" i="20"/>
  <c r="BX13" i="20"/>
  <c r="BV13" i="20"/>
  <c r="CC15" i="20"/>
  <c r="CA15" i="20"/>
  <c r="BY15" i="20"/>
  <c r="BW15" i="20"/>
  <c r="BU15" i="20"/>
  <c r="CD15" i="20"/>
  <c r="CB15" i="20"/>
  <c r="BZ15" i="20"/>
  <c r="BX15" i="20"/>
  <c r="BV15" i="20"/>
  <c r="CD16" i="20"/>
  <c r="CB16" i="20"/>
  <c r="BZ16" i="20"/>
  <c r="BX16" i="20"/>
  <c r="BV16" i="20"/>
  <c r="CC16" i="20"/>
  <c r="CA16" i="20"/>
  <c r="BY16" i="20"/>
  <c r="BW16" i="20"/>
  <c r="BU16" i="20"/>
  <c r="CD17" i="20"/>
  <c r="CB17" i="20"/>
  <c r="BZ17" i="20"/>
  <c r="BX17" i="20"/>
  <c r="BV17" i="20"/>
  <c r="CC17" i="20"/>
  <c r="BY17" i="20"/>
  <c r="BU17" i="20"/>
  <c r="CA17" i="20"/>
  <c r="BW17" i="20"/>
  <c r="B22" i="2"/>
  <c r="B25" i="2" s="1"/>
  <c r="B13" i="21" l="1"/>
  <c r="B78" i="21"/>
  <c r="B23" i="2"/>
  <c r="B36" i="2" s="1"/>
  <c r="B13" i="20"/>
  <c r="B78" i="20"/>
  <c r="B414" i="2"/>
  <c r="B251" i="2"/>
  <c r="B314" i="2"/>
  <c r="B248" i="2"/>
  <c r="N3" i="17"/>
  <c r="N5" i="17" s="1"/>
  <c r="N19" i="8"/>
  <c r="H3" i="8" s="1"/>
  <c r="D62" i="16"/>
  <c r="B32" i="2" l="1"/>
  <c r="B37" i="2"/>
  <c r="B33" i="2"/>
  <c r="B54" i="2" s="1"/>
  <c r="B34" i="2"/>
  <c r="B38" i="2"/>
  <c r="A626" i="17"/>
  <c r="C636" i="17"/>
  <c r="I63" i="16"/>
  <c r="I62" i="16"/>
  <c r="D63" i="16" l="1"/>
  <c r="C68" i="16"/>
  <c r="D68" i="16" s="1"/>
  <c r="D70" i="16"/>
  <c r="D74" i="16"/>
  <c r="C61" i="16"/>
  <c r="D59" i="16"/>
  <c r="D56" i="16"/>
  <c r="D55" i="16"/>
  <c r="D58" i="16"/>
  <c r="D53" i="16"/>
  <c r="D49" i="16"/>
  <c r="B451" i="2"/>
  <c r="B210" i="2"/>
  <c r="B213" i="2" s="1"/>
  <c r="B220" i="2"/>
  <c r="B223" i="2"/>
  <c r="F71" i="1" l="1"/>
  <c r="N16" i="8" l="1"/>
  <c r="O16" i="8" s="1"/>
  <c r="E212" i="2" s="1"/>
  <c r="H212" i="2" s="1"/>
  <c r="D77" i="1"/>
  <c r="G212" i="2" l="1"/>
  <c r="N17" i="8"/>
  <c r="O17" i="8" s="1"/>
  <c r="E213" i="2" s="1"/>
  <c r="B216" i="2" l="1"/>
  <c r="E63" i="1" s="1"/>
  <c r="E65" i="1"/>
  <c r="G213" i="2"/>
  <c r="D72" i="16"/>
  <c r="H213" i="2"/>
  <c r="B215" i="2"/>
  <c r="C73" i="16" l="1"/>
  <c r="D73" i="16" s="1"/>
  <c r="B425" i="2"/>
  <c r="A425" i="2"/>
  <c r="B173" i="2"/>
  <c r="B316" i="2"/>
  <c r="B12" i="2"/>
  <c r="BK8" i="21" s="1"/>
  <c r="B13" i="2"/>
  <c r="B66" i="2"/>
  <c r="B183" i="2"/>
  <c r="B400" i="2"/>
  <c r="B371" i="2"/>
  <c r="B42" i="21" s="1"/>
  <c r="B426" i="2"/>
  <c r="B433" i="2"/>
  <c r="B67" i="2"/>
  <c r="B19" i="21" s="1"/>
  <c r="B7" i="2"/>
  <c r="B189" i="2"/>
  <c r="B366" i="2"/>
  <c r="B37" i="21" s="1"/>
  <c r="B383" i="2"/>
  <c r="B332" i="2"/>
  <c r="N9" i="8" s="1"/>
  <c r="B396" i="2"/>
  <c r="B399" i="2"/>
  <c r="B58" i="21" s="1"/>
  <c r="B393" i="2"/>
  <c r="B203" i="2"/>
  <c r="B368" i="2"/>
  <c r="B385" i="2"/>
  <c r="B394" i="2"/>
  <c r="B376" i="2"/>
  <c r="B369" i="2"/>
  <c r="B370" i="2"/>
  <c r="B41" i="21" s="1"/>
  <c r="B373" i="2"/>
  <c r="B372" i="2"/>
  <c r="B43" i="21" s="1"/>
  <c r="B473" i="2"/>
  <c r="B379" i="2"/>
  <c r="B349" i="2"/>
  <c r="B194" i="2"/>
  <c r="B367" i="2"/>
  <c r="B384" i="2"/>
  <c r="D6" i="6"/>
  <c r="D7" i="6"/>
  <c r="D9" i="6"/>
  <c r="D10" i="6"/>
  <c r="D2" i="11"/>
  <c r="D3" i="11"/>
  <c r="B5" i="11"/>
  <c r="D5" i="11" s="1"/>
  <c r="A34" i="8"/>
  <c r="A35" i="8"/>
  <c r="A36" i="8"/>
  <c r="A37" i="8"/>
  <c r="A38" i="8"/>
  <c r="A39" i="8"/>
  <c r="A40" i="8"/>
  <c r="A41" i="8"/>
  <c r="A42" i="8"/>
  <c r="A43" i="8"/>
  <c r="A44" i="8"/>
  <c r="A45" i="8"/>
  <c r="A46" i="8"/>
  <c r="A58" i="8" s="1"/>
  <c r="A70" i="8" s="1"/>
  <c r="A82" i="8" s="1"/>
  <c r="A94" i="8" s="1"/>
  <c r="A106" i="8" s="1"/>
  <c r="A118" i="8" s="1"/>
  <c r="A130" i="8" s="1"/>
  <c r="A142" i="8" s="1"/>
  <c r="A154" i="8" s="1"/>
  <c r="A47" i="8"/>
  <c r="A48" i="8"/>
  <c r="A49" i="8"/>
  <c r="A50" i="8"/>
  <c r="A51" i="8"/>
  <c r="A52" i="8"/>
  <c r="A53" i="8"/>
  <c r="A54" i="8"/>
  <c r="A55" i="8"/>
  <c r="A56" i="8"/>
  <c r="A57" i="8"/>
  <c r="A59" i="8"/>
  <c r="A60" i="8"/>
  <c r="A72" i="8" s="1"/>
  <c r="A84" i="8" s="1"/>
  <c r="A96" i="8" s="1"/>
  <c r="A108" i="8" s="1"/>
  <c r="A120" i="8" s="1"/>
  <c r="A132" i="8" s="1"/>
  <c r="A144" i="8" s="1"/>
  <c r="A156" i="8" s="1"/>
  <c r="A61" i="8"/>
  <c r="A62" i="8"/>
  <c r="A63" i="8"/>
  <c r="A64" i="8"/>
  <c r="A65" i="8"/>
  <c r="A66" i="8"/>
  <c r="A67" i="8"/>
  <c r="A68" i="8"/>
  <c r="A69" i="8"/>
  <c r="A71" i="8"/>
  <c r="A73" i="8"/>
  <c r="A74" i="8"/>
  <c r="A75" i="8"/>
  <c r="A76" i="8"/>
  <c r="A77" i="8"/>
  <c r="A78" i="8"/>
  <c r="A79" i="8"/>
  <c r="A80" i="8"/>
  <c r="A81" i="8"/>
  <c r="A83" i="8"/>
  <c r="A85" i="8"/>
  <c r="A86" i="8"/>
  <c r="A87" i="8"/>
  <c r="A88" i="8"/>
  <c r="A89" i="8"/>
  <c r="A90" i="8"/>
  <c r="A91" i="8"/>
  <c r="A92" i="8"/>
  <c r="A93" i="8"/>
  <c r="A95" i="8"/>
  <c r="A97" i="8"/>
  <c r="A98" i="8"/>
  <c r="A99" i="8"/>
  <c r="A100" i="8"/>
  <c r="A101" i="8"/>
  <c r="A102" i="8"/>
  <c r="A103" i="8"/>
  <c r="A104" i="8"/>
  <c r="A105" i="8"/>
  <c r="A107" i="8"/>
  <c r="A109" i="8"/>
  <c r="A110" i="8"/>
  <c r="A111" i="8"/>
  <c r="A112" i="8"/>
  <c r="A113" i="8"/>
  <c r="A114" i="8"/>
  <c r="A115" i="8"/>
  <c r="A116" i="8"/>
  <c r="A117" i="8"/>
  <c r="A119" i="8"/>
  <c r="A121" i="8"/>
  <c r="A122" i="8"/>
  <c r="A123" i="8"/>
  <c r="A124" i="8"/>
  <c r="A125" i="8"/>
  <c r="A126" i="8"/>
  <c r="A127" i="8"/>
  <c r="A128" i="8"/>
  <c r="A140" i="8" s="1"/>
  <c r="A152" i="8" s="1"/>
  <c r="A129" i="8"/>
  <c r="A131" i="8"/>
  <c r="A133" i="8"/>
  <c r="A134" i="8"/>
  <c r="A135" i="8"/>
  <c r="A136" i="8"/>
  <c r="A137" i="8"/>
  <c r="A138" i="8"/>
  <c r="A139" i="8"/>
  <c r="A141" i="8"/>
  <c r="A143" i="8"/>
  <c r="A145" i="8"/>
  <c r="A146" i="8"/>
  <c r="A147" i="8"/>
  <c r="A148" i="8"/>
  <c r="A149" i="8"/>
  <c r="A150" i="8"/>
  <c r="A151" i="8"/>
  <c r="A153" i="8"/>
  <c r="A155" i="8"/>
  <c r="A157" i="8"/>
  <c r="A158" i="8"/>
  <c r="A159" i="8"/>
  <c r="I3" i="8"/>
  <c r="J3" i="8"/>
  <c r="B76" i="2"/>
  <c r="B165" i="2" s="1"/>
  <c r="A431" i="2"/>
  <c r="B431" i="2"/>
  <c r="A451" i="2"/>
  <c r="B472" i="2"/>
  <c r="B475" i="2" l="1"/>
  <c r="A46" i="16"/>
  <c r="AX9" i="21"/>
  <c r="AX10" i="21"/>
  <c r="AX11" i="21"/>
  <c r="AX12" i="21"/>
  <c r="AX13" i="21"/>
  <c r="AX14" i="21"/>
  <c r="AX15" i="21"/>
  <c r="AX16" i="21"/>
  <c r="AX17" i="21"/>
  <c r="AX18" i="21"/>
  <c r="AX19" i="21"/>
  <c r="AX20" i="21"/>
  <c r="AX21" i="21"/>
  <c r="AX22" i="21"/>
  <c r="AX23" i="21"/>
  <c r="AX24" i="21"/>
  <c r="AX25" i="21"/>
  <c r="AX26" i="21"/>
  <c r="AX27" i="21"/>
  <c r="AX28" i="21"/>
  <c r="AX29" i="21"/>
  <c r="AX30" i="21"/>
  <c r="AX31" i="21"/>
  <c r="AX32" i="21"/>
  <c r="AX33" i="21"/>
  <c r="AX34" i="21"/>
  <c r="AX35" i="21"/>
  <c r="AX36" i="21"/>
  <c r="AX37" i="21"/>
  <c r="AX38" i="21"/>
  <c r="AX39" i="21"/>
  <c r="AX40" i="21"/>
  <c r="AX41" i="21"/>
  <c r="AX42" i="21"/>
  <c r="AX43" i="21"/>
  <c r="AX44" i="21"/>
  <c r="AX45" i="21"/>
  <c r="AX46" i="21"/>
  <c r="AX47" i="21"/>
  <c r="AX48" i="21"/>
  <c r="AX49" i="21"/>
  <c r="AX50" i="21"/>
  <c r="AX51" i="21"/>
  <c r="AX52" i="21"/>
  <c r="AX53" i="21"/>
  <c r="AX54" i="21"/>
  <c r="AX55" i="21"/>
  <c r="AX56" i="21"/>
  <c r="AX57" i="21"/>
  <c r="AX58" i="21"/>
  <c r="AX59" i="21"/>
  <c r="AX60" i="21"/>
  <c r="AX61" i="21"/>
  <c r="AX62" i="21"/>
  <c r="AX63" i="21"/>
  <c r="AX64" i="21"/>
  <c r="AX65" i="21"/>
  <c r="AX66" i="21"/>
  <c r="AX67" i="21"/>
  <c r="AX68" i="21"/>
  <c r="AX69" i="21"/>
  <c r="AX70" i="21"/>
  <c r="AX71" i="21"/>
  <c r="AX72" i="21"/>
  <c r="AX73" i="21"/>
  <c r="AX74" i="21"/>
  <c r="AX75" i="21"/>
  <c r="AX76" i="21"/>
  <c r="AX77" i="21"/>
  <c r="AX78" i="21"/>
  <c r="AX79" i="21"/>
  <c r="AX80" i="21"/>
  <c r="AX81" i="21"/>
  <c r="AX82" i="21"/>
  <c r="AX83" i="21"/>
  <c r="AX84" i="21"/>
  <c r="AX85" i="21"/>
  <c r="AX86" i="21"/>
  <c r="AX87" i="21"/>
  <c r="AX88" i="21"/>
  <c r="AX89" i="21"/>
  <c r="AX90" i="21"/>
  <c r="AX91" i="21"/>
  <c r="AX92" i="21"/>
  <c r="AX93" i="21"/>
  <c r="AX94" i="21"/>
  <c r="AX95" i="21"/>
  <c r="AX96" i="21"/>
  <c r="AX97" i="21"/>
  <c r="AX98" i="21"/>
  <c r="AX99" i="21"/>
  <c r="AX100" i="21"/>
  <c r="AX101" i="21"/>
  <c r="AX102" i="21"/>
  <c r="AX103" i="21"/>
  <c r="AX104" i="21"/>
  <c r="AX105" i="21"/>
  <c r="AX106" i="21"/>
  <c r="AX107" i="21"/>
  <c r="AX108" i="21"/>
  <c r="AX109" i="21"/>
  <c r="B4" i="11"/>
  <c r="D4" i="11" s="1"/>
  <c r="B6" i="11" s="1"/>
  <c r="D6" i="11" s="1"/>
  <c r="B38" i="21"/>
  <c r="B38" i="20"/>
  <c r="B20" i="21"/>
  <c r="B20" i="20"/>
  <c r="B44" i="20"/>
  <c r="B44" i="21"/>
  <c r="B40" i="20"/>
  <c r="B40" i="21"/>
  <c r="B39" i="21"/>
  <c r="B77" i="21"/>
  <c r="AZ108" i="21"/>
  <c r="AZ104" i="21"/>
  <c r="AZ100" i="21"/>
  <c r="AZ96" i="21"/>
  <c r="AZ92" i="21"/>
  <c r="AZ88" i="21"/>
  <c r="AZ84" i="21"/>
  <c r="AZ80" i="21"/>
  <c r="AZ79" i="21"/>
  <c r="AZ73" i="21"/>
  <c r="AZ59" i="21"/>
  <c r="AZ52" i="21"/>
  <c r="AZ45" i="21"/>
  <c r="AZ37" i="21"/>
  <c r="AZ28" i="21"/>
  <c r="AZ69" i="21"/>
  <c r="AZ64" i="21"/>
  <c r="AZ60" i="21"/>
  <c r="AZ51" i="21"/>
  <c r="AZ42" i="21"/>
  <c r="AZ35" i="21"/>
  <c r="AZ27" i="21"/>
  <c r="AZ20" i="21"/>
  <c r="AZ16" i="21"/>
  <c r="AZ14" i="21"/>
  <c r="AZ12" i="21"/>
  <c r="AZ9" i="21"/>
  <c r="AZ173" i="20"/>
  <c r="AZ156" i="20"/>
  <c r="AZ141" i="20"/>
  <c r="AZ124" i="20"/>
  <c r="AZ207" i="20"/>
  <c r="AZ197" i="20"/>
  <c r="AZ179" i="20"/>
  <c r="AZ163" i="20"/>
  <c r="AZ147" i="20"/>
  <c r="AZ131" i="20"/>
  <c r="AZ116" i="20"/>
  <c r="AZ194" i="20"/>
  <c r="AZ180" i="20"/>
  <c r="AZ161" i="20"/>
  <c r="AZ144" i="20"/>
  <c r="AZ128" i="20"/>
  <c r="AZ114" i="20"/>
  <c r="AZ202" i="20"/>
  <c r="AZ109" i="21"/>
  <c r="AZ105" i="21"/>
  <c r="AZ101" i="21"/>
  <c r="AZ97" i="21"/>
  <c r="AZ93" i="21"/>
  <c r="AZ89" i="21"/>
  <c r="AZ85" i="21"/>
  <c r="AZ81" i="21"/>
  <c r="AZ72" i="21"/>
  <c r="AZ74" i="21"/>
  <c r="AZ68" i="21"/>
  <c r="AZ54" i="21"/>
  <c r="AZ47" i="21"/>
  <c r="AZ39" i="21"/>
  <c r="AZ29" i="21"/>
  <c r="AZ23" i="21"/>
  <c r="AZ65" i="21"/>
  <c r="AZ61" i="21"/>
  <c r="AZ53" i="21"/>
  <c r="AZ44" i="21"/>
  <c r="AZ36" i="21"/>
  <c r="AZ30" i="21"/>
  <c r="AZ21" i="21"/>
  <c r="AZ17" i="21"/>
  <c r="AZ181" i="20"/>
  <c r="AZ168" i="20"/>
  <c r="AZ152" i="20"/>
  <c r="AZ135" i="20"/>
  <c r="AZ120" i="20"/>
  <c r="AZ205" i="20"/>
  <c r="AZ193" i="20"/>
  <c r="AZ175" i="20"/>
  <c r="AZ159" i="20"/>
  <c r="AZ145" i="20"/>
  <c r="AZ129" i="20"/>
  <c r="AZ112" i="20"/>
  <c r="AZ189" i="20"/>
  <c r="AZ176" i="20"/>
  <c r="AZ157" i="20"/>
  <c r="AZ142" i="20"/>
  <c r="AZ125" i="20"/>
  <c r="AZ209" i="20"/>
  <c r="AZ185" i="20"/>
  <c r="AZ106" i="21"/>
  <c r="AZ102" i="21"/>
  <c r="AZ98" i="21"/>
  <c r="AZ94" i="21"/>
  <c r="AZ90" i="21"/>
  <c r="AZ86" i="21"/>
  <c r="AZ82" i="21"/>
  <c r="AZ75" i="21"/>
  <c r="AZ76" i="21"/>
  <c r="AZ70" i="21"/>
  <c r="AZ56" i="21"/>
  <c r="AZ48" i="21"/>
  <c r="AZ41" i="21"/>
  <c r="AZ33" i="21"/>
  <c r="AZ25" i="21"/>
  <c r="AZ66" i="21"/>
  <c r="AZ62" i="21"/>
  <c r="AZ55" i="21"/>
  <c r="AZ46" i="21"/>
  <c r="AZ38" i="21"/>
  <c r="AZ31" i="21"/>
  <c r="AZ22" i="21"/>
  <c r="AZ19" i="21"/>
  <c r="AZ15" i="21"/>
  <c r="AZ13" i="21"/>
  <c r="AZ11" i="21"/>
  <c r="AZ184" i="20"/>
  <c r="AZ164" i="20"/>
  <c r="AZ148" i="20"/>
  <c r="AZ133" i="20"/>
  <c r="AZ115" i="20"/>
  <c r="AZ203" i="20"/>
  <c r="AZ190" i="20"/>
  <c r="AZ171" i="20"/>
  <c r="AZ155" i="20"/>
  <c r="AZ139" i="20"/>
  <c r="AZ123" i="20"/>
  <c r="AZ208" i="20"/>
  <c r="AZ187" i="20"/>
  <c r="AZ172" i="20"/>
  <c r="AZ153" i="20"/>
  <c r="AZ136" i="20"/>
  <c r="AZ122" i="20"/>
  <c r="AZ206" i="20"/>
  <c r="AZ196" i="20"/>
  <c r="AZ107" i="21"/>
  <c r="AZ103" i="21"/>
  <c r="AZ99" i="21"/>
  <c r="AZ95" i="21"/>
  <c r="AZ91" i="21"/>
  <c r="AZ87" i="21"/>
  <c r="AZ83" i="21"/>
  <c r="AZ77" i="21"/>
  <c r="AZ78" i="21"/>
  <c r="AZ71" i="21"/>
  <c r="AZ57" i="21"/>
  <c r="AZ50" i="21"/>
  <c r="AZ43" i="21"/>
  <c r="AZ34" i="21"/>
  <c r="AZ26" i="21"/>
  <c r="AZ67" i="21"/>
  <c r="AZ63" i="21"/>
  <c r="AZ58" i="21"/>
  <c r="AZ49" i="21"/>
  <c r="AZ40" i="21"/>
  <c r="AZ32" i="21"/>
  <c r="AZ24" i="21"/>
  <c r="AZ18" i="21"/>
  <c r="AZ10" i="21"/>
  <c r="AZ177" i="20"/>
  <c r="AZ160" i="20"/>
  <c r="AZ143" i="20"/>
  <c r="AZ127" i="20"/>
  <c r="AZ111" i="20"/>
  <c r="AZ201" i="20"/>
  <c r="AZ183" i="20"/>
  <c r="AZ167" i="20"/>
  <c r="AZ151" i="20"/>
  <c r="AZ137" i="20"/>
  <c r="AZ119" i="20"/>
  <c r="AZ198" i="20"/>
  <c r="AZ169" i="20"/>
  <c r="AZ165" i="20"/>
  <c r="AZ149" i="20"/>
  <c r="AZ134" i="20"/>
  <c r="AZ204" i="20"/>
  <c r="AZ186" i="20"/>
  <c r="AZ170" i="20"/>
  <c r="AZ154" i="20"/>
  <c r="AZ138" i="20"/>
  <c r="AZ121" i="20"/>
  <c r="AZ199" i="20"/>
  <c r="AZ191" i="20"/>
  <c r="AZ174" i="20"/>
  <c r="AZ158" i="20"/>
  <c r="AZ140" i="20"/>
  <c r="AZ126" i="20"/>
  <c r="AZ110" i="20"/>
  <c r="AZ188" i="20"/>
  <c r="AZ118" i="20"/>
  <c r="AZ200" i="20"/>
  <c r="AZ178" i="20"/>
  <c r="AZ162" i="20"/>
  <c r="AZ146" i="20"/>
  <c r="AZ130" i="20"/>
  <c r="AZ113" i="20"/>
  <c r="AZ192" i="20"/>
  <c r="AZ182" i="20"/>
  <c r="AZ166" i="20"/>
  <c r="AZ150" i="20"/>
  <c r="AZ132" i="20"/>
  <c r="AZ117" i="20"/>
  <c r="AZ195" i="20"/>
  <c r="B59" i="20"/>
  <c r="B59" i="21"/>
  <c r="B18" i="20"/>
  <c r="B18" i="21"/>
  <c r="B12" i="21"/>
  <c r="BC9" i="21"/>
  <c r="BF8" i="21"/>
  <c r="L9" i="21"/>
  <c r="BE8" i="21"/>
  <c r="BL8" i="21"/>
  <c r="B25" i="20"/>
  <c r="B25" i="21"/>
  <c r="B50" i="21"/>
  <c r="B50" i="20"/>
  <c r="B23" i="20"/>
  <c r="B23" i="21"/>
  <c r="B47" i="20"/>
  <c r="B47" i="21"/>
  <c r="B46" i="20"/>
  <c r="B46" i="21"/>
  <c r="K21" i="20"/>
  <c r="BC21" i="20" s="1"/>
  <c r="K23" i="20"/>
  <c r="BC23" i="20" s="1"/>
  <c r="K22" i="20"/>
  <c r="BC22" i="20" s="1"/>
  <c r="K13" i="21"/>
  <c r="K15" i="21"/>
  <c r="K17" i="21"/>
  <c r="K19" i="21"/>
  <c r="K21" i="21"/>
  <c r="K23" i="21"/>
  <c r="K25" i="21"/>
  <c r="K27" i="21"/>
  <c r="K29" i="21"/>
  <c r="K31" i="21"/>
  <c r="K33" i="21"/>
  <c r="K35" i="21"/>
  <c r="K37" i="21"/>
  <c r="K39" i="21"/>
  <c r="K41" i="21"/>
  <c r="K43" i="21"/>
  <c r="K45" i="21"/>
  <c r="K47" i="21"/>
  <c r="K49" i="21"/>
  <c r="K51" i="21"/>
  <c r="K53" i="21"/>
  <c r="K55" i="21"/>
  <c r="K57" i="21"/>
  <c r="K59" i="21"/>
  <c r="K61" i="21"/>
  <c r="K63" i="21"/>
  <c r="K65" i="21"/>
  <c r="K67" i="21"/>
  <c r="K69" i="21"/>
  <c r="K71" i="21"/>
  <c r="K73" i="21"/>
  <c r="K75" i="21"/>
  <c r="K77" i="21"/>
  <c r="K79" i="21"/>
  <c r="K81" i="21"/>
  <c r="K83" i="21"/>
  <c r="K85" i="21"/>
  <c r="K87" i="21"/>
  <c r="K89" i="21"/>
  <c r="K91" i="21"/>
  <c r="K93" i="21"/>
  <c r="K95" i="21"/>
  <c r="K97" i="21"/>
  <c r="K99" i="21"/>
  <c r="K101" i="21"/>
  <c r="K103" i="21"/>
  <c r="K105" i="21"/>
  <c r="K107" i="21"/>
  <c r="K109" i="21"/>
  <c r="K10" i="21"/>
  <c r="B14" i="21"/>
  <c r="K189" i="20"/>
  <c r="BC189" i="20" s="1"/>
  <c r="K190" i="20"/>
  <c r="BC190" i="20" s="1"/>
  <c r="K191" i="20"/>
  <c r="BC191" i="20" s="1"/>
  <c r="K192" i="20"/>
  <c r="BC192" i="20" s="1"/>
  <c r="K194" i="20"/>
  <c r="BC194" i="20" s="1"/>
  <c r="K117" i="20"/>
  <c r="BC117" i="20" s="1"/>
  <c r="K118" i="20"/>
  <c r="BC118" i="20" s="1"/>
  <c r="K119" i="20"/>
  <c r="BC119" i="20" s="1"/>
  <c r="K120" i="20"/>
  <c r="BC120" i="20" s="1"/>
  <c r="K121" i="20"/>
  <c r="BC121" i="20" s="1"/>
  <c r="K122" i="20"/>
  <c r="BC122" i="20" s="1"/>
  <c r="K123" i="20"/>
  <c r="BC123" i="20" s="1"/>
  <c r="K124" i="20"/>
  <c r="BC124" i="20" s="1"/>
  <c r="K125" i="20"/>
  <c r="BC125" i="20" s="1"/>
  <c r="K126" i="20"/>
  <c r="BC126" i="20" s="1"/>
  <c r="K127" i="20"/>
  <c r="BC127" i="20" s="1"/>
  <c r="K128" i="20"/>
  <c r="BC128" i="20" s="1"/>
  <c r="K129" i="20"/>
  <c r="BC129" i="20" s="1"/>
  <c r="K130" i="20"/>
  <c r="BC130" i="20" s="1"/>
  <c r="K131" i="20"/>
  <c r="BC131" i="20" s="1"/>
  <c r="K132" i="20"/>
  <c r="BC132" i="20" s="1"/>
  <c r="K133" i="20"/>
  <c r="BC133" i="20" s="1"/>
  <c r="K140" i="20"/>
  <c r="BC140" i="20" s="1"/>
  <c r="K141" i="20"/>
  <c r="BC141" i="20" s="1"/>
  <c r="K151" i="20"/>
  <c r="BC151" i="20" s="1"/>
  <c r="K152" i="20"/>
  <c r="BC152" i="20" s="1"/>
  <c r="K153" i="20"/>
  <c r="BC153" i="20" s="1"/>
  <c r="K154" i="20"/>
  <c r="BC154" i="20" s="1"/>
  <c r="K159" i="20"/>
  <c r="BC159" i="20" s="1"/>
  <c r="K160" i="20"/>
  <c r="BC160" i="20" s="1"/>
  <c r="K161" i="20"/>
  <c r="BC161" i="20" s="1"/>
  <c r="K162" i="20"/>
  <c r="BC162" i="20" s="1"/>
  <c r="K167" i="20"/>
  <c r="BC167" i="20" s="1"/>
  <c r="K168" i="20"/>
  <c r="BC168" i="20" s="1"/>
  <c r="K169" i="20"/>
  <c r="BC169" i="20" s="1"/>
  <c r="K170" i="20"/>
  <c r="BC170" i="20" s="1"/>
  <c r="K175" i="20"/>
  <c r="BC175" i="20" s="1"/>
  <c r="K176" i="20"/>
  <c r="BC176" i="20" s="1"/>
  <c r="K177" i="20"/>
  <c r="BC177" i="20" s="1"/>
  <c r="K178" i="20"/>
  <c r="BC178" i="20" s="1"/>
  <c r="K183" i="20"/>
  <c r="BC183" i="20" s="1"/>
  <c r="K184" i="20"/>
  <c r="BC184" i="20" s="1"/>
  <c r="K14" i="21"/>
  <c r="K16" i="21"/>
  <c r="K18" i="21"/>
  <c r="K20" i="21"/>
  <c r="K22" i="21"/>
  <c r="K24" i="21"/>
  <c r="K26" i="21"/>
  <c r="K28" i="21"/>
  <c r="K30" i="21"/>
  <c r="K32" i="21"/>
  <c r="K34" i="21"/>
  <c r="K36" i="21"/>
  <c r="K38" i="21"/>
  <c r="K40" i="21"/>
  <c r="K42" i="21"/>
  <c r="K44" i="21"/>
  <c r="K46" i="21"/>
  <c r="K48" i="21"/>
  <c r="K50" i="21"/>
  <c r="K52" i="21"/>
  <c r="K54" i="21"/>
  <c r="K56" i="21"/>
  <c r="K58" i="21"/>
  <c r="K60" i="21"/>
  <c r="K62" i="21"/>
  <c r="K64" i="21"/>
  <c r="K66" i="21"/>
  <c r="K68" i="21"/>
  <c r="K70" i="21"/>
  <c r="K72" i="21"/>
  <c r="K74" i="21"/>
  <c r="K76" i="21"/>
  <c r="K78" i="21"/>
  <c r="K80" i="21"/>
  <c r="K82" i="21"/>
  <c r="K84" i="21"/>
  <c r="K86" i="21"/>
  <c r="K88" i="21"/>
  <c r="K90" i="21"/>
  <c r="K92" i="21"/>
  <c r="K94" i="21"/>
  <c r="K96" i="21"/>
  <c r="K98" i="21"/>
  <c r="K100" i="21"/>
  <c r="K102" i="21"/>
  <c r="K104" i="21"/>
  <c r="K106" i="21"/>
  <c r="K108" i="21"/>
  <c r="K12" i="21"/>
  <c r="K11" i="21"/>
  <c r="K185" i="20"/>
  <c r="BC185" i="20" s="1"/>
  <c r="K186" i="20"/>
  <c r="BC186" i="20" s="1"/>
  <c r="K187" i="20"/>
  <c r="BC187" i="20" s="1"/>
  <c r="K188" i="20"/>
  <c r="BC188" i="20" s="1"/>
  <c r="K193" i="20"/>
  <c r="BC193" i="20" s="1"/>
  <c r="K195" i="20"/>
  <c r="BC195" i="20" s="1"/>
  <c r="K196" i="20"/>
  <c r="BC196" i="20" s="1"/>
  <c r="K197" i="20"/>
  <c r="BC197" i="20" s="1"/>
  <c r="K198" i="20"/>
  <c r="BC198" i="20" s="1"/>
  <c r="K199" i="20"/>
  <c r="BC199" i="20" s="1"/>
  <c r="K200" i="20"/>
  <c r="BC200" i="20" s="1"/>
  <c r="K201" i="20"/>
  <c r="BC201" i="20" s="1"/>
  <c r="K202" i="20"/>
  <c r="BC202" i="20" s="1"/>
  <c r="K203" i="20"/>
  <c r="BC203" i="20" s="1"/>
  <c r="K204" i="20"/>
  <c r="BC204" i="20" s="1"/>
  <c r="K205" i="20"/>
  <c r="BC205" i="20" s="1"/>
  <c r="K206" i="20"/>
  <c r="BC206" i="20" s="1"/>
  <c r="K207" i="20"/>
  <c r="BC207" i="20" s="1"/>
  <c r="K208" i="20"/>
  <c r="BC208" i="20" s="1"/>
  <c r="K209" i="20"/>
  <c r="BC209" i="20" s="1"/>
  <c r="K110" i="20"/>
  <c r="BC110" i="20" s="1"/>
  <c r="K111" i="20"/>
  <c r="BC111" i="20" s="1"/>
  <c r="K112" i="20"/>
  <c r="BC112" i="20" s="1"/>
  <c r="K113" i="20"/>
  <c r="BC113" i="20" s="1"/>
  <c r="K114" i="20"/>
  <c r="BC114" i="20" s="1"/>
  <c r="K115" i="20"/>
  <c r="BC115" i="20" s="1"/>
  <c r="K116" i="20"/>
  <c r="BC116" i="20" s="1"/>
  <c r="K134" i="20"/>
  <c r="BC134" i="20" s="1"/>
  <c r="K135" i="20"/>
  <c r="BC135" i="20" s="1"/>
  <c r="K136" i="20"/>
  <c r="BC136" i="20" s="1"/>
  <c r="K137" i="20"/>
  <c r="BC137" i="20" s="1"/>
  <c r="K138" i="20"/>
  <c r="BC138" i="20" s="1"/>
  <c r="K139" i="20"/>
  <c r="BC139" i="20" s="1"/>
  <c r="K142" i="20"/>
  <c r="BC142" i="20" s="1"/>
  <c r="K143" i="20"/>
  <c r="BC143" i="20" s="1"/>
  <c r="K144" i="20"/>
  <c r="BC144" i="20" s="1"/>
  <c r="K145" i="20"/>
  <c r="BC145" i="20" s="1"/>
  <c r="K146" i="20"/>
  <c r="BC146" i="20" s="1"/>
  <c r="K147" i="20"/>
  <c r="BC147" i="20" s="1"/>
  <c r="K148" i="20"/>
  <c r="BC148" i="20" s="1"/>
  <c r="K149" i="20"/>
  <c r="BC149" i="20" s="1"/>
  <c r="K150" i="20"/>
  <c r="BC150" i="20" s="1"/>
  <c r="K155" i="20"/>
  <c r="BC155" i="20" s="1"/>
  <c r="K156" i="20"/>
  <c r="BC156" i="20" s="1"/>
  <c r="K157" i="20"/>
  <c r="BC157" i="20" s="1"/>
  <c r="K158" i="20"/>
  <c r="BC158" i="20" s="1"/>
  <c r="K163" i="20"/>
  <c r="BC163" i="20" s="1"/>
  <c r="K164" i="20"/>
  <c r="BC164" i="20" s="1"/>
  <c r="K165" i="20"/>
  <c r="BC165" i="20" s="1"/>
  <c r="K166" i="20"/>
  <c r="BC166" i="20" s="1"/>
  <c r="K171" i="20"/>
  <c r="BC171" i="20" s="1"/>
  <c r="K172" i="20"/>
  <c r="BC172" i="20" s="1"/>
  <c r="K173" i="20"/>
  <c r="BC173" i="20" s="1"/>
  <c r="K174" i="20"/>
  <c r="BC174" i="20" s="1"/>
  <c r="K179" i="20"/>
  <c r="BC179" i="20" s="1"/>
  <c r="K180" i="20"/>
  <c r="BC180" i="20" s="1"/>
  <c r="K181" i="20"/>
  <c r="BC181" i="20" s="1"/>
  <c r="K182" i="20"/>
  <c r="BC182" i="20" s="1"/>
  <c r="B22" i="20"/>
  <c r="B22" i="21"/>
  <c r="H10" i="20"/>
  <c r="AX10" i="20" s="1"/>
  <c r="H14" i="20"/>
  <c r="AX14" i="20" s="1"/>
  <c r="H18" i="20"/>
  <c r="AX18" i="20" s="1"/>
  <c r="H22" i="20"/>
  <c r="AX22" i="20" s="1"/>
  <c r="H26" i="20"/>
  <c r="AX26" i="20" s="1"/>
  <c r="H30" i="20"/>
  <c r="AX30" i="20" s="1"/>
  <c r="H34" i="20"/>
  <c r="AX34" i="20" s="1"/>
  <c r="H38" i="20"/>
  <c r="AX38" i="20" s="1"/>
  <c r="H42" i="20"/>
  <c r="AX42" i="20" s="1"/>
  <c r="H46" i="20"/>
  <c r="AX46" i="20" s="1"/>
  <c r="H50" i="20"/>
  <c r="AX50" i="20" s="1"/>
  <c r="H54" i="20"/>
  <c r="AX54" i="20" s="1"/>
  <c r="H58" i="20"/>
  <c r="AX58" i="20" s="1"/>
  <c r="H62" i="20"/>
  <c r="AX62" i="20" s="1"/>
  <c r="H66" i="20"/>
  <c r="AX66" i="20" s="1"/>
  <c r="H70" i="20"/>
  <c r="AX70" i="20" s="1"/>
  <c r="H74" i="20"/>
  <c r="AX74" i="20" s="1"/>
  <c r="H78" i="20"/>
  <c r="AX78" i="20" s="1"/>
  <c r="H82" i="20"/>
  <c r="AX82" i="20" s="1"/>
  <c r="H86" i="20"/>
  <c r="AX86" i="20" s="1"/>
  <c r="H90" i="20"/>
  <c r="AX90" i="20" s="1"/>
  <c r="H94" i="20"/>
  <c r="AX94" i="20" s="1"/>
  <c r="H98" i="20"/>
  <c r="AX98" i="20" s="1"/>
  <c r="H102" i="20"/>
  <c r="AX102" i="20" s="1"/>
  <c r="H106" i="20"/>
  <c r="AX106" i="20" s="1"/>
  <c r="H110" i="20"/>
  <c r="AX110" i="20" s="1"/>
  <c r="H114" i="20"/>
  <c r="AX114" i="20" s="1"/>
  <c r="H118" i="20"/>
  <c r="AX118" i="20" s="1"/>
  <c r="H122" i="20"/>
  <c r="AX122" i="20" s="1"/>
  <c r="H126" i="20"/>
  <c r="AX126" i="20" s="1"/>
  <c r="H130" i="20"/>
  <c r="AX130" i="20" s="1"/>
  <c r="H134" i="20"/>
  <c r="AX134" i="20" s="1"/>
  <c r="H138" i="20"/>
  <c r="AX138" i="20" s="1"/>
  <c r="H142" i="20"/>
  <c r="AX142" i="20" s="1"/>
  <c r="H146" i="20"/>
  <c r="AX146" i="20" s="1"/>
  <c r="H150" i="20"/>
  <c r="AX150" i="20" s="1"/>
  <c r="H154" i="20"/>
  <c r="AX154" i="20" s="1"/>
  <c r="H158" i="20"/>
  <c r="AX158" i="20" s="1"/>
  <c r="H162" i="20"/>
  <c r="AX162" i="20" s="1"/>
  <c r="H166" i="20"/>
  <c r="AX166" i="20" s="1"/>
  <c r="H170" i="20"/>
  <c r="AX170" i="20" s="1"/>
  <c r="H174" i="20"/>
  <c r="AX174" i="20" s="1"/>
  <c r="H178" i="20"/>
  <c r="AX178" i="20" s="1"/>
  <c r="H13" i="20"/>
  <c r="AX13" i="20" s="1"/>
  <c r="H17" i="20"/>
  <c r="AX17" i="20" s="1"/>
  <c r="H21" i="20"/>
  <c r="AX21" i="20" s="1"/>
  <c r="H25" i="20"/>
  <c r="AX25" i="20" s="1"/>
  <c r="H29" i="20"/>
  <c r="AX29" i="20" s="1"/>
  <c r="H33" i="20"/>
  <c r="AX33" i="20" s="1"/>
  <c r="H37" i="20"/>
  <c r="AX37" i="20" s="1"/>
  <c r="H41" i="20"/>
  <c r="AX41" i="20" s="1"/>
  <c r="H45" i="20"/>
  <c r="AX45" i="20" s="1"/>
  <c r="H49" i="20"/>
  <c r="AX49" i="20" s="1"/>
  <c r="H53" i="20"/>
  <c r="AX53" i="20" s="1"/>
  <c r="H57" i="20"/>
  <c r="AX57" i="20" s="1"/>
  <c r="H61" i="20"/>
  <c r="AX61" i="20" s="1"/>
  <c r="H65" i="20"/>
  <c r="AX65" i="20" s="1"/>
  <c r="H69" i="20"/>
  <c r="AX69" i="20" s="1"/>
  <c r="H73" i="20"/>
  <c r="AX73" i="20" s="1"/>
  <c r="H77" i="20"/>
  <c r="AX77" i="20" s="1"/>
  <c r="H81" i="20"/>
  <c r="AX81" i="20" s="1"/>
  <c r="H85" i="20"/>
  <c r="AX85" i="20" s="1"/>
  <c r="H89" i="20"/>
  <c r="AX89" i="20" s="1"/>
  <c r="H93" i="20"/>
  <c r="AX93" i="20" s="1"/>
  <c r="H97" i="20"/>
  <c r="AX97" i="20" s="1"/>
  <c r="H101" i="20"/>
  <c r="AX101" i="20" s="1"/>
  <c r="H105" i="20"/>
  <c r="AX105" i="20" s="1"/>
  <c r="H109" i="20"/>
  <c r="AX109" i="20" s="1"/>
  <c r="H113" i="20"/>
  <c r="AX113" i="20" s="1"/>
  <c r="H117" i="20"/>
  <c r="AX117" i="20" s="1"/>
  <c r="H121" i="20"/>
  <c r="AX121" i="20" s="1"/>
  <c r="H125" i="20"/>
  <c r="AX125" i="20" s="1"/>
  <c r="H129" i="20"/>
  <c r="AX129" i="20" s="1"/>
  <c r="H133" i="20"/>
  <c r="AX133" i="20" s="1"/>
  <c r="H137" i="20"/>
  <c r="AX137" i="20" s="1"/>
  <c r="H141" i="20"/>
  <c r="AX141" i="20" s="1"/>
  <c r="H145" i="20"/>
  <c r="AX145" i="20" s="1"/>
  <c r="H149" i="20"/>
  <c r="AX149" i="20" s="1"/>
  <c r="H153" i="20"/>
  <c r="AX153" i="20" s="1"/>
  <c r="H157" i="20"/>
  <c r="AX157" i="20" s="1"/>
  <c r="H163" i="20"/>
  <c r="AX163" i="20" s="1"/>
  <c r="H171" i="20"/>
  <c r="AX171" i="20" s="1"/>
  <c r="H179" i="20"/>
  <c r="AX179" i="20" s="1"/>
  <c r="H183" i="20"/>
  <c r="AX183" i="20" s="1"/>
  <c r="H187" i="20"/>
  <c r="AX187" i="20" s="1"/>
  <c r="H12" i="20"/>
  <c r="AX12" i="20" s="1"/>
  <c r="H16" i="20"/>
  <c r="AX16" i="20" s="1"/>
  <c r="H20" i="20"/>
  <c r="AX20" i="20" s="1"/>
  <c r="H24" i="20"/>
  <c r="AX24" i="20" s="1"/>
  <c r="H28" i="20"/>
  <c r="AX28" i="20" s="1"/>
  <c r="H32" i="20"/>
  <c r="AX32" i="20" s="1"/>
  <c r="H36" i="20"/>
  <c r="AX36" i="20" s="1"/>
  <c r="H40" i="20"/>
  <c r="AX40" i="20" s="1"/>
  <c r="H44" i="20"/>
  <c r="AX44" i="20" s="1"/>
  <c r="H48" i="20"/>
  <c r="AX48" i="20" s="1"/>
  <c r="H52" i="20"/>
  <c r="AX52" i="20" s="1"/>
  <c r="H56" i="20"/>
  <c r="AX56" i="20" s="1"/>
  <c r="H60" i="20"/>
  <c r="AX60" i="20" s="1"/>
  <c r="H64" i="20"/>
  <c r="AX64" i="20" s="1"/>
  <c r="H68" i="20"/>
  <c r="AX68" i="20" s="1"/>
  <c r="H72" i="20"/>
  <c r="AX72" i="20" s="1"/>
  <c r="H76" i="20"/>
  <c r="AX76" i="20" s="1"/>
  <c r="H80" i="20"/>
  <c r="AX80" i="20" s="1"/>
  <c r="H84" i="20"/>
  <c r="AX84" i="20" s="1"/>
  <c r="H88" i="20"/>
  <c r="AX88" i="20" s="1"/>
  <c r="H92" i="20"/>
  <c r="AX92" i="20" s="1"/>
  <c r="H96" i="20"/>
  <c r="AX96" i="20" s="1"/>
  <c r="H100" i="20"/>
  <c r="AX100" i="20" s="1"/>
  <c r="H104" i="20"/>
  <c r="AX104" i="20" s="1"/>
  <c r="H108" i="20"/>
  <c r="AX108" i="20" s="1"/>
  <c r="H112" i="20"/>
  <c r="AX112" i="20" s="1"/>
  <c r="H116" i="20"/>
  <c r="AX116" i="20" s="1"/>
  <c r="H120" i="20"/>
  <c r="AX120" i="20" s="1"/>
  <c r="H124" i="20"/>
  <c r="AX124" i="20" s="1"/>
  <c r="H128" i="20"/>
  <c r="AX128" i="20" s="1"/>
  <c r="H132" i="20"/>
  <c r="AX132" i="20" s="1"/>
  <c r="H136" i="20"/>
  <c r="AX136" i="20" s="1"/>
  <c r="H140" i="20"/>
  <c r="AX140" i="20" s="1"/>
  <c r="H144" i="20"/>
  <c r="AX144" i="20" s="1"/>
  <c r="H148" i="20"/>
  <c r="AX148" i="20" s="1"/>
  <c r="H152" i="20"/>
  <c r="AX152" i="20" s="1"/>
  <c r="H156" i="20"/>
  <c r="AX156" i="20" s="1"/>
  <c r="H160" i="20"/>
  <c r="AX160" i="20" s="1"/>
  <c r="H164" i="20"/>
  <c r="AX164" i="20" s="1"/>
  <c r="H168" i="20"/>
  <c r="AX168" i="20" s="1"/>
  <c r="H172" i="20"/>
  <c r="AX172" i="20" s="1"/>
  <c r="H176" i="20"/>
  <c r="AX176" i="20" s="1"/>
  <c r="H11" i="20"/>
  <c r="AX11" i="20" s="1"/>
  <c r="H15" i="20"/>
  <c r="AX15" i="20" s="1"/>
  <c r="H19" i="20"/>
  <c r="AX19" i="20" s="1"/>
  <c r="H23" i="20"/>
  <c r="AX23" i="20" s="1"/>
  <c r="H27" i="20"/>
  <c r="AX27" i="20" s="1"/>
  <c r="H31" i="20"/>
  <c r="AX31" i="20" s="1"/>
  <c r="H35" i="20"/>
  <c r="AX35" i="20" s="1"/>
  <c r="H39" i="20"/>
  <c r="AX39" i="20" s="1"/>
  <c r="H43" i="20"/>
  <c r="AX43" i="20" s="1"/>
  <c r="H47" i="20"/>
  <c r="AX47" i="20" s="1"/>
  <c r="H51" i="20"/>
  <c r="AX51" i="20" s="1"/>
  <c r="H55" i="20"/>
  <c r="AX55" i="20" s="1"/>
  <c r="H59" i="20"/>
  <c r="AX59" i="20" s="1"/>
  <c r="H63" i="20"/>
  <c r="AX63" i="20" s="1"/>
  <c r="H67" i="20"/>
  <c r="AX67" i="20" s="1"/>
  <c r="H71" i="20"/>
  <c r="AX71" i="20" s="1"/>
  <c r="H75" i="20"/>
  <c r="AX75" i="20" s="1"/>
  <c r="H79" i="20"/>
  <c r="AX79" i="20" s="1"/>
  <c r="H83" i="20"/>
  <c r="AX83" i="20" s="1"/>
  <c r="H87" i="20"/>
  <c r="AX87" i="20" s="1"/>
  <c r="H91" i="20"/>
  <c r="AX91" i="20" s="1"/>
  <c r="H95" i="20"/>
  <c r="AX95" i="20" s="1"/>
  <c r="H99" i="20"/>
  <c r="AX99" i="20" s="1"/>
  <c r="H103" i="20"/>
  <c r="AX103" i="20" s="1"/>
  <c r="H107" i="20"/>
  <c r="AX107" i="20" s="1"/>
  <c r="H111" i="20"/>
  <c r="AX111" i="20" s="1"/>
  <c r="H115" i="20"/>
  <c r="AX115" i="20" s="1"/>
  <c r="H119" i="20"/>
  <c r="AX119" i="20" s="1"/>
  <c r="H123" i="20"/>
  <c r="AX123" i="20" s="1"/>
  <c r="H127" i="20"/>
  <c r="AX127" i="20" s="1"/>
  <c r="H131" i="20"/>
  <c r="AX131" i="20" s="1"/>
  <c r="H135" i="20"/>
  <c r="AX135" i="20" s="1"/>
  <c r="H139" i="20"/>
  <c r="AX139" i="20" s="1"/>
  <c r="H143" i="20"/>
  <c r="AX143" i="20" s="1"/>
  <c r="H147" i="20"/>
  <c r="AX147" i="20" s="1"/>
  <c r="H151" i="20"/>
  <c r="AX151" i="20" s="1"/>
  <c r="H155" i="20"/>
  <c r="AX155" i="20" s="1"/>
  <c r="H159" i="20"/>
  <c r="AX159" i="20" s="1"/>
  <c r="H167" i="20"/>
  <c r="AX167" i="20" s="1"/>
  <c r="H175" i="20"/>
  <c r="AX175" i="20" s="1"/>
  <c r="H181" i="20"/>
  <c r="AX181" i="20" s="1"/>
  <c r="H185" i="20"/>
  <c r="AX185" i="20" s="1"/>
  <c r="H189" i="20"/>
  <c r="AX189" i="20" s="1"/>
  <c r="H193" i="20"/>
  <c r="AX193" i="20" s="1"/>
  <c r="H197" i="20"/>
  <c r="AX197" i="20" s="1"/>
  <c r="H201" i="20"/>
  <c r="AX201" i="20" s="1"/>
  <c r="H205" i="20"/>
  <c r="AX205" i="20" s="1"/>
  <c r="H209" i="20"/>
  <c r="AX209" i="20" s="1"/>
  <c r="H165" i="20"/>
  <c r="AX165" i="20" s="1"/>
  <c r="H173" i="20"/>
  <c r="AX173" i="20" s="1"/>
  <c r="H180" i="20"/>
  <c r="AX180" i="20" s="1"/>
  <c r="H184" i="20"/>
  <c r="AX184" i="20" s="1"/>
  <c r="H188" i="20"/>
  <c r="AX188" i="20" s="1"/>
  <c r="H192" i="20"/>
  <c r="AX192" i="20" s="1"/>
  <c r="H196" i="20"/>
  <c r="AX196" i="20" s="1"/>
  <c r="H200" i="20"/>
  <c r="AX200" i="20" s="1"/>
  <c r="H204" i="20"/>
  <c r="AX204" i="20" s="1"/>
  <c r="H208" i="20"/>
  <c r="AX208" i="20" s="1"/>
  <c r="H191" i="20"/>
  <c r="AX191" i="20" s="1"/>
  <c r="H195" i="20"/>
  <c r="AX195" i="20" s="1"/>
  <c r="H199" i="20"/>
  <c r="AX199" i="20" s="1"/>
  <c r="H203" i="20"/>
  <c r="AX203" i="20" s="1"/>
  <c r="H207" i="20"/>
  <c r="AX207" i="20" s="1"/>
  <c r="H161" i="20"/>
  <c r="AX161" i="20" s="1"/>
  <c r="H169" i="20"/>
  <c r="AX169" i="20" s="1"/>
  <c r="H177" i="20"/>
  <c r="AX177" i="20" s="1"/>
  <c r="H182" i="20"/>
  <c r="AX182" i="20" s="1"/>
  <c r="H186" i="20"/>
  <c r="AX186" i="20" s="1"/>
  <c r="H190" i="20"/>
  <c r="AX190" i="20" s="1"/>
  <c r="H194" i="20"/>
  <c r="AX194" i="20" s="1"/>
  <c r="H198" i="20"/>
  <c r="AX198" i="20" s="1"/>
  <c r="H202" i="20"/>
  <c r="AX202" i="20" s="1"/>
  <c r="H206" i="20"/>
  <c r="AX206" i="20" s="1"/>
  <c r="H9" i="20"/>
  <c r="AX9" i="20" s="1"/>
  <c r="B43" i="20"/>
  <c r="B41" i="20"/>
  <c r="B77" i="20"/>
  <c r="B39" i="20"/>
  <c r="AZ106" i="20"/>
  <c r="AZ104" i="20"/>
  <c r="AZ101" i="20"/>
  <c r="AZ92" i="20"/>
  <c r="AZ93" i="20"/>
  <c r="AZ85" i="20"/>
  <c r="AZ86" i="20"/>
  <c r="AZ77" i="20"/>
  <c r="AZ70" i="20"/>
  <c r="AZ65" i="20"/>
  <c r="AZ73" i="20"/>
  <c r="AZ62" i="20"/>
  <c r="AZ57" i="20"/>
  <c r="AZ56" i="20"/>
  <c r="AZ52" i="20"/>
  <c r="AZ48" i="20"/>
  <c r="AZ28" i="20"/>
  <c r="AZ17" i="20"/>
  <c r="AZ44" i="20"/>
  <c r="AZ40" i="20"/>
  <c r="AZ36" i="20"/>
  <c r="AZ29" i="20"/>
  <c r="AZ22" i="20"/>
  <c r="AZ16" i="20"/>
  <c r="AZ15" i="20"/>
  <c r="AZ11" i="20"/>
  <c r="AZ108" i="20"/>
  <c r="AZ105" i="20"/>
  <c r="AZ103" i="20"/>
  <c r="AZ99" i="20"/>
  <c r="AZ87" i="20"/>
  <c r="AZ84" i="20"/>
  <c r="AZ69" i="20"/>
  <c r="AZ72" i="20"/>
  <c r="AZ58" i="20"/>
  <c r="AZ53" i="20"/>
  <c r="AZ31" i="20"/>
  <c r="AZ41" i="20"/>
  <c r="AZ30" i="20"/>
  <c r="AZ12" i="20"/>
  <c r="AZ91" i="20"/>
  <c r="AZ78" i="20"/>
  <c r="AZ67" i="20"/>
  <c r="AZ60" i="20"/>
  <c r="AZ55" i="20"/>
  <c r="AZ35" i="20"/>
  <c r="AZ47" i="20"/>
  <c r="AZ39" i="20"/>
  <c r="AZ25" i="20"/>
  <c r="AZ14" i="20"/>
  <c r="AZ10" i="20"/>
  <c r="AZ107" i="20"/>
  <c r="AZ100" i="20"/>
  <c r="AZ96" i="20"/>
  <c r="AZ97" i="20"/>
  <c r="AZ89" i="20"/>
  <c r="AZ90" i="20"/>
  <c r="AZ81" i="20"/>
  <c r="AZ75" i="20"/>
  <c r="AZ68" i="20"/>
  <c r="AZ80" i="20"/>
  <c r="AZ71" i="20"/>
  <c r="AZ59" i="20"/>
  <c r="AZ63" i="20"/>
  <c r="AZ54" i="20"/>
  <c r="AZ50" i="20"/>
  <c r="AZ34" i="20"/>
  <c r="AZ26" i="20"/>
  <c r="AZ46" i="20"/>
  <c r="AZ42" i="20"/>
  <c r="AZ38" i="20"/>
  <c r="AZ32" i="20"/>
  <c r="AZ24" i="20"/>
  <c r="AZ18" i="20"/>
  <c r="AZ19" i="20"/>
  <c r="AZ13" i="20"/>
  <c r="AZ9" i="20"/>
  <c r="AZ109" i="20"/>
  <c r="AZ102" i="20"/>
  <c r="AZ94" i="20"/>
  <c r="AZ95" i="20"/>
  <c r="AZ83" i="20"/>
  <c r="AZ76" i="20"/>
  <c r="AZ82" i="20"/>
  <c r="AZ64" i="20"/>
  <c r="AZ61" i="20"/>
  <c r="AZ49" i="20"/>
  <c r="AZ43" i="20"/>
  <c r="AZ37" i="20"/>
  <c r="AZ23" i="20"/>
  <c r="AZ98" i="20"/>
  <c r="AZ88" i="20"/>
  <c r="AZ74" i="20"/>
  <c r="AZ79" i="20"/>
  <c r="AZ66" i="20"/>
  <c r="AZ51" i="20"/>
  <c r="AZ27" i="20"/>
  <c r="AZ45" i="20"/>
  <c r="AZ33" i="20"/>
  <c r="AZ20" i="20"/>
  <c r="AZ21" i="20"/>
  <c r="B19" i="20"/>
  <c r="B12" i="20"/>
  <c r="B43" i="2"/>
  <c r="B37" i="20"/>
  <c r="B42" i="20"/>
  <c r="K26" i="20"/>
  <c r="BC26" i="20" s="1"/>
  <c r="K10" i="20"/>
  <c r="BC10" i="20" s="1"/>
  <c r="K12" i="20"/>
  <c r="BC12" i="20" s="1"/>
  <c r="K14" i="20"/>
  <c r="BC14" i="20" s="1"/>
  <c r="K16" i="20"/>
  <c r="BC16" i="20" s="1"/>
  <c r="K18" i="20"/>
  <c r="BC18" i="20" s="1"/>
  <c r="K20" i="20"/>
  <c r="BC20" i="20" s="1"/>
  <c r="K25" i="20"/>
  <c r="BC25" i="20" s="1"/>
  <c r="K28" i="20"/>
  <c r="BC28" i="20" s="1"/>
  <c r="K30" i="20"/>
  <c r="BC30" i="20" s="1"/>
  <c r="K32" i="20"/>
  <c r="BC32" i="20" s="1"/>
  <c r="K34" i="20"/>
  <c r="BC34" i="20" s="1"/>
  <c r="K36" i="20"/>
  <c r="BC36" i="20" s="1"/>
  <c r="K38" i="20"/>
  <c r="BC38" i="20" s="1"/>
  <c r="K40" i="20"/>
  <c r="BC40" i="20" s="1"/>
  <c r="K42" i="20"/>
  <c r="BC42" i="20" s="1"/>
  <c r="K44" i="20"/>
  <c r="BC44" i="20" s="1"/>
  <c r="K46" i="20"/>
  <c r="BC46" i="20" s="1"/>
  <c r="K48" i="20"/>
  <c r="BC48" i="20" s="1"/>
  <c r="K50" i="20"/>
  <c r="BC50" i="20" s="1"/>
  <c r="K52" i="20"/>
  <c r="BC52" i="20" s="1"/>
  <c r="K54" i="20"/>
  <c r="BC54" i="20" s="1"/>
  <c r="K56" i="20"/>
  <c r="BC56" i="20" s="1"/>
  <c r="K58" i="20"/>
  <c r="BC58" i="20" s="1"/>
  <c r="K60" i="20"/>
  <c r="BC60" i="20" s="1"/>
  <c r="K62" i="20"/>
  <c r="BC62" i="20" s="1"/>
  <c r="K64" i="20"/>
  <c r="BC64" i="20" s="1"/>
  <c r="K66" i="20"/>
  <c r="BC66" i="20" s="1"/>
  <c r="K68" i="20"/>
  <c r="BC68" i="20" s="1"/>
  <c r="K70" i="20"/>
  <c r="BC70" i="20" s="1"/>
  <c r="K72" i="20"/>
  <c r="BC72" i="20" s="1"/>
  <c r="K74" i="20"/>
  <c r="BC74" i="20" s="1"/>
  <c r="K76" i="20"/>
  <c r="BC76" i="20" s="1"/>
  <c r="K78" i="20"/>
  <c r="BC78" i="20" s="1"/>
  <c r="K80" i="20"/>
  <c r="BC80" i="20" s="1"/>
  <c r="K82" i="20"/>
  <c r="BC82" i="20" s="1"/>
  <c r="K84" i="20"/>
  <c r="BC84" i="20" s="1"/>
  <c r="K86" i="20"/>
  <c r="BC86" i="20" s="1"/>
  <c r="K88" i="20"/>
  <c r="BC88" i="20" s="1"/>
  <c r="K90" i="20"/>
  <c r="BC90" i="20" s="1"/>
  <c r="K92" i="20"/>
  <c r="BC92" i="20" s="1"/>
  <c r="K94" i="20"/>
  <c r="BC94" i="20" s="1"/>
  <c r="K96" i="20"/>
  <c r="BC96" i="20" s="1"/>
  <c r="K98" i="20"/>
  <c r="BC98" i="20" s="1"/>
  <c r="K100" i="20"/>
  <c r="BC100" i="20" s="1"/>
  <c r="K102" i="20"/>
  <c r="BC102" i="20" s="1"/>
  <c r="K104" i="20"/>
  <c r="BC104" i="20" s="1"/>
  <c r="K106" i="20"/>
  <c r="BC106" i="20" s="1"/>
  <c r="K108" i="20"/>
  <c r="BC108" i="20" s="1"/>
  <c r="K9" i="20"/>
  <c r="BC9" i="20" s="1"/>
  <c r="B14" i="20"/>
  <c r="K11" i="20"/>
  <c r="BC11" i="20" s="1"/>
  <c r="K13" i="20"/>
  <c r="BC13" i="20" s="1"/>
  <c r="K15" i="20"/>
  <c r="BC15" i="20" s="1"/>
  <c r="K17" i="20"/>
  <c r="BC17" i="20" s="1"/>
  <c r="K19" i="20"/>
  <c r="BC19" i="20" s="1"/>
  <c r="K24" i="20"/>
  <c r="BC24" i="20" s="1"/>
  <c r="K27" i="20"/>
  <c r="BC27" i="20" s="1"/>
  <c r="K29" i="20"/>
  <c r="BC29" i="20" s="1"/>
  <c r="K31" i="20"/>
  <c r="BC31" i="20" s="1"/>
  <c r="K33" i="20"/>
  <c r="BC33" i="20" s="1"/>
  <c r="K35" i="20"/>
  <c r="BC35" i="20" s="1"/>
  <c r="K37" i="20"/>
  <c r="BC37" i="20" s="1"/>
  <c r="K39" i="20"/>
  <c r="BC39" i="20" s="1"/>
  <c r="K41" i="20"/>
  <c r="BC41" i="20" s="1"/>
  <c r="K43" i="20"/>
  <c r="BC43" i="20" s="1"/>
  <c r="K45" i="20"/>
  <c r="BC45" i="20" s="1"/>
  <c r="K47" i="20"/>
  <c r="BC47" i="20" s="1"/>
  <c r="K49" i="20"/>
  <c r="BC49" i="20" s="1"/>
  <c r="K51" i="20"/>
  <c r="BC51" i="20" s="1"/>
  <c r="K53" i="20"/>
  <c r="BC53" i="20" s="1"/>
  <c r="K55" i="20"/>
  <c r="BC55" i="20" s="1"/>
  <c r="K57" i="20"/>
  <c r="BC57" i="20" s="1"/>
  <c r="K59" i="20"/>
  <c r="BC59" i="20" s="1"/>
  <c r="K61" i="20"/>
  <c r="BC61" i="20" s="1"/>
  <c r="K63" i="20"/>
  <c r="BC63" i="20" s="1"/>
  <c r="K65" i="20"/>
  <c r="BC65" i="20" s="1"/>
  <c r="K67" i="20"/>
  <c r="BC67" i="20" s="1"/>
  <c r="K69" i="20"/>
  <c r="BC69" i="20" s="1"/>
  <c r="K71" i="20"/>
  <c r="BC71" i="20" s="1"/>
  <c r="K73" i="20"/>
  <c r="BC73" i="20" s="1"/>
  <c r="K75" i="20"/>
  <c r="BC75" i="20" s="1"/>
  <c r="K77" i="20"/>
  <c r="BC77" i="20" s="1"/>
  <c r="K79" i="20"/>
  <c r="BC79" i="20" s="1"/>
  <c r="K81" i="20"/>
  <c r="BC81" i="20" s="1"/>
  <c r="K83" i="20"/>
  <c r="BC83" i="20" s="1"/>
  <c r="K85" i="20"/>
  <c r="BC85" i="20" s="1"/>
  <c r="K87" i="20"/>
  <c r="BC87" i="20" s="1"/>
  <c r="K89" i="20"/>
  <c r="BC89" i="20" s="1"/>
  <c r="K91" i="20"/>
  <c r="BC91" i="20" s="1"/>
  <c r="K93" i="20"/>
  <c r="BC93" i="20" s="1"/>
  <c r="K95" i="20"/>
  <c r="BC95" i="20" s="1"/>
  <c r="K97" i="20"/>
  <c r="BC97" i="20" s="1"/>
  <c r="K99" i="20"/>
  <c r="BC99" i="20" s="1"/>
  <c r="K101" i="20"/>
  <c r="BC101" i="20" s="1"/>
  <c r="K103" i="20"/>
  <c r="BC103" i="20" s="1"/>
  <c r="K105" i="20"/>
  <c r="BC105" i="20" s="1"/>
  <c r="K107" i="20"/>
  <c r="BC107" i="20" s="1"/>
  <c r="K109" i="20"/>
  <c r="BC109" i="20" s="1"/>
  <c r="B58" i="20"/>
  <c r="B139" i="2"/>
  <c r="B42" i="2"/>
  <c r="B40" i="2"/>
  <c r="B10" i="2" s="1"/>
  <c r="B81" i="2" s="1"/>
  <c r="D180" i="2"/>
  <c r="B41" i="2"/>
  <c r="D178" i="2"/>
  <c r="H178" i="2"/>
  <c r="D118" i="2"/>
  <c r="D117" i="2"/>
  <c r="D116" i="2"/>
  <c r="D179" i="2"/>
  <c r="D374" i="2"/>
  <c r="B413" i="2"/>
  <c r="B374" i="2"/>
  <c r="C415" i="2"/>
  <c r="B439" i="2"/>
  <c r="K311" i="2"/>
  <c r="A427" i="2"/>
  <c r="B427" i="2"/>
  <c r="D127" i="2"/>
  <c r="B245" i="2"/>
  <c r="B254" i="2"/>
  <c r="B256" i="2"/>
  <c r="B255" i="2"/>
  <c r="B259" i="2" s="1"/>
  <c r="E328" i="2"/>
  <c r="D129" i="2"/>
  <c r="D132" i="2"/>
  <c r="D134" i="2"/>
  <c r="B69" i="2"/>
  <c r="B333" i="2"/>
  <c r="N10"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5" i="2"/>
  <c r="B17" i="2" s="1"/>
  <c r="B293" i="2"/>
  <c r="B14" i="2"/>
  <c r="D160" i="2"/>
  <c r="E78" i="2"/>
  <c r="E79" i="2"/>
  <c r="D162" i="2"/>
  <c r="E80" i="2"/>
  <c r="B145" i="2"/>
  <c r="N149" i="2"/>
  <c r="D102" i="2"/>
  <c r="D149" i="2"/>
  <c r="C51" i="2"/>
  <c r="C72" i="2"/>
  <c r="C90" i="2"/>
  <c r="D60" i="2"/>
  <c r="M102" i="2"/>
  <c r="M104" i="2"/>
  <c r="C92" i="2"/>
  <c r="D62" i="2"/>
  <c r="M103" i="2"/>
  <c r="C52" i="2"/>
  <c r="D103" i="2"/>
  <c r="C74" i="2"/>
  <c r="C53" i="2"/>
  <c r="D151" i="2"/>
  <c r="N151" i="2"/>
  <c r="C73" i="2"/>
  <c r="N150" i="2"/>
  <c r="D61" i="2"/>
  <c r="C91" i="2"/>
  <c r="D104" i="2"/>
  <c r="B147" i="2"/>
  <c r="B146" i="2"/>
  <c r="B53" i="2"/>
  <c r="B51" i="2"/>
  <c r="B56" i="2" s="1"/>
  <c r="B52" i="2"/>
  <c r="B57" i="2" s="1"/>
  <c r="C48" i="2"/>
  <c r="B48" i="2"/>
  <c r="B205"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437" i="2"/>
  <c r="O21" i="8"/>
  <c r="N4" i="8"/>
  <c r="O4" i="8" s="1"/>
  <c r="E12" i="1" s="1"/>
  <c r="O9" i="8"/>
  <c r="F74" i="1"/>
  <c r="B351" i="2"/>
  <c r="D328"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19" i="8" s="1"/>
  <c r="E61"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95" i="2"/>
  <c r="B312" i="2"/>
  <c r="K3" i="17" s="1"/>
  <c r="B204"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B58" i="2" l="1"/>
  <c r="BC12" i="21"/>
  <c r="L12" i="21"/>
  <c r="BC106" i="21"/>
  <c r="L106" i="21"/>
  <c r="BC102" i="21"/>
  <c r="L102" i="21"/>
  <c r="BC98" i="21"/>
  <c r="L98" i="21"/>
  <c r="BC94" i="21"/>
  <c r="L94" i="21"/>
  <c r="BC90" i="21"/>
  <c r="L90" i="21"/>
  <c r="BC86" i="21"/>
  <c r="L86" i="21"/>
  <c r="BC82" i="21"/>
  <c r="L82" i="21"/>
  <c r="BC78" i="21"/>
  <c r="L78" i="21"/>
  <c r="BC74" i="21"/>
  <c r="L74" i="21"/>
  <c r="BC70" i="21"/>
  <c r="L70" i="21"/>
  <c r="BC66" i="21"/>
  <c r="L66" i="21"/>
  <c r="BC62" i="21"/>
  <c r="L62" i="21"/>
  <c r="BC58" i="21"/>
  <c r="L58" i="21"/>
  <c r="BC54" i="21"/>
  <c r="L54" i="21"/>
  <c r="BC50" i="21"/>
  <c r="L50" i="21"/>
  <c r="BC46" i="21"/>
  <c r="L46" i="21"/>
  <c r="BC42" i="21"/>
  <c r="L42" i="21"/>
  <c r="BC38" i="21"/>
  <c r="L38" i="21"/>
  <c r="BC34" i="21"/>
  <c r="L34" i="21"/>
  <c r="BC30" i="21"/>
  <c r="L30" i="21"/>
  <c r="BC26" i="21"/>
  <c r="L26" i="21"/>
  <c r="BC22" i="21"/>
  <c r="L22" i="21"/>
  <c r="BC18" i="21"/>
  <c r="L18" i="21"/>
  <c r="BC14" i="21"/>
  <c r="L14" i="21"/>
  <c r="BC10" i="21"/>
  <c r="L10" i="21"/>
  <c r="BC107" i="21"/>
  <c r="L107" i="21"/>
  <c r="BC103" i="21"/>
  <c r="L103" i="21"/>
  <c r="BC99" i="21"/>
  <c r="L99" i="21"/>
  <c r="BC95" i="21"/>
  <c r="L95" i="21"/>
  <c r="BC91" i="21"/>
  <c r="L91" i="21"/>
  <c r="BC87" i="21"/>
  <c r="L87" i="21"/>
  <c r="BC83" i="21"/>
  <c r="L83" i="21"/>
  <c r="BC79" i="21"/>
  <c r="L79" i="21"/>
  <c r="BC75" i="21"/>
  <c r="L75" i="21"/>
  <c r="BC71" i="21"/>
  <c r="L71" i="21"/>
  <c r="BC67" i="21"/>
  <c r="L67" i="21"/>
  <c r="BC63" i="21"/>
  <c r="L63" i="21"/>
  <c r="BC59" i="21"/>
  <c r="L59" i="21"/>
  <c r="BC55" i="21"/>
  <c r="L55" i="21"/>
  <c r="BC51" i="21"/>
  <c r="L51" i="21"/>
  <c r="BC47" i="21"/>
  <c r="L47" i="21"/>
  <c r="BC43" i="21"/>
  <c r="L43" i="21"/>
  <c r="BC39" i="21"/>
  <c r="L39" i="21"/>
  <c r="BC35" i="21"/>
  <c r="L35" i="21"/>
  <c r="BC31" i="21"/>
  <c r="L31" i="21"/>
  <c r="BC27" i="21"/>
  <c r="L27" i="21"/>
  <c r="BC23" i="21"/>
  <c r="L23" i="21"/>
  <c r="BC19" i="21"/>
  <c r="L19" i="21"/>
  <c r="BC15" i="21"/>
  <c r="L15" i="21"/>
  <c r="BC11" i="21"/>
  <c r="L11" i="21"/>
  <c r="BC108" i="21"/>
  <c r="L108" i="21"/>
  <c r="BC104" i="21"/>
  <c r="L104" i="21"/>
  <c r="BC100" i="21"/>
  <c r="L100" i="21"/>
  <c r="BC96" i="21"/>
  <c r="L96" i="21"/>
  <c r="BC92" i="21"/>
  <c r="L92" i="21"/>
  <c r="BC88" i="21"/>
  <c r="L88" i="21"/>
  <c r="BC84" i="21"/>
  <c r="L84" i="21"/>
  <c r="BC80" i="21"/>
  <c r="L80" i="21"/>
  <c r="BC76" i="21"/>
  <c r="L76" i="21"/>
  <c r="BC72" i="21"/>
  <c r="L72" i="21"/>
  <c r="BC68" i="21"/>
  <c r="L68" i="21"/>
  <c r="BC64" i="21"/>
  <c r="L64" i="21"/>
  <c r="BC60" i="21"/>
  <c r="L60" i="21"/>
  <c r="BC56" i="21"/>
  <c r="L56" i="21"/>
  <c r="BC52" i="21"/>
  <c r="L52" i="21"/>
  <c r="BC48" i="21"/>
  <c r="L48" i="21"/>
  <c r="BC44" i="21"/>
  <c r="L44" i="21"/>
  <c r="BC40" i="21"/>
  <c r="L40" i="21"/>
  <c r="BC36" i="21"/>
  <c r="L36" i="21"/>
  <c r="BC32" i="21"/>
  <c r="L32" i="21"/>
  <c r="BC28" i="21"/>
  <c r="L28" i="21"/>
  <c r="BC24" i="21"/>
  <c r="L24" i="21"/>
  <c r="BC20" i="21"/>
  <c r="L20" i="21"/>
  <c r="BC16" i="21"/>
  <c r="L16" i="21"/>
  <c r="BC109" i="21"/>
  <c r="L109" i="21"/>
  <c r="BC105" i="21"/>
  <c r="L105" i="21"/>
  <c r="BC101" i="21"/>
  <c r="L101" i="21"/>
  <c r="BC97" i="21"/>
  <c r="L97" i="21"/>
  <c r="BC93" i="21"/>
  <c r="L93" i="21"/>
  <c r="BC89" i="21"/>
  <c r="L89" i="21"/>
  <c r="BC85" i="21"/>
  <c r="L85" i="21"/>
  <c r="BC81" i="21"/>
  <c r="L81" i="21"/>
  <c r="BC77" i="21"/>
  <c r="L77" i="21"/>
  <c r="BC73" i="21"/>
  <c r="L73" i="21"/>
  <c r="BC69" i="21"/>
  <c r="L69" i="21"/>
  <c r="BC65" i="21"/>
  <c r="L65" i="21"/>
  <c r="BC61" i="21"/>
  <c r="L61" i="21"/>
  <c r="BC57" i="21"/>
  <c r="L57" i="21"/>
  <c r="BC53" i="21"/>
  <c r="L53" i="21"/>
  <c r="BC49" i="21"/>
  <c r="L49" i="21"/>
  <c r="BC45" i="21"/>
  <c r="L45" i="21"/>
  <c r="BC41" i="21"/>
  <c r="L41" i="21"/>
  <c r="BC37" i="21"/>
  <c r="L37" i="21"/>
  <c r="BC33" i="21"/>
  <c r="L33" i="21"/>
  <c r="BC29" i="21"/>
  <c r="L29" i="21"/>
  <c r="BC25" i="21"/>
  <c r="L25" i="21"/>
  <c r="BC21" i="21"/>
  <c r="L21" i="21"/>
  <c r="BC17" i="21"/>
  <c r="L17" i="21"/>
  <c r="BC13" i="21"/>
  <c r="L13" i="21"/>
  <c r="B73" i="21"/>
  <c r="B45" i="21"/>
  <c r="B72" i="21"/>
  <c r="I79" i="21"/>
  <c r="J79" i="21" s="1"/>
  <c r="AY79" i="21" s="1"/>
  <c r="I78" i="21"/>
  <c r="J78" i="21" s="1"/>
  <c r="AY78" i="21" s="1"/>
  <c r="I76" i="21"/>
  <c r="J76" i="21" s="1"/>
  <c r="AY76" i="21" s="1"/>
  <c r="I74" i="21"/>
  <c r="J74" i="21" s="1"/>
  <c r="AY74" i="21" s="1"/>
  <c r="I73" i="21"/>
  <c r="J73" i="21" s="1"/>
  <c r="AY73" i="21" s="1"/>
  <c r="I71" i="21"/>
  <c r="J71" i="21" s="1"/>
  <c r="AY71" i="21" s="1"/>
  <c r="I70" i="21"/>
  <c r="J70" i="21" s="1"/>
  <c r="AY70" i="21" s="1"/>
  <c r="I109" i="21"/>
  <c r="J109" i="21" s="1"/>
  <c r="AY109" i="21" s="1"/>
  <c r="I108" i="21"/>
  <c r="J108" i="21" s="1"/>
  <c r="AY108" i="21" s="1"/>
  <c r="I107" i="21"/>
  <c r="J107" i="21" s="1"/>
  <c r="AY107" i="21" s="1"/>
  <c r="I106" i="21"/>
  <c r="J106" i="21" s="1"/>
  <c r="AY106" i="21" s="1"/>
  <c r="I105" i="21"/>
  <c r="J105" i="21" s="1"/>
  <c r="AY105" i="21" s="1"/>
  <c r="I104" i="21"/>
  <c r="J104" i="21" s="1"/>
  <c r="AY104" i="21" s="1"/>
  <c r="I103" i="21"/>
  <c r="J103" i="21" s="1"/>
  <c r="AY103" i="21" s="1"/>
  <c r="I102" i="21"/>
  <c r="J102" i="21" s="1"/>
  <c r="AY102" i="21" s="1"/>
  <c r="I101" i="21"/>
  <c r="J101" i="21" s="1"/>
  <c r="AY101" i="21" s="1"/>
  <c r="I100" i="21"/>
  <c r="J100" i="21" s="1"/>
  <c r="AY100" i="21" s="1"/>
  <c r="I99" i="21"/>
  <c r="J99" i="21" s="1"/>
  <c r="AY99" i="21" s="1"/>
  <c r="I98" i="21"/>
  <c r="J98" i="21" s="1"/>
  <c r="AY98" i="21" s="1"/>
  <c r="I97" i="21"/>
  <c r="J97" i="21" s="1"/>
  <c r="AY97" i="21" s="1"/>
  <c r="I96" i="21"/>
  <c r="J96" i="21" s="1"/>
  <c r="AY96" i="21" s="1"/>
  <c r="I95" i="21"/>
  <c r="J95" i="21" s="1"/>
  <c r="AY95" i="21" s="1"/>
  <c r="I94" i="21"/>
  <c r="J94" i="21" s="1"/>
  <c r="AY94" i="21" s="1"/>
  <c r="I93" i="21"/>
  <c r="J93" i="21" s="1"/>
  <c r="AY93" i="21" s="1"/>
  <c r="I92" i="21"/>
  <c r="J92" i="21" s="1"/>
  <c r="AY92" i="21" s="1"/>
  <c r="I91" i="21"/>
  <c r="J91" i="21" s="1"/>
  <c r="AY91" i="21" s="1"/>
  <c r="I51" i="21"/>
  <c r="J51" i="21" s="1"/>
  <c r="AY51" i="21" s="1"/>
  <c r="I46" i="21"/>
  <c r="J46" i="21" s="1"/>
  <c r="AY46" i="21" s="1"/>
  <c r="I44" i="21"/>
  <c r="J44" i="21" s="1"/>
  <c r="AY44" i="21" s="1"/>
  <c r="I42" i="21"/>
  <c r="J42" i="21" s="1"/>
  <c r="AY42" i="21" s="1"/>
  <c r="I32" i="21"/>
  <c r="J32" i="21" s="1"/>
  <c r="AY32" i="21" s="1"/>
  <c r="I59" i="21"/>
  <c r="J59" i="21" s="1"/>
  <c r="AY59" i="21" s="1"/>
  <c r="I10" i="21"/>
  <c r="J10" i="21" s="1"/>
  <c r="AY10" i="21" s="1"/>
  <c r="I17" i="21"/>
  <c r="J17" i="21" s="1"/>
  <c r="AY17" i="21" s="1"/>
  <c r="I18" i="21"/>
  <c r="J18" i="21" s="1"/>
  <c r="AY18" i="21" s="1"/>
  <c r="I20" i="21"/>
  <c r="J20" i="21" s="1"/>
  <c r="AY20" i="21" s="1"/>
  <c r="I9" i="21"/>
  <c r="J9" i="21" s="1"/>
  <c r="AY9" i="21" s="1"/>
  <c r="I11" i="21"/>
  <c r="J11" i="21" s="1"/>
  <c r="AY11" i="21" s="1"/>
  <c r="I12" i="21"/>
  <c r="J12" i="21" s="1"/>
  <c r="AY12" i="21" s="1"/>
  <c r="I13" i="21"/>
  <c r="J13" i="21" s="1"/>
  <c r="AY13" i="21" s="1"/>
  <c r="I14" i="21"/>
  <c r="J14" i="21" s="1"/>
  <c r="AY14" i="21" s="1"/>
  <c r="I15" i="21"/>
  <c r="J15" i="21" s="1"/>
  <c r="AY15" i="21" s="1"/>
  <c r="I16" i="21"/>
  <c r="J16" i="21" s="1"/>
  <c r="AY16" i="21" s="1"/>
  <c r="I19" i="21"/>
  <c r="J19" i="21" s="1"/>
  <c r="AY19" i="21" s="1"/>
  <c r="I21" i="21"/>
  <c r="J21" i="21" s="1"/>
  <c r="AY21" i="21" s="1"/>
  <c r="I23" i="21"/>
  <c r="J23" i="21" s="1"/>
  <c r="AY23" i="21" s="1"/>
  <c r="I25" i="21"/>
  <c r="J25" i="21" s="1"/>
  <c r="AY25" i="21" s="1"/>
  <c r="I29" i="21"/>
  <c r="J29" i="21" s="1"/>
  <c r="AY29" i="21" s="1"/>
  <c r="I33" i="21"/>
  <c r="J33" i="21" s="1"/>
  <c r="AY33" i="21" s="1"/>
  <c r="I37" i="21"/>
  <c r="J37" i="21" s="1"/>
  <c r="AY37" i="21" s="1"/>
  <c r="I41" i="21"/>
  <c r="J41" i="21" s="1"/>
  <c r="AY41" i="21" s="1"/>
  <c r="I45" i="21"/>
  <c r="J45" i="21" s="1"/>
  <c r="AY45" i="21" s="1"/>
  <c r="I48" i="21"/>
  <c r="J48" i="21" s="1"/>
  <c r="AY48" i="21" s="1"/>
  <c r="I52" i="21"/>
  <c r="J52" i="21" s="1"/>
  <c r="AY52" i="21" s="1"/>
  <c r="I56" i="21"/>
  <c r="J56" i="21" s="1"/>
  <c r="AY56" i="21" s="1"/>
  <c r="I68" i="21"/>
  <c r="J68" i="21" s="1"/>
  <c r="AY68" i="21" s="1"/>
  <c r="I24" i="21"/>
  <c r="J24" i="21" s="1"/>
  <c r="AY24" i="21" s="1"/>
  <c r="I30" i="21"/>
  <c r="J30" i="21" s="1"/>
  <c r="AY30" i="21" s="1"/>
  <c r="I31" i="21"/>
  <c r="J31" i="21" s="1"/>
  <c r="AY31" i="21" s="1"/>
  <c r="I38" i="21"/>
  <c r="J38" i="21" s="1"/>
  <c r="AY38" i="21" s="1"/>
  <c r="I53" i="21"/>
  <c r="J53" i="21" s="1"/>
  <c r="AY53" i="21" s="1"/>
  <c r="I58" i="21"/>
  <c r="J58" i="21" s="1"/>
  <c r="AY58" i="21" s="1"/>
  <c r="I60" i="21"/>
  <c r="J60" i="21" s="1"/>
  <c r="AY60" i="21" s="1"/>
  <c r="I61" i="21"/>
  <c r="J61" i="21" s="1"/>
  <c r="AY61" i="21" s="1"/>
  <c r="I62" i="21"/>
  <c r="J62" i="21" s="1"/>
  <c r="AY62" i="21" s="1"/>
  <c r="I63" i="21"/>
  <c r="J63" i="21" s="1"/>
  <c r="AY63" i="21" s="1"/>
  <c r="I64" i="21"/>
  <c r="J64" i="21" s="1"/>
  <c r="AY64" i="21" s="1"/>
  <c r="I65" i="21"/>
  <c r="J65" i="21" s="1"/>
  <c r="AY65" i="21" s="1"/>
  <c r="I66" i="21"/>
  <c r="J66" i="21" s="1"/>
  <c r="AY66" i="21" s="1"/>
  <c r="I67" i="21"/>
  <c r="J67" i="21" s="1"/>
  <c r="AY67" i="21" s="1"/>
  <c r="I69" i="21"/>
  <c r="J69" i="21" s="1"/>
  <c r="AY69" i="21" s="1"/>
  <c r="I72" i="21"/>
  <c r="J72" i="21" s="1"/>
  <c r="AY72" i="21" s="1"/>
  <c r="I75" i="21"/>
  <c r="J75" i="21" s="1"/>
  <c r="AY75" i="21" s="1"/>
  <c r="I77" i="21"/>
  <c r="J77" i="21" s="1"/>
  <c r="AY77" i="21" s="1"/>
  <c r="I81" i="21"/>
  <c r="J81" i="21" s="1"/>
  <c r="AY81" i="21" s="1"/>
  <c r="I83" i="21"/>
  <c r="J83" i="21" s="1"/>
  <c r="AY83" i="21" s="1"/>
  <c r="I85" i="21"/>
  <c r="J85" i="21" s="1"/>
  <c r="AY85" i="21" s="1"/>
  <c r="I87" i="21"/>
  <c r="J87" i="21" s="1"/>
  <c r="AY87" i="21" s="1"/>
  <c r="I89" i="21"/>
  <c r="J89" i="21" s="1"/>
  <c r="AY89" i="21" s="1"/>
  <c r="I22" i="21"/>
  <c r="J22" i="21" s="1"/>
  <c r="AY22" i="21" s="1"/>
  <c r="I26" i="21"/>
  <c r="J26" i="21" s="1"/>
  <c r="AY26" i="21" s="1"/>
  <c r="I28" i="21"/>
  <c r="J28" i="21" s="1"/>
  <c r="AY28" i="21" s="1"/>
  <c r="I34" i="21"/>
  <c r="J34" i="21" s="1"/>
  <c r="AY34" i="21" s="1"/>
  <c r="I39" i="21"/>
  <c r="J39" i="21" s="1"/>
  <c r="AY39" i="21" s="1"/>
  <c r="I43" i="21"/>
  <c r="J43" i="21" s="1"/>
  <c r="AY43" i="21" s="1"/>
  <c r="I47" i="21"/>
  <c r="J47" i="21" s="1"/>
  <c r="AY47" i="21" s="1"/>
  <c r="I50" i="21"/>
  <c r="J50" i="21" s="1"/>
  <c r="AY50" i="21" s="1"/>
  <c r="I54" i="21"/>
  <c r="J54" i="21" s="1"/>
  <c r="AY54" i="21" s="1"/>
  <c r="I57" i="21"/>
  <c r="J57" i="21" s="1"/>
  <c r="AY57" i="21" s="1"/>
  <c r="I27" i="21"/>
  <c r="J27" i="21" s="1"/>
  <c r="AY27" i="21" s="1"/>
  <c r="I35" i="21"/>
  <c r="J35" i="21" s="1"/>
  <c r="AY35" i="21" s="1"/>
  <c r="I36" i="21"/>
  <c r="J36" i="21" s="1"/>
  <c r="AY36" i="21" s="1"/>
  <c r="I40" i="21"/>
  <c r="J40" i="21" s="1"/>
  <c r="AY40" i="21" s="1"/>
  <c r="I49" i="21"/>
  <c r="J49" i="21" s="1"/>
  <c r="AY49" i="21" s="1"/>
  <c r="I55" i="21"/>
  <c r="J55" i="21" s="1"/>
  <c r="AY55" i="21" s="1"/>
  <c r="I80" i="21"/>
  <c r="J80" i="21" s="1"/>
  <c r="AY80" i="21" s="1"/>
  <c r="I82" i="21"/>
  <c r="J82" i="21" s="1"/>
  <c r="AY82" i="21" s="1"/>
  <c r="I84" i="21"/>
  <c r="J84" i="21" s="1"/>
  <c r="AY84" i="21" s="1"/>
  <c r="I86" i="21"/>
  <c r="J86" i="21" s="1"/>
  <c r="AY86" i="21" s="1"/>
  <c r="I88" i="21"/>
  <c r="J88" i="21" s="1"/>
  <c r="AY88" i="21" s="1"/>
  <c r="I90" i="21"/>
  <c r="J90" i="21" s="1"/>
  <c r="AY90" i="21" s="1"/>
  <c r="AW79" i="21"/>
  <c r="AW78" i="21"/>
  <c r="AW76" i="21"/>
  <c r="AW74" i="21"/>
  <c r="AW73" i="21"/>
  <c r="AW71" i="21"/>
  <c r="AW70" i="21"/>
  <c r="AW109" i="21"/>
  <c r="AW108" i="21"/>
  <c r="AW107" i="21"/>
  <c r="AW106" i="21"/>
  <c r="AW105" i="21"/>
  <c r="AW104" i="21"/>
  <c r="AW103" i="21"/>
  <c r="AW102" i="21"/>
  <c r="AW101" i="21"/>
  <c r="AW100" i="21"/>
  <c r="AW99" i="21"/>
  <c r="AW98" i="21"/>
  <c r="AW97" i="21"/>
  <c r="AW96" i="21"/>
  <c r="AW95" i="21"/>
  <c r="AW94" i="21"/>
  <c r="AW93" i="21"/>
  <c r="AW92" i="21"/>
  <c r="AW91" i="21"/>
  <c r="AW90" i="21"/>
  <c r="AW89" i="21"/>
  <c r="AW88" i="21"/>
  <c r="AW87" i="21"/>
  <c r="AW86" i="21"/>
  <c r="AW85" i="21"/>
  <c r="AW84" i="21"/>
  <c r="AW83" i="21"/>
  <c r="AW82" i="21"/>
  <c r="AW81" i="21"/>
  <c r="AW80" i="21"/>
  <c r="AW77" i="21"/>
  <c r="AW75" i="21"/>
  <c r="AW72" i="21"/>
  <c r="AW69" i="21"/>
  <c r="AW67" i="21"/>
  <c r="AW66" i="21"/>
  <c r="AW65" i="21"/>
  <c r="AW64" i="21"/>
  <c r="AW63" i="21"/>
  <c r="AW62" i="21"/>
  <c r="AW61" i="21"/>
  <c r="AW60" i="21"/>
  <c r="AW58" i="21"/>
  <c r="AW55" i="21"/>
  <c r="AW53" i="21"/>
  <c r="AW51" i="21"/>
  <c r="AW49" i="21"/>
  <c r="AW46" i="21"/>
  <c r="AW44" i="21"/>
  <c r="AW42" i="21"/>
  <c r="AW40" i="21"/>
  <c r="AW38" i="21"/>
  <c r="AW36" i="21"/>
  <c r="AW35" i="21"/>
  <c r="AW32" i="21"/>
  <c r="AW31" i="21"/>
  <c r="AW30" i="21"/>
  <c r="AW27" i="21"/>
  <c r="AW24" i="21"/>
  <c r="AW22" i="21"/>
  <c r="AW21" i="21"/>
  <c r="AW68" i="21"/>
  <c r="AW59" i="21"/>
  <c r="AW57" i="21"/>
  <c r="AW56" i="21"/>
  <c r="AW54" i="21"/>
  <c r="AW52" i="21"/>
  <c r="AW50" i="21"/>
  <c r="AW48" i="21"/>
  <c r="AW47" i="21"/>
  <c r="AW45" i="21"/>
  <c r="AW43" i="21"/>
  <c r="AW41" i="21"/>
  <c r="AW39" i="21"/>
  <c r="AW37" i="21"/>
  <c r="AW34" i="21"/>
  <c r="AW33" i="21"/>
  <c r="AW29" i="21"/>
  <c r="AW28" i="21"/>
  <c r="AW26" i="21"/>
  <c r="AW25" i="21"/>
  <c r="AW23" i="21"/>
  <c r="AW19" i="21"/>
  <c r="AW16" i="21"/>
  <c r="AW15" i="21"/>
  <c r="AW14" i="21"/>
  <c r="AW13" i="21"/>
  <c r="AW12" i="21"/>
  <c r="AW11" i="21"/>
  <c r="AW9" i="21"/>
  <c r="AW186" i="20"/>
  <c r="AW188" i="20"/>
  <c r="AW189" i="20"/>
  <c r="AW191" i="20"/>
  <c r="AW196" i="20"/>
  <c r="AW198" i="20"/>
  <c r="AW200" i="20"/>
  <c r="AW202" i="20"/>
  <c r="AW204" i="20"/>
  <c r="AW206" i="20"/>
  <c r="AW208" i="20"/>
  <c r="AW110" i="20"/>
  <c r="AW112" i="20"/>
  <c r="AW114" i="20"/>
  <c r="AW116" i="20"/>
  <c r="AW117" i="20"/>
  <c r="AW119" i="20"/>
  <c r="AW121" i="20"/>
  <c r="AW123" i="20"/>
  <c r="AW125" i="20"/>
  <c r="AW127" i="20"/>
  <c r="AW129" i="20"/>
  <c r="AW131" i="20"/>
  <c r="AW133" i="20"/>
  <c r="AW134" i="20"/>
  <c r="AW136" i="20"/>
  <c r="AW138" i="20"/>
  <c r="AW141" i="20"/>
  <c r="AW142" i="20"/>
  <c r="AW144" i="20"/>
  <c r="AW146" i="20"/>
  <c r="AW148" i="20"/>
  <c r="AW150" i="20"/>
  <c r="AW151" i="20"/>
  <c r="AW153" i="20"/>
  <c r="AW156" i="20"/>
  <c r="AW158" i="20"/>
  <c r="AW159" i="20"/>
  <c r="AW161" i="20"/>
  <c r="AW164" i="20"/>
  <c r="AW166" i="20"/>
  <c r="AW167" i="20"/>
  <c r="AW169" i="20"/>
  <c r="AW172" i="20"/>
  <c r="AW174" i="20"/>
  <c r="AW175" i="20"/>
  <c r="AW177" i="20"/>
  <c r="AW180" i="20"/>
  <c r="AW182" i="20"/>
  <c r="AW183" i="20"/>
  <c r="AW20" i="21"/>
  <c r="AW18" i="21"/>
  <c r="AW17" i="21"/>
  <c r="AW10" i="21"/>
  <c r="AW185" i="20"/>
  <c r="AW187" i="20"/>
  <c r="AW190" i="20"/>
  <c r="AW192" i="20"/>
  <c r="AW193" i="20"/>
  <c r="AW194" i="20"/>
  <c r="AW195" i="20"/>
  <c r="AW197" i="20"/>
  <c r="AW199" i="20"/>
  <c r="AW201" i="20"/>
  <c r="AW203" i="20"/>
  <c r="AW205" i="20"/>
  <c r="AW207" i="20"/>
  <c r="AW209" i="20"/>
  <c r="AW111" i="20"/>
  <c r="AW113" i="20"/>
  <c r="AW115" i="20"/>
  <c r="AW118" i="20"/>
  <c r="AW120" i="20"/>
  <c r="AW122" i="20"/>
  <c r="AW124" i="20"/>
  <c r="AW126" i="20"/>
  <c r="AW128" i="20"/>
  <c r="AW130" i="20"/>
  <c r="AW132" i="20"/>
  <c r="AW135" i="20"/>
  <c r="AW137" i="20"/>
  <c r="AW139" i="20"/>
  <c r="AW140" i="20"/>
  <c r="AW143" i="20"/>
  <c r="AW145" i="20"/>
  <c r="AW147" i="20"/>
  <c r="AW149" i="20"/>
  <c r="AW152" i="20"/>
  <c r="AW154" i="20"/>
  <c r="AW155" i="20"/>
  <c r="AW157" i="20"/>
  <c r="AW160" i="20"/>
  <c r="AW162" i="20"/>
  <c r="AW163" i="20"/>
  <c r="AW165" i="20"/>
  <c r="AW168" i="20"/>
  <c r="AW170" i="20"/>
  <c r="AW171" i="20"/>
  <c r="AW173" i="20"/>
  <c r="AW176" i="20"/>
  <c r="AW178" i="20"/>
  <c r="AW179" i="20"/>
  <c r="AW181" i="20"/>
  <c r="AW184" i="20"/>
  <c r="L206" i="20"/>
  <c r="I206" i="20"/>
  <c r="J206" i="20" s="1"/>
  <c r="AY206" i="20" s="1"/>
  <c r="L198" i="20"/>
  <c r="I198" i="20"/>
  <c r="J198" i="20" s="1"/>
  <c r="AY198" i="20" s="1"/>
  <c r="L190" i="20"/>
  <c r="I190" i="20"/>
  <c r="J190" i="20" s="1"/>
  <c r="AY190" i="20" s="1"/>
  <c r="I182" i="20"/>
  <c r="J182" i="20" s="1"/>
  <c r="AY182" i="20" s="1"/>
  <c r="L182" i="20"/>
  <c r="L169" i="20"/>
  <c r="I169" i="20"/>
  <c r="J169" i="20" s="1"/>
  <c r="AY169" i="20" s="1"/>
  <c r="I207" i="20"/>
  <c r="J207" i="20" s="1"/>
  <c r="AY207" i="20" s="1"/>
  <c r="L207" i="20"/>
  <c r="L199" i="20"/>
  <c r="I199" i="20"/>
  <c r="J199" i="20" s="1"/>
  <c r="AY199" i="20" s="1"/>
  <c r="I191" i="20"/>
  <c r="J191" i="20" s="1"/>
  <c r="AY191" i="20" s="1"/>
  <c r="L191" i="20"/>
  <c r="I204" i="20"/>
  <c r="J204" i="20" s="1"/>
  <c r="AY204" i="20" s="1"/>
  <c r="L204" i="20"/>
  <c r="L196" i="20"/>
  <c r="I196" i="20"/>
  <c r="J196" i="20" s="1"/>
  <c r="AY196" i="20" s="1"/>
  <c r="I188" i="20"/>
  <c r="J188" i="20" s="1"/>
  <c r="AY188" i="20" s="1"/>
  <c r="L188" i="20"/>
  <c r="L180" i="20"/>
  <c r="I180" i="20"/>
  <c r="J180" i="20" s="1"/>
  <c r="AY180" i="20" s="1"/>
  <c r="I165" i="20"/>
  <c r="J165" i="20" s="1"/>
  <c r="AY165" i="20" s="1"/>
  <c r="L165" i="20"/>
  <c r="L205" i="20"/>
  <c r="I205" i="20"/>
  <c r="J205" i="20" s="1"/>
  <c r="AY205" i="20" s="1"/>
  <c r="I197" i="20"/>
  <c r="J197" i="20" s="1"/>
  <c r="AY197" i="20" s="1"/>
  <c r="L197" i="20"/>
  <c r="I189" i="20"/>
  <c r="J189" i="20" s="1"/>
  <c r="AY189" i="20" s="1"/>
  <c r="L189" i="20"/>
  <c r="I181" i="20"/>
  <c r="J181" i="20" s="1"/>
  <c r="AY181" i="20" s="1"/>
  <c r="L181" i="20"/>
  <c r="I167" i="20"/>
  <c r="J167" i="20" s="1"/>
  <c r="AY167" i="20" s="1"/>
  <c r="L167" i="20"/>
  <c r="I155" i="20"/>
  <c r="J155" i="20" s="1"/>
  <c r="AY155" i="20" s="1"/>
  <c r="L155" i="20"/>
  <c r="I147" i="20"/>
  <c r="J147" i="20" s="1"/>
  <c r="AY147" i="20" s="1"/>
  <c r="L147" i="20"/>
  <c r="I139" i="20"/>
  <c r="J139" i="20" s="1"/>
  <c r="AY139" i="20" s="1"/>
  <c r="L139" i="20"/>
  <c r="I131" i="20"/>
  <c r="J131" i="20" s="1"/>
  <c r="AY131" i="20" s="1"/>
  <c r="L131" i="20"/>
  <c r="I123" i="20"/>
  <c r="J123" i="20" s="1"/>
  <c r="AY123" i="20" s="1"/>
  <c r="L123" i="20"/>
  <c r="I115" i="20"/>
  <c r="J115" i="20" s="1"/>
  <c r="AY115" i="20" s="1"/>
  <c r="L115" i="20"/>
  <c r="L172" i="20"/>
  <c r="I172" i="20"/>
  <c r="J172" i="20" s="1"/>
  <c r="AY172" i="20" s="1"/>
  <c r="L164" i="20"/>
  <c r="I164" i="20"/>
  <c r="J164" i="20" s="1"/>
  <c r="AY164" i="20" s="1"/>
  <c r="L156" i="20"/>
  <c r="I156" i="20"/>
  <c r="J156" i="20" s="1"/>
  <c r="AY156" i="20" s="1"/>
  <c r="L148" i="20"/>
  <c r="I148" i="20"/>
  <c r="J148" i="20" s="1"/>
  <c r="AY148" i="20" s="1"/>
  <c r="L140" i="20"/>
  <c r="I140" i="20"/>
  <c r="J140" i="20" s="1"/>
  <c r="AY140" i="20" s="1"/>
  <c r="L132" i="20"/>
  <c r="I132" i="20"/>
  <c r="J132" i="20" s="1"/>
  <c r="AY132" i="20" s="1"/>
  <c r="L124" i="20"/>
  <c r="I124" i="20"/>
  <c r="J124" i="20" s="1"/>
  <c r="AY124" i="20" s="1"/>
  <c r="L116" i="20"/>
  <c r="I116" i="20"/>
  <c r="J116" i="20" s="1"/>
  <c r="AY116" i="20" s="1"/>
  <c r="L183" i="20"/>
  <c r="I183" i="20"/>
  <c r="J183" i="20" s="1"/>
  <c r="AY183" i="20" s="1"/>
  <c r="L171" i="20"/>
  <c r="I171" i="20"/>
  <c r="J171" i="20" s="1"/>
  <c r="AY171" i="20" s="1"/>
  <c r="L157" i="20"/>
  <c r="I157" i="20"/>
  <c r="J157" i="20" s="1"/>
  <c r="AY157" i="20" s="1"/>
  <c r="L149" i="20"/>
  <c r="I149" i="20"/>
  <c r="J149" i="20" s="1"/>
  <c r="AY149" i="20" s="1"/>
  <c r="L141" i="20"/>
  <c r="I141" i="20"/>
  <c r="J141" i="20" s="1"/>
  <c r="AY141" i="20" s="1"/>
  <c r="L133" i="20"/>
  <c r="I133" i="20"/>
  <c r="J133" i="20" s="1"/>
  <c r="AY133" i="20" s="1"/>
  <c r="L125" i="20"/>
  <c r="I125" i="20"/>
  <c r="J125" i="20" s="1"/>
  <c r="AY125" i="20" s="1"/>
  <c r="L117" i="20"/>
  <c r="I117" i="20"/>
  <c r="J117" i="20" s="1"/>
  <c r="AY117" i="20" s="1"/>
  <c r="I174" i="20"/>
  <c r="J174" i="20" s="1"/>
  <c r="AY174" i="20" s="1"/>
  <c r="L174" i="20"/>
  <c r="I166" i="20"/>
  <c r="J166" i="20" s="1"/>
  <c r="AY166" i="20" s="1"/>
  <c r="L166" i="20"/>
  <c r="I158" i="20"/>
  <c r="J158" i="20" s="1"/>
  <c r="AY158" i="20" s="1"/>
  <c r="L158" i="20"/>
  <c r="I150" i="20"/>
  <c r="J150" i="20" s="1"/>
  <c r="AY150" i="20" s="1"/>
  <c r="L150" i="20"/>
  <c r="L142" i="20"/>
  <c r="I142" i="20"/>
  <c r="J142" i="20" s="1"/>
  <c r="AY142" i="20" s="1"/>
  <c r="L134" i="20"/>
  <c r="I134" i="20"/>
  <c r="J134" i="20" s="1"/>
  <c r="AY134" i="20" s="1"/>
  <c r="L126" i="20"/>
  <c r="I126" i="20"/>
  <c r="J126" i="20" s="1"/>
  <c r="AY126" i="20" s="1"/>
  <c r="I118" i="20"/>
  <c r="J118" i="20" s="1"/>
  <c r="AY118" i="20" s="1"/>
  <c r="L118" i="20"/>
  <c r="L110" i="20"/>
  <c r="I110" i="20"/>
  <c r="J110" i="20" s="1"/>
  <c r="AY110" i="20" s="1"/>
  <c r="I202" i="20"/>
  <c r="J202" i="20" s="1"/>
  <c r="AY202" i="20" s="1"/>
  <c r="L202" i="20"/>
  <c r="L194" i="20"/>
  <c r="I194" i="20"/>
  <c r="J194" i="20" s="1"/>
  <c r="AY194" i="20" s="1"/>
  <c r="I186" i="20"/>
  <c r="J186" i="20" s="1"/>
  <c r="AY186" i="20" s="1"/>
  <c r="L186" i="20"/>
  <c r="L177" i="20"/>
  <c r="I177" i="20"/>
  <c r="J177" i="20" s="1"/>
  <c r="AY177" i="20" s="1"/>
  <c r="L161" i="20"/>
  <c r="I161" i="20"/>
  <c r="J161" i="20" s="1"/>
  <c r="AY161" i="20" s="1"/>
  <c r="L203" i="20"/>
  <c r="I203" i="20"/>
  <c r="J203" i="20" s="1"/>
  <c r="AY203" i="20" s="1"/>
  <c r="L195" i="20"/>
  <c r="I195" i="20"/>
  <c r="J195" i="20" s="1"/>
  <c r="AY195" i="20" s="1"/>
  <c r="I208" i="20"/>
  <c r="J208" i="20" s="1"/>
  <c r="AY208" i="20" s="1"/>
  <c r="L208" i="20"/>
  <c r="I200" i="20"/>
  <c r="J200" i="20" s="1"/>
  <c r="AY200" i="20" s="1"/>
  <c r="L200" i="20"/>
  <c r="I192" i="20"/>
  <c r="J192" i="20" s="1"/>
  <c r="AY192" i="20" s="1"/>
  <c r="L192" i="20"/>
  <c r="L184" i="20"/>
  <c r="I184" i="20"/>
  <c r="J184" i="20" s="1"/>
  <c r="AY184" i="20" s="1"/>
  <c r="I173" i="20"/>
  <c r="J173" i="20" s="1"/>
  <c r="AY173" i="20" s="1"/>
  <c r="L173" i="20"/>
  <c r="I209" i="20"/>
  <c r="J209" i="20" s="1"/>
  <c r="AY209" i="20" s="1"/>
  <c r="L209" i="20"/>
  <c r="I201" i="20"/>
  <c r="J201" i="20" s="1"/>
  <c r="AY201" i="20" s="1"/>
  <c r="L201" i="20"/>
  <c r="L193" i="20"/>
  <c r="I193" i="20"/>
  <c r="J193" i="20" s="1"/>
  <c r="AY193" i="20" s="1"/>
  <c r="I185" i="20"/>
  <c r="J185" i="20" s="1"/>
  <c r="AY185" i="20" s="1"/>
  <c r="L185" i="20"/>
  <c r="I175" i="20"/>
  <c r="J175" i="20" s="1"/>
  <c r="AY175" i="20" s="1"/>
  <c r="L175" i="20"/>
  <c r="I159" i="20"/>
  <c r="J159" i="20" s="1"/>
  <c r="AY159" i="20" s="1"/>
  <c r="L159" i="20"/>
  <c r="I151" i="20"/>
  <c r="J151" i="20" s="1"/>
  <c r="AY151" i="20" s="1"/>
  <c r="L151" i="20"/>
  <c r="I143" i="20"/>
  <c r="J143" i="20" s="1"/>
  <c r="AY143" i="20" s="1"/>
  <c r="L143" i="20"/>
  <c r="I135" i="20"/>
  <c r="J135" i="20" s="1"/>
  <c r="AY135" i="20" s="1"/>
  <c r="L135" i="20"/>
  <c r="I127" i="20"/>
  <c r="J127" i="20" s="1"/>
  <c r="AY127" i="20" s="1"/>
  <c r="L127" i="20"/>
  <c r="I119" i="20"/>
  <c r="J119" i="20" s="1"/>
  <c r="AY119" i="20" s="1"/>
  <c r="L119" i="20"/>
  <c r="I111" i="20"/>
  <c r="J111" i="20" s="1"/>
  <c r="AY111" i="20" s="1"/>
  <c r="L111" i="20"/>
  <c r="L176" i="20"/>
  <c r="I176" i="20"/>
  <c r="J176" i="20" s="1"/>
  <c r="AY176" i="20" s="1"/>
  <c r="L168" i="20"/>
  <c r="I168" i="20"/>
  <c r="J168" i="20" s="1"/>
  <c r="AY168" i="20" s="1"/>
  <c r="L160" i="20"/>
  <c r="I160" i="20"/>
  <c r="J160" i="20" s="1"/>
  <c r="AY160" i="20" s="1"/>
  <c r="L152" i="20"/>
  <c r="I152" i="20"/>
  <c r="J152" i="20" s="1"/>
  <c r="AY152" i="20" s="1"/>
  <c r="L144" i="20"/>
  <c r="I144" i="20"/>
  <c r="J144" i="20" s="1"/>
  <c r="AY144" i="20" s="1"/>
  <c r="L136" i="20"/>
  <c r="I136" i="20"/>
  <c r="J136" i="20" s="1"/>
  <c r="AY136" i="20" s="1"/>
  <c r="L128" i="20"/>
  <c r="I128" i="20"/>
  <c r="J128" i="20" s="1"/>
  <c r="AY128" i="20" s="1"/>
  <c r="L120" i="20"/>
  <c r="I120" i="20"/>
  <c r="J120" i="20" s="1"/>
  <c r="AY120" i="20" s="1"/>
  <c r="L112" i="20"/>
  <c r="I112" i="20"/>
  <c r="J112" i="20" s="1"/>
  <c r="AY112" i="20" s="1"/>
  <c r="I187" i="20"/>
  <c r="J187" i="20" s="1"/>
  <c r="AY187" i="20" s="1"/>
  <c r="L187" i="20"/>
  <c r="L179" i="20"/>
  <c r="I179" i="20"/>
  <c r="J179" i="20" s="1"/>
  <c r="AY179" i="20" s="1"/>
  <c r="L163" i="20"/>
  <c r="I163" i="20"/>
  <c r="J163" i="20" s="1"/>
  <c r="AY163" i="20" s="1"/>
  <c r="L153" i="20"/>
  <c r="I153" i="20"/>
  <c r="J153" i="20" s="1"/>
  <c r="AY153" i="20" s="1"/>
  <c r="L145" i="20"/>
  <c r="I145" i="20"/>
  <c r="J145" i="20" s="1"/>
  <c r="AY145" i="20" s="1"/>
  <c r="L137" i="20"/>
  <c r="I137" i="20"/>
  <c r="J137" i="20" s="1"/>
  <c r="AY137" i="20" s="1"/>
  <c r="L129" i="20"/>
  <c r="I129" i="20"/>
  <c r="J129" i="20" s="1"/>
  <c r="AY129" i="20" s="1"/>
  <c r="I121" i="20"/>
  <c r="J121" i="20" s="1"/>
  <c r="AY121" i="20" s="1"/>
  <c r="L121" i="20"/>
  <c r="L113" i="20"/>
  <c r="I113" i="20"/>
  <c r="J113" i="20" s="1"/>
  <c r="AY113" i="20" s="1"/>
  <c r="I178" i="20"/>
  <c r="J178" i="20" s="1"/>
  <c r="AY178" i="20" s="1"/>
  <c r="L178" i="20"/>
  <c r="I170" i="20"/>
  <c r="J170" i="20" s="1"/>
  <c r="AY170" i="20" s="1"/>
  <c r="L170" i="20"/>
  <c r="I162" i="20"/>
  <c r="J162" i="20" s="1"/>
  <c r="AY162" i="20" s="1"/>
  <c r="L162" i="20"/>
  <c r="I154" i="20"/>
  <c r="J154" i="20" s="1"/>
  <c r="AY154" i="20" s="1"/>
  <c r="L154" i="20"/>
  <c r="L146" i="20"/>
  <c r="I146" i="20"/>
  <c r="J146" i="20" s="1"/>
  <c r="AY146" i="20" s="1"/>
  <c r="L138" i="20"/>
  <c r="I138" i="20"/>
  <c r="J138" i="20" s="1"/>
  <c r="AY138" i="20" s="1"/>
  <c r="L130" i="20"/>
  <c r="I130" i="20"/>
  <c r="J130" i="20" s="1"/>
  <c r="AY130" i="20" s="1"/>
  <c r="L122" i="20"/>
  <c r="I122" i="20"/>
  <c r="J122" i="20" s="1"/>
  <c r="AY122" i="20" s="1"/>
  <c r="I114" i="20"/>
  <c r="J114" i="20" s="1"/>
  <c r="AY114" i="20" s="1"/>
  <c r="L114" i="20"/>
  <c r="L9" i="20"/>
  <c r="I44" i="20"/>
  <c r="I46" i="20"/>
  <c r="I48" i="20"/>
  <c r="I50" i="20"/>
  <c r="I52" i="20"/>
  <c r="I54" i="20"/>
  <c r="I56" i="20"/>
  <c r="I58" i="20"/>
  <c r="I60" i="20"/>
  <c r="I62" i="20"/>
  <c r="I64" i="20"/>
  <c r="I66" i="20"/>
  <c r="I68" i="20"/>
  <c r="I70" i="20"/>
  <c r="I72" i="20"/>
  <c r="I74" i="20"/>
  <c r="I76" i="20"/>
  <c r="I78" i="20"/>
  <c r="I80" i="20"/>
  <c r="I82" i="20"/>
  <c r="I84" i="20"/>
  <c r="I86" i="20"/>
  <c r="I88" i="20"/>
  <c r="I90" i="20"/>
  <c r="I92" i="20"/>
  <c r="I94" i="20"/>
  <c r="I96" i="20"/>
  <c r="I98" i="20"/>
  <c r="I100" i="20"/>
  <c r="I102" i="20"/>
  <c r="I104" i="20"/>
  <c r="I106" i="20"/>
  <c r="I108" i="20"/>
  <c r="I10" i="20"/>
  <c r="I12" i="20"/>
  <c r="I14" i="20"/>
  <c r="I16" i="20"/>
  <c r="I18" i="20"/>
  <c r="I20" i="20"/>
  <c r="I22" i="20"/>
  <c r="J22" i="20" s="1"/>
  <c r="AY22" i="20" s="1"/>
  <c r="I24" i="20"/>
  <c r="I26" i="20"/>
  <c r="I28" i="20"/>
  <c r="I30" i="20"/>
  <c r="I32" i="20"/>
  <c r="I34" i="20"/>
  <c r="I36" i="20"/>
  <c r="I38" i="20"/>
  <c r="I40" i="20"/>
  <c r="I42" i="20"/>
  <c r="I43" i="20"/>
  <c r="I45" i="20"/>
  <c r="I47" i="20"/>
  <c r="I49" i="20"/>
  <c r="I51" i="20"/>
  <c r="I53" i="20"/>
  <c r="I55" i="20"/>
  <c r="I57" i="20"/>
  <c r="I59" i="20"/>
  <c r="I61" i="20"/>
  <c r="I63" i="20"/>
  <c r="I65" i="20"/>
  <c r="I67" i="20"/>
  <c r="I69" i="20"/>
  <c r="I71" i="20"/>
  <c r="I73" i="20"/>
  <c r="I75" i="20"/>
  <c r="I77" i="20"/>
  <c r="I79" i="20"/>
  <c r="I81" i="20"/>
  <c r="I83" i="20"/>
  <c r="I85" i="20"/>
  <c r="I87" i="20"/>
  <c r="I89" i="20"/>
  <c r="I91" i="20"/>
  <c r="I93" i="20"/>
  <c r="I95" i="20"/>
  <c r="I97" i="20"/>
  <c r="I99" i="20"/>
  <c r="I101" i="20"/>
  <c r="I103" i="20"/>
  <c r="I105" i="20"/>
  <c r="I107" i="20"/>
  <c r="I109" i="20"/>
  <c r="I11" i="20"/>
  <c r="I13" i="20"/>
  <c r="I15" i="20"/>
  <c r="I17" i="20"/>
  <c r="I19" i="20"/>
  <c r="I21" i="20"/>
  <c r="I23" i="20"/>
  <c r="I25" i="20"/>
  <c r="I27" i="20"/>
  <c r="I29" i="20"/>
  <c r="I31" i="20"/>
  <c r="I33" i="20"/>
  <c r="I35" i="20"/>
  <c r="I37" i="20"/>
  <c r="I39" i="20"/>
  <c r="I41" i="20"/>
  <c r="I9" i="20"/>
  <c r="J9" i="20" s="1"/>
  <c r="L19" i="20"/>
  <c r="L15" i="20"/>
  <c r="L11" i="20"/>
  <c r="L107" i="20"/>
  <c r="L103" i="20"/>
  <c r="L99" i="20"/>
  <c r="L95" i="20"/>
  <c r="L91" i="20"/>
  <c r="L87" i="20"/>
  <c r="L83" i="20"/>
  <c r="L79" i="20"/>
  <c r="L75" i="20"/>
  <c r="L71" i="20"/>
  <c r="L67" i="20"/>
  <c r="L63" i="20"/>
  <c r="L59" i="20"/>
  <c r="L55" i="20"/>
  <c r="L51" i="20"/>
  <c r="L47" i="20"/>
  <c r="L20" i="20"/>
  <c r="L16" i="20"/>
  <c r="L12" i="20"/>
  <c r="L108" i="20"/>
  <c r="L104" i="20"/>
  <c r="L100" i="20"/>
  <c r="L96" i="20"/>
  <c r="L92" i="20"/>
  <c r="L88" i="20"/>
  <c r="L84" i="20"/>
  <c r="L80" i="20"/>
  <c r="L76" i="20"/>
  <c r="L72" i="20"/>
  <c r="L68" i="20"/>
  <c r="L64" i="20"/>
  <c r="L60" i="20"/>
  <c r="L56" i="20"/>
  <c r="L52" i="20"/>
  <c r="L48" i="20"/>
  <c r="L41" i="20"/>
  <c r="L44" i="20"/>
  <c r="L40" i="20"/>
  <c r="L36" i="20"/>
  <c r="L32" i="20"/>
  <c r="L28" i="20"/>
  <c r="L24" i="20"/>
  <c r="L39" i="20"/>
  <c r="L35" i="20"/>
  <c r="L31" i="20"/>
  <c r="L27" i="20"/>
  <c r="L23" i="20"/>
  <c r="L17" i="20"/>
  <c r="L13" i="20"/>
  <c r="L109" i="20"/>
  <c r="L105" i="20"/>
  <c r="L101" i="20"/>
  <c r="L97" i="20"/>
  <c r="L93" i="20"/>
  <c r="L89" i="20"/>
  <c r="L85" i="20"/>
  <c r="L81" i="20"/>
  <c r="L77" i="20"/>
  <c r="L73" i="20"/>
  <c r="L69" i="20"/>
  <c r="L65" i="20"/>
  <c r="L61" i="20"/>
  <c r="L57" i="20"/>
  <c r="L53" i="20"/>
  <c r="L49" i="20"/>
  <c r="L43" i="20"/>
  <c r="L18" i="20"/>
  <c r="L14" i="20"/>
  <c r="L10" i="20"/>
  <c r="L106" i="20"/>
  <c r="L102" i="20"/>
  <c r="L98" i="20"/>
  <c r="L94" i="20"/>
  <c r="L90" i="20"/>
  <c r="L86" i="20"/>
  <c r="L82" i="20"/>
  <c r="L78" i="20"/>
  <c r="L74" i="20"/>
  <c r="L70" i="20"/>
  <c r="L66" i="20"/>
  <c r="L62" i="20"/>
  <c r="L58" i="20"/>
  <c r="L54" i="20"/>
  <c r="L50" i="20"/>
  <c r="L45" i="20"/>
  <c r="L46" i="20"/>
  <c r="L42" i="20"/>
  <c r="L38" i="20"/>
  <c r="L34" i="20"/>
  <c r="L30" i="20"/>
  <c r="L26" i="20"/>
  <c r="L22" i="20"/>
  <c r="L37" i="20"/>
  <c r="L33" i="20"/>
  <c r="L29" i="20"/>
  <c r="L25" i="20"/>
  <c r="L21" i="20"/>
  <c r="C66" i="16"/>
  <c r="D66" i="16" s="1"/>
  <c r="AW109" i="20"/>
  <c r="AW107" i="20"/>
  <c r="AW105" i="20"/>
  <c r="AW108" i="20"/>
  <c r="AW106" i="20"/>
  <c r="AW103" i="20"/>
  <c r="AW101" i="20"/>
  <c r="AW104" i="20"/>
  <c r="AW102" i="20"/>
  <c r="AW100" i="20"/>
  <c r="AW99" i="20"/>
  <c r="AW97" i="20"/>
  <c r="AW95" i="20"/>
  <c r="AW93" i="20"/>
  <c r="AW91" i="20"/>
  <c r="AW98" i="20"/>
  <c r="AW96" i="20"/>
  <c r="AW94" i="20"/>
  <c r="AW90" i="20"/>
  <c r="AW88" i="20"/>
  <c r="AW86" i="20"/>
  <c r="AW84" i="20"/>
  <c r="AW82" i="20"/>
  <c r="AW92" i="20"/>
  <c r="AW89" i="20"/>
  <c r="AW87" i="20"/>
  <c r="AW85" i="20"/>
  <c r="AW83" i="20"/>
  <c r="AW80" i="20"/>
  <c r="AW79" i="20"/>
  <c r="AW73" i="20"/>
  <c r="AW72" i="20"/>
  <c r="AW71" i="20"/>
  <c r="AW66" i="20"/>
  <c r="AW81" i="20"/>
  <c r="AW78" i="20"/>
  <c r="AW77" i="20"/>
  <c r="AW76" i="20"/>
  <c r="AW75" i="20"/>
  <c r="AW74" i="20"/>
  <c r="AW70" i="20"/>
  <c r="AW69" i="20"/>
  <c r="AW68" i="20"/>
  <c r="AW67" i="20"/>
  <c r="AW65" i="20"/>
  <c r="AW63" i="20"/>
  <c r="AW61" i="20"/>
  <c r="AW56" i="20"/>
  <c r="AW64" i="20"/>
  <c r="AW62" i="20"/>
  <c r="AW60" i="20"/>
  <c r="AW59" i="20"/>
  <c r="AW58" i="20"/>
  <c r="AW57" i="20"/>
  <c r="AW54" i="20"/>
  <c r="AW52" i="20"/>
  <c r="AW50" i="20"/>
  <c r="AW47" i="20"/>
  <c r="AW46" i="20"/>
  <c r="AW45" i="20"/>
  <c r="AW44" i="20"/>
  <c r="AW43" i="20"/>
  <c r="AW42" i="20"/>
  <c r="AW41" i="20"/>
  <c r="AW40" i="20"/>
  <c r="AW39" i="20"/>
  <c r="AW38" i="20"/>
  <c r="AW37" i="20"/>
  <c r="AW36" i="20"/>
  <c r="AW33" i="20"/>
  <c r="AW32" i="20"/>
  <c r="AW30" i="20"/>
  <c r="AW29" i="20"/>
  <c r="AW25" i="20"/>
  <c r="AW24" i="20"/>
  <c r="AW23" i="20"/>
  <c r="AW22" i="20"/>
  <c r="AW21" i="20"/>
  <c r="AW20" i="20"/>
  <c r="AW19" i="20"/>
  <c r="AW18" i="20"/>
  <c r="AW55" i="20"/>
  <c r="AW53" i="20"/>
  <c r="AW51" i="20"/>
  <c r="AW49" i="20"/>
  <c r="AW48" i="20"/>
  <c r="AW35" i="20"/>
  <c r="AW34" i="20"/>
  <c r="AW31" i="20"/>
  <c r="AW28" i="20"/>
  <c r="AW27" i="20"/>
  <c r="AW26" i="20"/>
  <c r="AW15" i="20"/>
  <c r="AW13" i="20"/>
  <c r="AW11" i="20"/>
  <c r="AW10" i="20"/>
  <c r="AW9" i="20"/>
  <c r="AW17" i="20"/>
  <c r="AW16" i="20"/>
  <c r="AW14" i="20"/>
  <c r="AW12" i="20"/>
  <c r="B73" i="20"/>
  <c r="B45" i="20"/>
  <c r="B72" i="20"/>
  <c r="D161" i="2"/>
  <c r="D128" i="2"/>
  <c r="D150" i="2"/>
  <c r="D133" i="2"/>
  <c r="B130" i="2"/>
  <c r="B407" i="2"/>
  <c r="B232" i="2"/>
  <c r="B408" i="2"/>
  <c r="A429" i="2"/>
  <c r="B303" i="2"/>
  <c r="B304" i="2"/>
  <c r="B246" i="2"/>
  <c r="B250" i="2" s="1"/>
  <c r="B249" i="2"/>
  <c r="B275" i="2"/>
  <c r="B273" i="2"/>
  <c r="B429" i="2"/>
  <c r="B260" i="2"/>
  <c r="E110" i="17"/>
  <c r="F13" i="17"/>
  <c r="F17" i="17"/>
  <c r="F21" i="17"/>
  <c r="F25" i="17"/>
  <c r="F29" i="17"/>
  <c r="F33" i="17"/>
  <c r="F37" i="17"/>
  <c r="F41" i="17"/>
  <c r="F45" i="17"/>
  <c r="F49" i="17"/>
  <c r="F53" i="17"/>
  <c r="F57" i="17"/>
  <c r="F61" i="17"/>
  <c r="F65" i="17"/>
  <c r="F69" i="17"/>
  <c r="F73" i="17"/>
  <c r="F77" i="17"/>
  <c r="F81" i="17"/>
  <c r="F85" i="17"/>
  <c r="F89" i="17"/>
  <c r="F93" i="17"/>
  <c r="F97" i="17"/>
  <c r="F101" i="17"/>
  <c r="F105" i="17"/>
  <c r="F109" i="17"/>
  <c r="E16" i="17"/>
  <c r="E20" i="17"/>
  <c r="E24" i="17"/>
  <c r="E28" i="17"/>
  <c r="E32" i="17"/>
  <c r="E36" i="17"/>
  <c r="E40" i="17"/>
  <c r="E44" i="17"/>
  <c r="E48" i="17"/>
  <c r="E52" i="17"/>
  <c r="E56" i="17"/>
  <c r="E60" i="17"/>
  <c r="E64" i="17"/>
  <c r="E68" i="17"/>
  <c r="E72" i="17"/>
  <c r="E76" i="17"/>
  <c r="E80" i="17"/>
  <c r="E84" i="17"/>
  <c r="E88" i="17"/>
  <c r="E92" i="17"/>
  <c r="E96" i="17"/>
  <c r="E100" i="17"/>
  <c r="E104" i="17"/>
  <c r="E108" i="17"/>
  <c r="C633" i="17"/>
  <c r="F612" i="17"/>
  <c r="F610" i="17"/>
  <c r="F608" i="17"/>
  <c r="F606" i="17"/>
  <c r="F604" i="17"/>
  <c r="F602" i="17"/>
  <c r="F600" i="17"/>
  <c r="F598" i="17"/>
  <c r="F596" i="17"/>
  <c r="F613" i="17"/>
  <c r="F611" i="17"/>
  <c r="F609" i="17"/>
  <c r="F607" i="17"/>
  <c r="F605" i="17"/>
  <c r="F603" i="17"/>
  <c r="F601" i="17"/>
  <c r="F599" i="17"/>
  <c r="F597" i="17"/>
  <c r="E595" i="17"/>
  <c r="E593" i="17"/>
  <c r="E591" i="17"/>
  <c r="E589" i="17"/>
  <c r="E587" i="17"/>
  <c r="E585" i="17"/>
  <c r="E583" i="17"/>
  <c r="E581" i="17"/>
  <c r="E579" i="17"/>
  <c r="E577" i="17"/>
  <c r="E575" i="17"/>
  <c r="E573" i="17"/>
  <c r="E571" i="17"/>
  <c r="E569" i="17"/>
  <c r="E567" i="17"/>
  <c r="E565" i="17"/>
  <c r="E563" i="17"/>
  <c r="E561" i="17"/>
  <c r="E559" i="17"/>
  <c r="E557" i="17"/>
  <c r="E555" i="17"/>
  <c r="E553" i="17"/>
  <c r="E551" i="17"/>
  <c r="E549" i="17"/>
  <c r="E547" i="17"/>
  <c r="E545" i="17"/>
  <c r="F595" i="17"/>
  <c r="E592" i="17"/>
  <c r="E588" i="17"/>
  <c r="E584" i="17"/>
  <c r="E580" i="17"/>
  <c r="E576" i="17"/>
  <c r="E572" i="17"/>
  <c r="E568" i="17"/>
  <c r="E564" i="17"/>
  <c r="E560" i="17"/>
  <c r="E556" i="17"/>
  <c r="E552" i="17"/>
  <c r="E548" i="17"/>
  <c r="E544" i="17"/>
  <c r="E542" i="17"/>
  <c r="E540" i="17"/>
  <c r="E538" i="17"/>
  <c r="E536" i="17"/>
  <c r="E534" i="17"/>
  <c r="E532" i="17"/>
  <c r="E530" i="17"/>
  <c r="E528" i="17"/>
  <c r="E526" i="17"/>
  <c r="E524" i="17"/>
  <c r="E522" i="17"/>
  <c r="F593" i="17"/>
  <c r="F589" i="17"/>
  <c r="F585" i="17"/>
  <c r="F581" i="17"/>
  <c r="F577" i="17"/>
  <c r="F573" i="17"/>
  <c r="F569" i="17"/>
  <c r="F565" i="17"/>
  <c r="F561" i="17"/>
  <c r="F557" i="17"/>
  <c r="F553" i="17"/>
  <c r="F549" i="17"/>
  <c r="F545" i="17"/>
  <c r="F542" i="17"/>
  <c r="F540" i="17"/>
  <c r="F538" i="17"/>
  <c r="F536" i="17"/>
  <c r="F534" i="17"/>
  <c r="F532" i="17"/>
  <c r="F530" i="17"/>
  <c r="F528" i="17"/>
  <c r="F526" i="17"/>
  <c r="F524" i="17"/>
  <c r="F522" i="17"/>
  <c r="F520" i="17"/>
  <c r="F519" i="17"/>
  <c r="E517" i="17"/>
  <c r="E515" i="17"/>
  <c r="E513" i="17"/>
  <c r="E511" i="17"/>
  <c r="E509" i="17"/>
  <c r="E507" i="17"/>
  <c r="E505" i="17"/>
  <c r="E503" i="17"/>
  <c r="E501" i="17"/>
  <c r="E499" i="17"/>
  <c r="E497" i="17"/>
  <c r="E495" i="17"/>
  <c r="E493" i="17"/>
  <c r="E491" i="17"/>
  <c r="E489" i="17"/>
  <c r="E487" i="17"/>
  <c r="E485" i="17"/>
  <c r="E483" i="17"/>
  <c r="E481" i="17"/>
  <c r="E479" i="17"/>
  <c r="E477" i="17"/>
  <c r="E475" i="17"/>
  <c r="E473" i="17"/>
  <c r="E471" i="17"/>
  <c r="E469" i="17"/>
  <c r="E467" i="17"/>
  <c r="E465" i="17"/>
  <c r="E463" i="17"/>
  <c r="E461" i="17"/>
  <c r="E459" i="17"/>
  <c r="E457" i="17"/>
  <c r="E455" i="17"/>
  <c r="E453" i="17"/>
  <c r="E451" i="17"/>
  <c r="E449" i="17"/>
  <c r="E447" i="17"/>
  <c r="E445" i="17"/>
  <c r="E443" i="17"/>
  <c r="E441" i="17"/>
  <c r="E439" i="17"/>
  <c r="E437" i="17"/>
  <c r="E435" i="17"/>
  <c r="E433" i="17"/>
  <c r="E431" i="17"/>
  <c r="E429" i="17"/>
  <c r="E427" i="17"/>
  <c r="E425" i="17"/>
  <c r="E423" i="17"/>
  <c r="E421" i="17"/>
  <c r="E419" i="17"/>
  <c r="E520" i="17"/>
  <c r="F517" i="17"/>
  <c r="F515" i="17"/>
  <c r="F513" i="17"/>
  <c r="F511" i="17"/>
  <c r="F509" i="17"/>
  <c r="F507" i="17"/>
  <c r="F505" i="17"/>
  <c r="F503" i="17"/>
  <c r="F501" i="17"/>
  <c r="F499" i="17"/>
  <c r="F497" i="17"/>
  <c r="F495" i="17"/>
  <c r="F493" i="17"/>
  <c r="F491" i="17"/>
  <c r="F489" i="17"/>
  <c r="F487" i="17"/>
  <c r="F485" i="17"/>
  <c r="F483" i="17"/>
  <c r="F481" i="17"/>
  <c r="F479" i="17"/>
  <c r="F477" i="17"/>
  <c r="F475" i="17"/>
  <c r="F473" i="17"/>
  <c r="F471" i="17"/>
  <c r="F469" i="17"/>
  <c r="F467" i="17"/>
  <c r="F465" i="17"/>
  <c r="F463" i="17"/>
  <c r="F461" i="17"/>
  <c r="F459" i="17"/>
  <c r="F457" i="17"/>
  <c r="F455" i="17"/>
  <c r="F453" i="17"/>
  <c r="F451" i="17"/>
  <c r="F449" i="17"/>
  <c r="F447" i="17"/>
  <c r="F445" i="17"/>
  <c r="F443" i="17"/>
  <c r="F441" i="17"/>
  <c r="F439" i="17"/>
  <c r="F437" i="17"/>
  <c r="F435" i="17"/>
  <c r="F433" i="17"/>
  <c r="F431" i="17"/>
  <c r="F429" i="17"/>
  <c r="F427" i="17"/>
  <c r="F425" i="17"/>
  <c r="F423" i="17"/>
  <c r="F421" i="17"/>
  <c r="F419" i="17"/>
  <c r="F417" i="17"/>
  <c r="F415" i="17"/>
  <c r="F413" i="17"/>
  <c r="F411" i="17"/>
  <c r="F409" i="17"/>
  <c r="F407" i="17"/>
  <c r="F405" i="17"/>
  <c r="F403" i="17"/>
  <c r="F401" i="17"/>
  <c r="F399" i="17"/>
  <c r="F15" i="17"/>
  <c r="F19" i="17"/>
  <c r="F23" i="17"/>
  <c r="F27" i="17"/>
  <c r="F31" i="17"/>
  <c r="F35" i="17"/>
  <c r="F39" i="17"/>
  <c r="F43" i="17"/>
  <c r="F47" i="17"/>
  <c r="F51" i="17"/>
  <c r="F55" i="17"/>
  <c r="F59" i="17"/>
  <c r="F63" i="17"/>
  <c r="F67" i="17"/>
  <c r="F71" i="17"/>
  <c r="F75" i="17"/>
  <c r="F79" i="17"/>
  <c r="F83" i="17"/>
  <c r="F87" i="17"/>
  <c r="F91" i="17"/>
  <c r="F95" i="17"/>
  <c r="F99" i="17"/>
  <c r="F103" i="17"/>
  <c r="F107" i="17"/>
  <c r="E14" i="17"/>
  <c r="E18" i="17"/>
  <c r="E22" i="17"/>
  <c r="E26" i="17"/>
  <c r="E30" i="17"/>
  <c r="E34" i="17"/>
  <c r="E38" i="17"/>
  <c r="E42" i="17"/>
  <c r="E46" i="17"/>
  <c r="E50" i="17"/>
  <c r="E54" i="17"/>
  <c r="E58" i="17"/>
  <c r="E62" i="17"/>
  <c r="E66" i="17"/>
  <c r="E70" i="17"/>
  <c r="E74" i="17"/>
  <c r="E78" i="17"/>
  <c r="E82" i="17"/>
  <c r="E86" i="17"/>
  <c r="E90" i="17"/>
  <c r="E94" i="17"/>
  <c r="E98" i="17"/>
  <c r="E102" i="17"/>
  <c r="E106" i="17"/>
  <c r="E613" i="17"/>
  <c r="E611" i="17"/>
  <c r="E609" i="17"/>
  <c r="E607" i="17"/>
  <c r="E605" i="17"/>
  <c r="E603" i="17"/>
  <c r="E601" i="17"/>
  <c r="E599" i="17"/>
  <c r="E597" i="17"/>
  <c r="A623" i="17"/>
  <c r="E612" i="17"/>
  <c r="E610" i="17"/>
  <c r="E608" i="17"/>
  <c r="E606" i="17"/>
  <c r="E604" i="17"/>
  <c r="E602" i="17"/>
  <c r="E600" i="17"/>
  <c r="E598" i="17"/>
  <c r="E596" i="17"/>
  <c r="F594" i="17"/>
  <c r="F592" i="17"/>
  <c r="F590" i="17"/>
  <c r="F588" i="17"/>
  <c r="F586" i="17"/>
  <c r="F584" i="17"/>
  <c r="F582" i="17"/>
  <c r="F580" i="17"/>
  <c r="F578" i="17"/>
  <c r="F576" i="17"/>
  <c r="F574" i="17"/>
  <c r="F572" i="17"/>
  <c r="F570" i="17"/>
  <c r="F568" i="17"/>
  <c r="F566" i="17"/>
  <c r="F564" i="17"/>
  <c r="F562" i="17"/>
  <c r="F560" i="17"/>
  <c r="F558" i="17"/>
  <c r="F556" i="17"/>
  <c r="F554" i="17"/>
  <c r="F552" i="17"/>
  <c r="F550" i="17"/>
  <c r="F548" i="17"/>
  <c r="F546" i="17"/>
  <c r="F544" i="17"/>
  <c r="E594" i="17"/>
  <c r="E590" i="17"/>
  <c r="E586" i="17"/>
  <c r="E582" i="17"/>
  <c r="E578" i="17"/>
  <c r="E574" i="17"/>
  <c r="E570" i="17"/>
  <c r="E566" i="17"/>
  <c r="E562" i="17"/>
  <c r="E558" i="17"/>
  <c r="E554" i="17"/>
  <c r="E550" i="17"/>
  <c r="E546" i="17"/>
  <c r="F543" i="17"/>
  <c r="F541" i="17"/>
  <c r="F539" i="17"/>
  <c r="F537" i="17"/>
  <c r="F535" i="17"/>
  <c r="F533" i="17"/>
  <c r="F531" i="17"/>
  <c r="F529" i="17"/>
  <c r="F527" i="17"/>
  <c r="F525" i="17"/>
  <c r="F523" i="17"/>
  <c r="F521" i="17"/>
  <c r="F591" i="17"/>
  <c r="F587" i="17"/>
  <c r="F583" i="17"/>
  <c r="F579" i="17"/>
  <c r="F575" i="17"/>
  <c r="F571" i="17"/>
  <c r="F567" i="17"/>
  <c r="F563" i="17"/>
  <c r="F559" i="17"/>
  <c r="F555" i="17"/>
  <c r="F551" i="17"/>
  <c r="F547" i="17"/>
  <c r="E543" i="17"/>
  <c r="E541" i="17"/>
  <c r="E539" i="17"/>
  <c r="E537" i="17"/>
  <c r="E535" i="17"/>
  <c r="E533" i="17"/>
  <c r="E531" i="17"/>
  <c r="E529" i="17"/>
  <c r="E527" i="17"/>
  <c r="E525" i="17"/>
  <c r="E523" i="17"/>
  <c r="E521" i="17"/>
  <c r="E519" i="17"/>
  <c r="F518" i="17"/>
  <c r="F516" i="17"/>
  <c r="F514" i="17"/>
  <c r="F512" i="17"/>
  <c r="F510" i="17"/>
  <c r="F508" i="17"/>
  <c r="F506" i="17"/>
  <c r="F504" i="17"/>
  <c r="F502" i="17"/>
  <c r="F500" i="17"/>
  <c r="F498" i="17"/>
  <c r="F496" i="17"/>
  <c r="F494" i="17"/>
  <c r="F492" i="17"/>
  <c r="F490" i="17"/>
  <c r="F488" i="17"/>
  <c r="F486" i="17"/>
  <c r="F484" i="17"/>
  <c r="F482" i="17"/>
  <c r="F480" i="17"/>
  <c r="F478" i="17"/>
  <c r="F476" i="17"/>
  <c r="F474" i="17"/>
  <c r="F472" i="17"/>
  <c r="F470" i="17"/>
  <c r="F468" i="17"/>
  <c r="F466" i="17"/>
  <c r="F464" i="17"/>
  <c r="F462" i="17"/>
  <c r="F460" i="17"/>
  <c r="F458" i="17"/>
  <c r="F456" i="17"/>
  <c r="F454" i="17"/>
  <c r="F452" i="17"/>
  <c r="F450" i="17"/>
  <c r="F448" i="17"/>
  <c r="F446" i="17"/>
  <c r="F444" i="17"/>
  <c r="F442" i="17"/>
  <c r="F440" i="17"/>
  <c r="F438" i="17"/>
  <c r="F436" i="17"/>
  <c r="F434" i="17"/>
  <c r="F432" i="17"/>
  <c r="F430" i="17"/>
  <c r="F428" i="17"/>
  <c r="F426" i="17"/>
  <c r="F424" i="17"/>
  <c r="F422" i="17"/>
  <c r="F420" i="17"/>
  <c r="F418" i="17"/>
  <c r="E518" i="17"/>
  <c r="E516" i="17"/>
  <c r="E514" i="17"/>
  <c r="E512" i="17"/>
  <c r="E510" i="17"/>
  <c r="E508" i="17"/>
  <c r="E506" i="17"/>
  <c r="E504" i="17"/>
  <c r="E502" i="17"/>
  <c r="E500" i="17"/>
  <c r="E498" i="17"/>
  <c r="E496" i="17"/>
  <c r="E494" i="17"/>
  <c r="E492" i="17"/>
  <c r="E490" i="17"/>
  <c r="E488" i="17"/>
  <c r="E486" i="17"/>
  <c r="E484" i="17"/>
  <c r="E482" i="17"/>
  <c r="E480" i="17"/>
  <c r="E478" i="17"/>
  <c r="E476" i="17"/>
  <c r="E474" i="17"/>
  <c r="E472" i="17"/>
  <c r="E470" i="17"/>
  <c r="E468" i="17"/>
  <c r="E466" i="17"/>
  <c r="E464" i="17"/>
  <c r="E462" i="17"/>
  <c r="E460" i="17"/>
  <c r="E458" i="17"/>
  <c r="E456" i="17"/>
  <c r="E454" i="17"/>
  <c r="E452" i="17"/>
  <c r="E450" i="17"/>
  <c r="E448" i="17"/>
  <c r="E446" i="17"/>
  <c r="E444" i="17"/>
  <c r="E442" i="17"/>
  <c r="E440" i="17"/>
  <c r="E438" i="17"/>
  <c r="E436" i="17"/>
  <c r="E434" i="17"/>
  <c r="E432" i="17"/>
  <c r="E430" i="17"/>
  <c r="E428" i="17"/>
  <c r="E426" i="17"/>
  <c r="E424" i="17"/>
  <c r="E422" i="17"/>
  <c r="E420" i="17"/>
  <c r="E418" i="17"/>
  <c r="E416" i="17"/>
  <c r="E414" i="17"/>
  <c r="E412" i="17"/>
  <c r="E410" i="17"/>
  <c r="E408" i="17"/>
  <c r="E406" i="17"/>
  <c r="E404" i="17"/>
  <c r="E402" i="17"/>
  <c r="E400" i="17"/>
  <c r="E398" i="17"/>
  <c r="E396" i="17"/>
  <c r="E394" i="17"/>
  <c r="E392" i="17"/>
  <c r="E390" i="17"/>
  <c r="E388" i="17"/>
  <c r="E386" i="17"/>
  <c r="E384" i="17"/>
  <c r="E382" i="17"/>
  <c r="E380" i="17"/>
  <c r="E378" i="17"/>
  <c r="E376" i="17"/>
  <c r="E374" i="17"/>
  <c r="E372" i="17"/>
  <c r="E370" i="17"/>
  <c r="E368" i="17"/>
  <c r="E366" i="17"/>
  <c r="E364" i="17"/>
  <c r="E362" i="17"/>
  <c r="E360" i="17"/>
  <c r="E358" i="17"/>
  <c r="E356" i="17"/>
  <c r="E354" i="17"/>
  <c r="E352" i="17"/>
  <c r="E350" i="17"/>
  <c r="E348" i="17"/>
  <c r="E346" i="17"/>
  <c r="E344" i="17"/>
  <c r="E342" i="17"/>
  <c r="E340" i="17"/>
  <c r="E338" i="17"/>
  <c r="E336" i="17"/>
  <c r="E334" i="17"/>
  <c r="E332" i="17"/>
  <c r="E330" i="17"/>
  <c r="E328" i="17"/>
  <c r="E326" i="17"/>
  <c r="E324" i="17"/>
  <c r="E322" i="17"/>
  <c r="E320" i="17"/>
  <c r="E318" i="17"/>
  <c r="E316" i="17"/>
  <c r="E417" i="17"/>
  <c r="E415" i="17"/>
  <c r="E413" i="17"/>
  <c r="E411" i="17"/>
  <c r="E409" i="17"/>
  <c r="E407" i="17"/>
  <c r="E405" i="17"/>
  <c r="E403" i="17"/>
  <c r="E401" i="17"/>
  <c r="E399" i="17"/>
  <c r="E397" i="17"/>
  <c r="E395" i="17"/>
  <c r="E393" i="17"/>
  <c r="E391" i="17"/>
  <c r="E389" i="17"/>
  <c r="E387" i="17"/>
  <c r="E385" i="17"/>
  <c r="E383" i="17"/>
  <c r="E381" i="17"/>
  <c r="E379" i="17"/>
  <c r="E377" i="17"/>
  <c r="E375" i="17"/>
  <c r="E373" i="17"/>
  <c r="E371" i="17"/>
  <c r="E369" i="17"/>
  <c r="E367" i="17"/>
  <c r="E365" i="17"/>
  <c r="E363" i="17"/>
  <c r="E361" i="17"/>
  <c r="E359" i="17"/>
  <c r="E357" i="17"/>
  <c r="E355" i="17"/>
  <c r="E353" i="17"/>
  <c r="E351" i="17"/>
  <c r="E349" i="17"/>
  <c r="E347" i="17"/>
  <c r="E345" i="17"/>
  <c r="E343" i="17"/>
  <c r="E341" i="17"/>
  <c r="E339" i="17"/>
  <c r="E337" i="17"/>
  <c r="E335" i="17"/>
  <c r="E333" i="17"/>
  <c r="E331" i="17"/>
  <c r="E329" i="17"/>
  <c r="E327" i="17"/>
  <c r="E325" i="17"/>
  <c r="E323" i="17"/>
  <c r="E321" i="17"/>
  <c r="E319" i="17"/>
  <c r="E317" i="17"/>
  <c r="E315" i="17"/>
  <c r="F313" i="17"/>
  <c r="F311" i="17"/>
  <c r="F309" i="17"/>
  <c r="F307" i="17"/>
  <c r="F305" i="17"/>
  <c r="F303" i="17"/>
  <c r="F301" i="17"/>
  <c r="F299" i="17"/>
  <c r="F297" i="17"/>
  <c r="F295" i="17"/>
  <c r="F293" i="17"/>
  <c r="F291" i="17"/>
  <c r="F289" i="17"/>
  <c r="F287" i="17"/>
  <c r="F285" i="17"/>
  <c r="F283" i="17"/>
  <c r="F281" i="17"/>
  <c r="F279" i="17"/>
  <c r="F277" i="17"/>
  <c r="F275" i="17"/>
  <c r="F273" i="17"/>
  <c r="F271" i="17"/>
  <c r="F269" i="17"/>
  <c r="F267" i="17"/>
  <c r="F265" i="17"/>
  <c r="F263" i="17"/>
  <c r="F261" i="17"/>
  <c r="F259" i="17"/>
  <c r="F257" i="17"/>
  <c r="F255" i="17"/>
  <c r="F253" i="17"/>
  <c r="F251" i="17"/>
  <c r="F249" i="17"/>
  <c r="F247" i="17"/>
  <c r="F245" i="17"/>
  <c r="F243" i="17"/>
  <c r="F241" i="17"/>
  <c r="F239" i="17"/>
  <c r="F237" i="17"/>
  <c r="F235" i="17"/>
  <c r="F233" i="17"/>
  <c r="F231" i="17"/>
  <c r="F229" i="17"/>
  <c r="F227" i="17"/>
  <c r="F225" i="17"/>
  <c r="F223" i="17"/>
  <c r="F221" i="17"/>
  <c r="F219" i="17"/>
  <c r="F217" i="17"/>
  <c r="F215" i="17"/>
  <c r="F213" i="17"/>
  <c r="F211" i="17"/>
  <c r="F209" i="17"/>
  <c r="F207" i="17"/>
  <c r="F205" i="17"/>
  <c r="F203" i="17"/>
  <c r="F201" i="17"/>
  <c r="F199" i="17"/>
  <c r="F197" i="17"/>
  <c r="F195" i="17"/>
  <c r="F193" i="17"/>
  <c r="F191" i="17"/>
  <c r="F189" i="17"/>
  <c r="F187" i="17"/>
  <c r="F185" i="17"/>
  <c r="F183" i="17"/>
  <c r="F181" i="17"/>
  <c r="F179" i="17"/>
  <c r="F177" i="17"/>
  <c r="F175" i="17"/>
  <c r="F173" i="17"/>
  <c r="F171" i="17"/>
  <c r="F169" i="17"/>
  <c r="F167" i="17"/>
  <c r="F165" i="17"/>
  <c r="F163" i="17"/>
  <c r="F161" i="17"/>
  <c r="F159" i="17"/>
  <c r="F157" i="17"/>
  <c r="F155" i="17"/>
  <c r="F153" i="17"/>
  <c r="F151" i="17"/>
  <c r="F149" i="17"/>
  <c r="F147" i="17"/>
  <c r="F145" i="17"/>
  <c r="F143" i="17"/>
  <c r="F141" i="17"/>
  <c r="F139" i="17"/>
  <c r="F137" i="17"/>
  <c r="F135" i="17"/>
  <c r="F133" i="17"/>
  <c r="F131" i="17"/>
  <c r="F129" i="17"/>
  <c r="F127" i="17"/>
  <c r="F125" i="17"/>
  <c r="F123" i="17"/>
  <c r="F121" i="17"/>
  <c r="F119" i="17"/>
  <c r="F117" i="17"/>
  <c r="F115" i="17"/>
  <c r="F113" i="17"/>
  <c r="F111" i="17"/>
  <c r="E313" i="17"/>
  <c r="E311" i="17"/>
  <c r="E309" i="17"/>
  <c r="E307" i="17"/>
  <c r="E305" i="17"/>
  <c r="E303" i="17"/>
  <c r="E301" i="17"/>
  <c r="E299" i="17"/>
  <c r="E297" i="17"/>
  <c r="E295" i="17"/>
  <c r="E293" i="17"/>
  <c r="E291" i="17"/>
  <c r="E289" i="17"/>
  <c r="E287" i="17"/>
  <c r="E285" i="17"/>
  <c r="E283" i="17"/>
  <c r="E281" i="17"/>
  <c r="F397" i="17"/>
  <c r="F395" i="17"/>
  <c r="F393" i="17"/>
  <c r="F391" i="17"/>
  <c r="F389" i="17"/>
  <c r="F387" i="17"/>
  <c r="F385" i="17"/>
  <c r="F383" i="17"/>
  <c r="F381" i="17"/>
  <c r="F379" i="17"/>
  <c r="F377" i="17"/>
  <c r="F375" i="17"/>
  <c r="F373" i="17"/>
  <c r="F371" i="17"/>
  <c r="F369" i="17"/>
  <c r="F367" i="17"/>
  <c r="F365" i="17"/>
  <c r="F363" i="17"/>
  <c r="F361" i="17"/>
  <c r="F359" i="17"/>
  <c r="F357" i="17"/>
  <c r="F355" i="17"/>
  <c r="F353" i="17"/>
  <c r="F351" i="17"/>
  <c r="F349" i="17"/>
  <c r="F347" i="17"/>
  <c r="F345" i="17"/>
  <c r="F343" i="17"/>
  <c r="F341" i="17"/>
  <c r="F339" i="17"/>
  <c r="F337" i="17"/>
  <c r="F335" i="17"/>
  <c r="F333" i="17"/>
  <c r="F331" i="17"/>
  <c r="F329" i="17"/>
  <c r="F327" i="17"/>
  <c r="F325" i="17"/>
  <c r="F323" i="17"/>
  <c r="F321" i="17"/>
  <c r="F319" i="17"/>
  <c r="F317" i="17"/>
  <c r="F315" i="17"/>
  <c r="F416" i="17"/>
  <c r="F414" i="17"/>
  <c r="F412" i="17"/>
  <c r="F410" i="17"/>
  <c r="F408" i="17"/>
  <c r="F406" i="17"/>
  <c r="F404" i="17"/>
  <c r="F402" i="17"/>
  <c r="F400" i="17"/>
  <c r="F398" i="17"/>
  <c r="F396" i="17"/>
  <c r="F394" i="17"/>
  <c r="F392" i="17"/>
  <c r="F390" i="17"/>
  <c r="F388" i="17"/>
  <c r="F386" i="17"/>
  <c r="F384" i="17"/>
  <c r="F382" i="17"/>
  <c r="F380" i="17"/>
  <c r="F378" i="17"/>
  <c r="F376" i="17"/>
  <c r="F374" i="17"/>
  <c r="F372" i="17"/>
  <c r="F370" i="17"/>
  <c r="F368" i="17"/>
  <c r="F366" i="17"/>
  <c r="F364" i="17"/>
  <c r="F362" i="17"/>
  <c r="F360" i="17"/>
  <c r="F358" i="17"/>
  <c r="F356" i="17"/>
  <c r="F354" i="17"/>
  <c r="F352" i="17"/>
  <c r="F350" i="17"/>
  <c r="F348" i="17"/>
  <c r="F346" i="17"/>
  <c r="F344" i="17"/>
  <c r="F342" i="17"/>
  <c r="F340" i="17"/>
  <c r="F338" i="17"/>
  <c r="F336" i="17"/>
  <c r="F334" i="17"/>
  <c r="F332" i="17"/>
  <c r="F330" i="17"/>
  <c r="F328" i="17"/>
  <c r="F326" i="17"/>
  <c r="F324" i="17"/>
  <c r="F322" i="17"/>
  <c r="F320" i="17"/>
  <c r="F318" i="17"/>
  <c r="F316" i="17"/>
  <c r="E314" i="17"/>
  <c r="E312" i="17"/>
  <c r="E310" i="17"/>
  <c r="E308" i="17"/>
  <c r="E306" i="17"/>
  <c r="E304" i="17"/>
  <c r="E302" i="17"/>
  <c r="E300" i="17"/>
  <c r="E298" i="17"/>
  <c r="E296" i="17"/>
  <c r="E294" i="17"/>
  <c r="E292" i="17"/>
  <c r="E290" i="17"/>
  <c r="E288" i="17"/>
  <c r="E286" i="17"/>
  <c r="E284" i="17"/>
  <c r="E282" i="17"/>
  <c r="E280" i="17"/>
  <c r="E278" i="17"/>
  <c r="E276" i="17"/>
  <c r="E274" i="17"/>
  <c r="E272" i="17"/>
  <c r="E270" i="17"/>
  <c r="E268" i="17"/>
  <c r="E266" i="17"/>
  <c r="E264" i="17"/>
  <c r="E262" i="17"/>
  <c r="E260" i="17"/>
  <c r="E258" i="17"/>
  <c r="E256" i="17"/>
  <c r="E254" i="17"/>
  <c r="E252" i="17"/>
  <c r="E250" i="17"/>
  <c r="E248" i="17"/>
  <c r="E246" i="17"/>
  <c r="E244" i="17"/>
  <c r="E242" i="17"/>
  <c r="E240" i="17"/>
  <c r="E238" i="17"/>
  <c r="E236" i="17"/>
  <c r="E234" i="17"/>
  <c r="E232" i="17"/>
  <c r="E230" i="17"/>
  <c r="E228" i="17"/>
  <c r="E226" i="17"/>
  <c r="E224" i="17"/>
  <c r="E222" i="17"/>
  <c r="E220" i="17"/>
  <c r="E218" i="17"/>
  <c r="E216" i="17"/>
  <c r="E214" i="17"/>
  <c r="E212" i="17"/>
  <c r="E210" i="17"/>
  <c r="E208" i="17"/>
  <c r="E206" i="17"/>
  <c r="E204" i="17"/>
  <c r="E202" i="17"/>
  <c r="E200" i="17"/>
  <c r="E198" i="17"/>
  <c r="E196" i="17"/>
  <c r="E194" i="17"/>
  <c r="E192" i="17"/>
  <c r="E190" i="17"/>
  <c r="E188" i="17"/>
  <c r="E186" i="17"/>
  <c r="E184" i="17"/>
  <c r="E182" i="17"/>
  <c r="E180" i="17"/>
  <c r="E178" i="17"/>
  <c r="E176" i="17"/>
  <c r="E174" i="17"/>
  <c r="E172" i="17"/>
  <c r="E170" i="17"/>
  <c r="E168" i="17"/>
  <c r="E166" i="17"/>
  <c r="E164" i="17"/>
  <c r="E162" i="17"/>
  <c r="E160" i="17"/>
  <c r="E158" i="17"/>
  <c r="E156" i="17"/>
  <c r="E154" i="17"/>
  <c r="E152" i="17"/>
  <c r="E150" i="17"/>
  <c r="E148" i="17"/>
  <c r="E146" i="17"/>
  <c r="E144" i="17"/>
  <c r="E142" i="17"/>
  <c r="E140" i="17"/>
  <c r="E138" i="17"/>
  <c r="E136" i="17"/>
  <c r="E134" i="17"/>
  <c r="E132" i="17"/>
  <c r="E130" i="17"/>
  <c r="E128" i="17"/>
  <c r="E126" i="17"/>
  <c r="E124" i="17"/>
  <c r="E122" i="17"/>
  <c r="E120" i="17"/>
  <c r="E118" i="17"/>
  <c r="E116" i="17"/>
  <c r="E114" i="17"/>
  <c r="E112" i="17"/>
  <c r="F314" i="17"/>
  <c r="F312" i="17"/>
  <c r="F310" i="17"/>
  <c r="F308" i="17"/>
  <c r="F306" i="17"/>
  <c r="F304" i="17"/>
  <c r="F302" i="17"/>
  <c r="F300" i="17"/>
  <c r="F298" i="17"/>
  <c r="F296" i="17"/>
  <c r="F294" i="17"/>
  <c r="F292" i="17"/>
  <c r="F290" i="17"/>
  <c r="F288" i="17"/>
  <c r="F286" i="17"/>
  <c r="F284" i="17"/>
  <c r="F282" i="17"/>
  <c r="F280" i="17"/>
  <c r="F278" i="17"/>
  <c r="F276" i="17"/>
  <c r="F274" i="17"/>
  <c r="F272" i="17"/>
  <c r="F270" i="17"/>
  <c r="F268" i="17"/>
  <c r="F266" i="17"/>
  <c r="F264" i="17"/>
  <c r="F262" i="17"/>
  <c r="F260" i="17"/>
  <c r="F258" i="17"/>
  <c r="F256" i="17"/>
  <c r="F254" i="17"/>
  <c r="F252" i="17"/>
  <c r="F250" i="17"/>
  <c r="F248" i="17"/>
  <c r="F246" i="17"/>
  <c r="F244" i="17"/>
  <c r="F242" i="17"/>
  <c r="F240" i="17"/>
  <c r="F238" i="17"/>
  <c r="F236" i="17"/>
  <c r="F234" i="17"/>
  <c r="F232" i="17"/>
  <c r="F230" i="17"/>
  <c r="F228" i="17"/>
  <c r="F226" i="17"/>
  <c r="F224" i="17"/>
  <c r="F222" i="17"/>
  <c r="F220" i="17"/>
  <c r="F218" i="17"/>
  <c r="F216" i="17"/>
  <c r="F214" i="17"/>
  <c r="F212" i="17"/>
  <c r="F210" i="17"/>
  <c r="F208" i="17"/>
  <c r="F206" i="17"/>
  <c r="F204" i="17"/>
  <c r="F202" i="17"/>
  <c r="F200" i="17"/>
  <c r="F198" i="17"/>
  <c r="F196" i="17"/>
  <c r="F194" i="17"/>
  <c r="E277" i="17"/>
  <c r="E273" i="17"/>
  <c r="E269" i="17"/>
  <c r="E265" i="17"/>
  <c r="E261" i="17"/>
  <c r="E257" i="17"/>
  <c r="E253" i="17"/>
  <c r="E249" i="17"/>
  <c r="E245" i="17"/>
  <c r="E241" i="17"/>
  <c r="E237" i="17"/>
  <c r="E233" i="17"/>
  <c r="E229" i="17"/>
  <c r="E225" i="17"/>
  <c r="E221" i="17"/>
  <c r="E217" i="17"/>
  <c r="E213" i="17"/>
  <c r="E209" i="17"/>
  <c r="E205" i="17"/>
  <c r="E201" i="17"/>
  <c r="E197" i="17"/>
  <c r="E193" i="17"/>
  <c r="E191" i="17"/>
  <c r="E189" i="17"/>
  <c r="E187" i="17"/>
  <c r="E185" i="17"/>
  <c r="E183" i="17"/>
  <c r="E181" i="17"/>
  <c r="E179" i="17"/>
  <c r="E177" i="17"/>
  <c r="E175" i="17"/>
  <c r="E173" i="17"/>
  <c r="E171" i="17"/>
  <c r="E169" i="17"/>
  <c r="E167" i="17"/>
  <c r="E165" i="17"/>
  <c r="E163" i="17"/>
  <c r="E161" i="17"/>
  <c r="E159" i="17"/>
  <c r="E157" i="17"/>
  <c r="E155" i="17"/>
  <c r="E153" i="17"/>
  <c r="E151" i="17"/>
  <c r="E149" i="17"/>
  <c r="E147" i="17"/>
  <c r="E145" i="17"/>
  <c r="E143" i="17"/>
  <c r="E141" i="17"/>
  <c r="E139" i="17"/>
  <c r="E137" i="17"/>
  <c r="E135" i="17"/>
  <c r="E133" i="17"/>
  <c r="E131" i="17"/>
  <c r="E129" i="17"/>
  <c r="E127" i="17"/>
  <c r="E125" i="17"/>
  <c r="E123" i="17"/>
  <c r="E121" i="17"/>
  <c r="E119" i="17"/>
  <c r="E117" i="17"/>
  <c r="E115" i="17"/>
  <c r="E113" i="17"/>
  <c r="E111" i="17"/>
  <c r="E279" i="17"/>
  <c r="E275" i="17"/>
  <c r="E271" i="17"/>
  <c r="E267" i="17"/>
  <c r="E263" i="17"/>
  <c r="E259" i="17"/>
  <c r="E255" i="17"/>
  <c r="E251" i="17"/>
  <c r="E247" i="17"/>
  <c r="E243" i="17"/>
  <c r="E239" i="17"/>
  <c r="E235" i="17"/>
  <c r="E231" i="17"/>
  <c r="E227" i="17"/>
  <c r="E223" i="17"/>
  <c r="E219" i="17"/>
  <c r="E215" i="17"/>
  <c r="E211" i="17"/>
  <c r="E207" i="17"/>
  <c r="E203" i="17"/>
  <c r="E199" i="17"/>
  <c r="E195" i="17"/>
  <c r="F192" i="17"/>
  <c r="F190" i="17"/>
  <c r="F188" i="17"/>
  <c r="F186" i="17"/>
  <c r="F184" i="17"/>
  <c r="F182" i="17"/>
  <c r="F180" i="17"/>
  <c r="F178" i="17"/>
  <c r="F176" i="17"/>
  <c r="F174" i="17"/>
  <c r="F172" i="17"/>
  <c r="F170" i="17"/>
  <c r="F168" i="17"/>
  <c r="F166" i="17"/>
  <c r="F164" i="17"/>
  <c r="F162" i="17"/>
  <c r="F160" i="17"/>
  <c r="F158" i="17"/>
  <c r="F156" i="17"/>
  <c r="F154" i="17"/>
  <c r="F152" i="17"/>
  <c r="F150" i="17"/>
  <c r="F148" i="17"/>
  <c r="F146" i="17"/>
  <c r="F144" i="17"/>
  <c r="F142" i="17"/>
  <c r="F140" i="17"/>
  <c r="F138" i="17"/>
  <c r="F136" i="17"/>
  <c r="F134" i="17"/>
  <c r="F132" i="17"/>
  <c r="F130" i="17"/>
  <c r="F128" i="17"/>
  <c r="F126" i="17"/>
  <c r="F124" i="17"/>
  <c r="F122" i="17"/>
  <c r="F120" i="17"/>
  <c r="F118" i="17"/>
  <c r="F116" i="17"/>
  <c r="F114" i="17"/>
  <c r="F112" i="17"/>
  <c r="F110" i="17"/>
  <c r="E13" i="17"/>
  <c r="F14" i="17"/>
  <c r="E15" i="17"/>
  <c r="F16" i="17"/>
  <c r="E17" i="17"/>
  <c r="F18" i="17"/>
  <c r="E19" i="17"/>
  <c r="F20" i="17"/>
  <c r="E21" i="17"/>
  <c r="F22" i="17"/>
  <c r="E23" i="17"/>
  <c r="F24" i="17"/>
  <c r="E25" i="17"/>
  <c r="F26" i="17"/>
  <c r="E27" i="17"/>
  <c r="F28" i="17"/>
  <c r="E29" i="17"/>
  <c r="F30" i="17"/>
  <c r="E31" i="17"/>
  <c r="F32" i="17"/>
  <c r="E33" i="17"/>
  <c r="F34" i="17"/>
  <c r="E35" i="17"/>
  <c r="F36" i="17"/>
  <c r="E37" i="17"/>
  <c r="F38" i="17"/>
  <c r="E39" i="17"/>
  <c r="F40" i="17"/>
  <c r="E41" i="17"/>
  <c r="F42" i="17"/>
  <c r="E43" i="17"/>
  <c r="F44" i="17"/>
  <c r="E45" i="17"/>
  <c r="F46" i="17"/>
  <c r="E47" i="17"/>
  <c r="F48" i="17"/>
  <c r="E49" i="17"/>
  <c r="F50" i="17"/>
  <c r="E51" i="17"/>
  <c r="F52" i="17"/>
  <c r="E53" i="17"/>
  <c r="F54" i="17"/>
  <c r="E55" i="17"/>
  <c r="F56" i="17"/>
  <c r="E57" i="17"/>
  <c r="F58" i="17"/>
  <c r="E59" i="17"/>
  <c r="F60" i="17"/>
  <c r="E61" i="17"/>
  <c r="F62" i="17"/>
  <c r="E63" i="17"/>
  <c r="F64" i="17"/>
  <c r="E65" i="17"/>
  <c r="F66" i="17"/>
  <c r="E67" i="17"/>
  <c r="F68" i="17"/>
  <c r="E69" i="17"/>
  <c r="F70" i="17"/>
  <c r="E71" i="17"/>
  <c r="F72" i="17"/>
  <c r="E73" i="17"/>
  <c r="F74" i="17"/>
  <c r="E75" i="17"/>
  <c r="F76" i="17"/>
  <c r="E77" i="17"/>
  <c r="F78" i="17"/>
  <c r="E79" i="17"/>
  <c r="F80" i="17"/>
  <c r="E81" i="17"/>
  <c r="F82" i="17"/>
  <c r="E83" i="17"/>
  <c r="F84" i="17"/>
  <c r="E85" i="17"/>
  <c r="F86" i="17"/>
  <c r="E87" i="17"/>
  <c r="F88" i="17"/>
  <c r="E89" i="17"/>
  <c r="F90" i="17"/>
  <c r="E91" i="17"/>
  <c r="F92" i="17"/>
  <c r="E93" i="17"/>
  <c r="F94" i="17"/>
  <c r="E95" i="17"/>
  <c r="F96" i="17"/>
  <c r="E97" i="17"/>
  <c r="F98" i="17"/>
  <c r="E99" i="17"/>
  <c r="F100" i="17"/>
  <c r="E101" i="17"/>
  <c r="F102" i="17"/>
  <c r="E103" i="17"/>
  <c r="F104" i="17"/>
  <c r="E105" i="17"/>
  <c r="F106" i="17"/>
  <c r="E107" i="17"/>
  <c r="F108" i="17"/>
  <c r="E109" i="17"/>
  <c r="E626" i="17"/>
  <c r="F626" i="17"/>
  <c r="C3" i="17"/>
  <c r="B20" i="2"/>
  <c r="B74" i="2" s="1"/>
  <c r="B18" i="2"/>
  <c r="B19" i="2"/>
  <c r="C57" i="2" s="1"/>
  <c r="N14" i="8"/>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49" i="2"/>
  <c r="B469" i="2"/>
  <c r="O10" i="8"/>
  <c r="B334" i="2" s="1"/>
  <c r="B452" i="2" s="1"/>
  <c r="C67" i="16"/>
  <c r="D67" i="16" s="1"/>
  <c r="B411" i="2"/>
  <c r="B412" i="2" s="1"/>
  <c r="B70" i="2"/>
  <c r="E69" i="1"/>
  <c r="B206" i="2"/>
  <c r="E59" i="1" s="1"/>
  <c r="C57" i="16" s="1"/>
  <c r="D57" i="16" s="1"/>
  <c r="B470" i="2"/>
  <c r="B62" i="2" l="1"/>
  <c r="B460" i="2"/>
  <c r="B450" i="2"/>
  <c r="A450" i="2"/>
  <c r="J27" i="20"/>
  <c r="AY27" i="20" s="1"/>
  <c r="J35" i="20"/>
  <c r="AY35" i="20" s="1"/>
  <c r="BA35" i="20" s="1"/>
  <c r="J24" i="20"/>
  <c r="AY24" i="20" s="1"/>
  <c r="BA24" i="20" s="1"/>
  <c r="J32" i="20"/>
  <c r="AY32" i="20" s="1"/>
  <c r="BA32" i="20" s="1"/>
  <c r="J40" i="20"/>
  <c r="AY40" i="20" s="1"/>
  <c r="BA40" i="20" s="1"/>
  <c r="J52" i="20"/>
  <c r="AY52" i="20" s="1"/>
  <c r="BA52" i="20" s="1"/>
  <c r="J60" i="20"/>
  <c r="AY60" i="20" s="1"/>
  <c r="BA60" i="20" s="1"/>
  <c r="J68" i="20"/>
  <c r="AY68" i="20" s="1"/>
  <c r="BA68" i="20" s="1"/>
  <c r="J76" i="20"/>
  <c r="AY76" i="20" s="1"/>
  <c r="J84" i="20"/>
  <c r="AY84" i="20" s="1"/>
  <c r="BA84" i="20" s="1"/>
  <c r="J92" i="20"/>
  <c r="AY92" i="20" s="1"/>
  <c r="J100" i="20"/>
  <c r="AY100" i="20" s="1"/>
  <c r="BA100" i="20" s="1"/>
  <c r="J108" i="20"/>
  <c r="AY108" i="20" s="1"/>
  <c r="J16" i="20"/>
  <c r="AY16" i="20" s="1"/>
  <c r="BA16" i="20" s="1"/>
  <c r="J47" i="20"/>
  <c r="AY47" i="20" s="1"/>
  <c r="J55" i="20"/>
  <c r="AY55" i="20" s="1"/>
  <c r="BA55" i="20" s="1"/>
  <c r="J63" i="20"/>
  <c r="AY63" i="20" s="1"/>
  <c r="BA63" i="20" s="1"/>
  <c r="J71" i="20"/>
  <c r="AY71" i="20" s="1"/>
  <c r="BA71" i="20" s="1"/>
  <c r="J79" i="20"/>
  <c r="AY79" i="20" s="1"/>
  <c r="BA79" i="20" s="1"/>
  <c r="J87" i="20"/>
  <c r="AY87" i="20" s="1"/>
  <c r="BA87" i="20" s="1"/>
  <c r="J95" i="20"/>
  <c r="AY95" i="20" s="1"/>
  <c r="J103" i="20"/>
  <c r="AY103" i="20" s="1"/>
  <c r="BA103" i="20" s="1"/>
  <c r="J11" i="20"/>
  <c r="AY11" i="20" s="1"/>
  <c r="J19" i="20"/>
  <c r="AY19" i="20" s="1"/>
  <c r="BA19" i="20" s="1"/>
  <c r="B60" i="2"/>
  <c r="B64" i="2" s="1"/>
  <c r="J28" i="20"/>
  <c r="AY28" i="20" s="1"/>
  <c r="BA28" i="20" s="1"/>
  <c r="J44" i="20"/>
  <c r="AY44" i="20" s="1"/>
  <c r="BA44" i="20" s="1"/>
  <c r="J48" i="20"/>
  <c r="AY48" i="20" s="1"/>
  <c r="BA48" i="20" s="1"/>
  <c r="J56" i="20"/>
  <c r="AY56" i="20" s="1"/>
  <c r="BA56" i="20" s="1"/>
  <c r="J64" i="20"/>
  <c r="AY64" i="20" s="1"/>
  <c r="BA64" i="20" s="1"/>
  <c r="J72" i="20"/>
  <c r="AY72" i="20" s="1"/>
  <c r="BA72" i="20" s="1"/>
  <c r="J80" i="20"/>
  <c r="AY80" i="20" s="1"/>
  <c r="BA80" i="20" s="1"/>
  <c r="J88" i="20"/>
  <c r="AY88" i="20" s="1"/>
  <c r="BA88" i="20" s="1"/>
  <c r="J96" i="20"/>
  <c r="AY96" i="20" s="1"/>
  <c r="BA96" i="20" s="1"/>
  <c r="J104" i="20"/>
  <c r="AY104" i="20" s="1"/>
  <c r="BA104" i="20" s="1"/>
  <c r="J12" i="20"/>
  <c r="AY12" i="20" s="1"/>
  <c r="BA12" i="20" s="1"/>
  <c r="J20" i="20"/>
  <c r="AY20" i="20" s="1"/>
  <c r="BA20" i="20" s="1"/>
  <c r="J43" i="20"/>
  <c r="AY43" i="20" s="1"/>
  <c r="J23" i="20"/>
  <c r="AY23" i="20" s="1"/>
  <c r="BA23" i="20" s="1"/>
  <c r="J39" i="20"/>
  <c r="AY39" i="20" s="1"/>
  <c r="BA39" i="20" s="1"/>
  <c r="J36" i="20"/>
  <c r="AY36" i="20" s="1"/>
  <c r="BA36" i="20" s="1"/>
  <c r="J51" i="20"/>
  <c r="AY51" i="20" s="1"/>
  <c r="BA51" i="20" s="1"/>
  <c r="J59" i="20"/>
  <c r="AY59" i="20" s="1"/>
  <c r="BA59" i="20" s="1"/>
  <c r="J67" i="20"/>
  <c r="AY67" i="20" s="1"/>
  <c r="BA67" i="20" s="1"/>
  <c r="J75" i="20"/>
  <c r="AY75" i="20" s="1"/>
  <c r="BA75" i="20" s="1"/>
  <c r="J83" i="20"/>
  <c r="AY83" i="20" s="1"/>
  <c r="BA83" i="20" s="1"/>
  <c r="J91" i="20"/>
  <c r="AY91" i="20" s="1"/>
  <c r="BA91" i="20" s="1"/>
  <c r="J99" i="20"/>
  <c r="AY99" i="20" s="1"/>
  <c r="BA99" i="20" s="1"/>
  <c r="J107" i="20"/>
  <c r="AY107" i="20" s="1"/>
  <c r="BA107" i="20" s="1"/>
  <c r="J15" i="20"/>
  <c r="AY15" i="20" s="1"/>
  <c r="BA15" i="20" s="1"/>
  <c r="AY9" i="20"/>
  <c r="BA9" i="20" s="1"/>
  <c r="B75" i="20" s="1"/>
  <c r="B76" i="20" s="1"/>
  <c r="AC158" i="20"/>
  <c r="AC160" i="20"/>
  <c r="AC162" i="20"/>
  <c r="AC164" i="20"/>
  <c r="AC166" i="20"/>
  <c r="AC168" i="20"/>
  <c r="AC170" i="20"/>
  <c r="AC172" i="20"/>
  <c r="AC174" i="20"/>
  <c r="AC176" i="20"/>
  <c r="AC178" i="20"/>
  <c r="AC180" i="20"/>
  <c r="AC182" i="20"/>
  <c r="AC184" i="20"/>
  <c r="AC186" i="20"/>
  <c r="AC188" i="20"/>
  <c r="AC190" i="20"/>
  <c r="AC192" i="20"/>
  <c r="AC194" i="20"/>
  <c r="AC196" i="20"/>
  <c r="AC198" i="20"/>
  <c r="AC200" i="20"/>
  <c r="AC202" i="20"/>
  <c r="AC204" i="20"/>
  <c r="AC157" i="20"/>
  <c r="AC161" i="20"/>
  <c r="AC165" i="20"/>
  <c r="AC169" i="20"/>
  <c r="AC173" i="20"/>
  <c r="AC177" i="20"/>
  <c r="AC181" i="20"/>
  <c r="AC185" i="20"/>
  <c r="AC189" i="20"/>
  <c r="AC193" i="20"/>
  <c r="AC197" i="20"/>
  <c r="AC201" i="20"/>
  <c r="AC205" i="20"/>
  <c r="AC207" i="20"/>
  <c r="AC209" i="20"/>
  <c r="AC175" i="20"/>
  <c r="AC183" i="20"/>
  <c r="AC191" i="20"/>
  <c r="AC199" i="20"/>
  <c r="AC206" i="20"/>
  <c r="AC159" i="20"/>
  <c r="AC163" i="20"/>
  <c r="AC167" i="20"/>
  <c r="AC171" i="20"/>
  <c r="AC179" i="20"/>
  <c r="AC187" i="20"/>
  <c r="AC195" i="20"/>
  <c r="AC203" i="20"/>
  <c r="AC208" i="20"/>
  <c r="AC90" i="21"/>
  <c r="AC86" i="21"/>
  <c r="AC82" i="21"/>
  <c r="AC55" i="21"/>
  <c r="AC40" i="21"/>
  <c r="AC35" i="21"/>
  <c r="AC57" i="21"/>
  <c r="AC50" i="21"/>
  <c r="AC43" i="21"/>
  <c r="AC34" i="21"/>
  <c r="AC26" i="21"/>
  <c r="AC89" i="21"/>
  <c r="AC85" i="21"/>
  <c r="AC81" i="21"/>
  <c r="AC75" i="21"/>
  <c r="AC69" i="21"/>
  <c r="AC66" i="21"/>
  <c r="AC64" i="21"/>
  <c r="AC62" i="21"/>
  <c r="AC60" i="21"/>
  <c r="AC53" i="21"/>
  <c r="AC31" i="21"/>
  <c r="AC24" i="21"/>
  <c r="AC56" i="21"/>
  <c r="AC48" i="21"/>
  <c r="AC41" i="21"/>
  <c r="AC33" i="21"/>
  <c r="AC25" i="21"/>
  <c r="AC21" i="21"/>
  <c r="AC16" i="21"/>
  <c r="AC14" i="21"/>
  <c r="AC12" i="21"/>
  <c r="AC9" i="21"/>
  <c r="AC18" i="21"/>
  <c r="AC10" i="21"/>
  <c r="AC32" i="21"/>
  <c r="AC44" i="21"/>
  <c r="AC51" i="21"/>
  <c r="AC92" i="21"/>
  <c r="AC94" i="21"/>
  <c r="AC96" i="21"/>
  <c r="AC98" i="21"/>
  <c r="AC100" i="21"/>
  <c r="AC102" i="21"/>
  <c r="AC104" i="21"/>
  <c r="AC106" i="21"/>
  <c r="AC108" i="21"/>
  <c r="AC70" i="21"/>
  <c r="AC73" i="21"/>
  <c r="AC76" i="21"/>
  <c r="AC79" i="21"/>
  <c r="AC88" i="21"/>
  <c r="AC84" i="21"/>
  <c r="AC80" i="21"/>
  <c r="AC49" i="21"/>
  <c r="AC36" i="21"/>
  <c r="AC27" i="21"/>
  <c r="AC54" i="21"/>
  <c r="AC47" i="21"/>
  <c r="AC39" i="21"/>
  <c r="AC28" i="21"/>
  <c r="AC22" i="21"/>
  <c r="AC87" i="21"/>
  <c r="AC83" i="21"/>
  <c r="AC77" i="21"/>
  <c r="AC72" i="21"/>
  <c r="AC67" i="21"/>
  <c r="AC65" i="21"/>
  <c r="AC63" i="21"/>
  <c r="AC61" i="21"/>
  <c r="AC58" i="21"/>
  <c r="AC38" i="21"/>
  <c r="AC30" i="21"/>
  <c r="AC68" i="21"/>
  <c r="AC52" i="21"/>
  <c r="AC45" i="21"/>
  <c r="AC37" i="21"/>
  <c r="AC29" i="21"/>
  <c r="AC23" i="21"/>
  <c r="AC19" i="21"/>
  <c r="AC15" i="21"/>
  <c r="AC13" i="21"/>
  <c r="AC11" i="21"/>
  <c r="AC20" i="21"/>
  <c r="AC17" i="21"/>
  <c r="AC59" i="21"/>
  <c r="AC42" i="21"/>
  <c r="AC46" i="21"/>
  <c r="AC91" i="21"/>
  <c r="AC93" i="21"/>
  <c r="AC95" i="21"/>
  <c r="AC97" i="21"/>
  <c r="AC99" i="21"/>
  <c r="AC101" i="21"/>
  <c r="AC103" i="21"/>
  <c r="AC105" i="21"/>
  <c r="AC107" i="21"/>
  <c r="AC109" i="21"/>
  <c r="AC71" i="21"/>
  <c r="AC74" i="21"/>
  <c r="AC78" i="21"/>
  <c r="AU90" i="21"/>
  <c r="AU86" i="21"/>
  <c r="AU82" i="21"/>
  <c r="AU55" i="21"/>
  <c r="AU40" i="21"/>
  <c r="AU35" i="21"/>
  <c r="AU57" i="21"/>
  <c r="AU50" i="21"/>
  <c r="AU43" i="21"/>
  <c r="AU34" i="21"/>
  <c r="AU26" i="21"/>
  <c r="AU89" i="21"/>
  <c r="AU85" i="21"/>
  <c r="AU81" i="21"/>
  <c r="AU75" i="21"/>
  <c r="AU69" i="21"/>
  <c r="AU66" i="21"/>
  <c r="AU64" i="21"/>
  <c r="AU62" i="21"/>
  <c r="AU60" i="21"/>
  <c r="AU53" i="21"/>
  <c r="AU31" i="21"/>
  <c r="AU24" i="21"/>
  <c r="AU56" i="21"/>
  <c r="AU48" i="21"/>
  <c r="AU41" i="21"/>
  <c r="AU33" i="21"/>
  <c r="AU25" i="21"/>
  <c r="AU21" i="21"/>
  <c r="AU16" i="21"/>
  <c r="AU14" i="21"/>
  <c r="AU12" i="21"/>
  <c r="AU9" i="21"/>
  <c r="AU18" i="21"/>
  <c r="AU10" i="21"/>
  <c r="AU32" i="21"/>
  <c r="AU44" i="21"/>
  <c r="AU51" i="21"/>
  <c r="AU92" i="21"/>
  <c r="AU94" i="21"/>
  <c r="AU96" i="21"/>
  <c r="AU98" i="21"/>
  <c r="AU100" i="21"/>
  <c r="AU102" i="21"/>
  <c r="AU104" i="21"/>
  <c r="AU106" i="21"/>
  <c r="AU108" i="21"/>
  <c r="AU70" i="21"/>
  <c r="AU73" i="21"/>
  <c r="AU76" i="21"/>
  <c r="AU79" i="21"/>
  <c r="AU88" i="21"/>
  <c r="AU84" i="21"/>
  <c r="AU80" i="21"/>
  <c r="AU49" i="21"/>
  <c r="AU36" i="21"/>
  <c r="AU27" i="21"/>
  <c r="AU54" i="21"/>
  <c r="AU47" i="21"/>
  <c r="AU39" i="21"/>
  <c r="AU28" i="21"/>
  <c r="AU22" i="21"/>
  <c r="AU87" i="21"/>
  <c r="AU83" i="21"/>
  <c r="AU77" i="21"/>
  <c r="AU72" i="21"/>
  <c r="AU67" i="21"/>
  <c r="AU65" i="21"/>
  <c r="AU63" i="21"/>
  <c r="AU61" i="21"/>
  <c r="AU58" i="21"/>
  <c r="AU38" i="21"/>
  <c r="AU30" i="21"/>
  <c r="AU68" i="21"/>
  <c r="AU52" i="21"/>
  <c r="AU45" i="21"/>
  <c r="AU37" i="21"/>
  <c r="AU29" i="21"/>
  <c r="AU23" i="21"/>
  <c r="AU19" i="21"/>
  <c r="AU15" i="21"/>
  <c r="AU13" i="21"/>
  <c r="AU11" i="21"/>
  <c r="AU20" i="21"/>
  <c r="AU17" i="21"/>
  <c r="AU59" i="21"/>
  <c r="AU42" i="21"/>
  <c r="AU46" i="21"/>
  <c r="AU91" i="21"/>
  <c r="AU93" i="21"/>
  <c r="AU95" i="21"/>
  <c r="AU97" i="21"/>
  <c r="AU99" i="21"/>
  <c r="AU101" i="21"/>
  <c r="AU103" i="21"/>
  <c r="AU105" i="21"/>
  <c r="AU107" i="21"/>
  <c r="AU109" i="21"/>
  <c r="AU71" i="21"/>
  <c r="AU74" i="21"/>
  <c r="AU78" i="21"/>
  <c r="O90" i="21"/>
  <c r="M90" i="21" s="1"/>
  <c r="N90" i="21"/>
  <c r="O86" i="21"/>
  <c r="M86" i="21" s="1"/>
  <c r="N86" i="21"/>
  <c r="O82" i="21"/>
  <c r="M82" i="21" s="1"/>
  <c r="N82" i="21"/>
  <c r="O55" i="21"/>
  <c r="M55" i="21" s="1"/>
  <c r="N55" i="21"/>
  <c r="O40" i="21"/>
  <c r="M40" i="21" s="1"/>
  <c r="N40" i="21"/>
  <c r="O35" i="21"/>
  <c r="M35" i="21" s="1"/>
  <c r="N35" i="21"/>
  <c r="O57" i="21"/>
  <c r="M57" i="21" s="1"/>
  <c r="N57" i="21"/>
  <c r="O50" i="21"/>
  <c r="M50" i="21" s="1"/>
  <c r="N50" i="21"/>
  <c r="O43" i="21"/>
  <c r="M43" i="21" s="1"/>
  <c r="N43" i="21"/>
  <c r="O34" i="21"/>
  <c r="M34" i="21" s="1"/>
  <c r="N34" i="21"/>
  <c r="O26" i="21"/>
  <c r="M26" i="21" s="1"/>
  <c r="N26" i="21"/>
  <c r="N89" i="21"/>
  <c r="O89" i="21"/>
  <c r="M89" i="21" s="1"/>
  <c r="N85" i="21"/>
  <c r="O85" i="21"/>
  <c r="N81" i="21"/>
  <c r="O81" i="21"/>
  <c r="M81" i="21" s="1"/>
  <c r="N75" i="21"/>
  <c r="O75" i="21"/>
  <c r="N69" i="21"/>
  <c r="O69" i="21"/>
  <c r="M69" i="21" s="1"/>
  <c r="O66" i="21"/>
  <c r="M66" i="21" s="1"/>
  <c r="N66" i="21"/>
  <c r="O64" i="21"/>
  <c r="M64" i="21" s="1"/>
  <c r="N64" i="21"/>
  <c r="O62" i="21"/>
  <c r="M62" i="21" s="1"/>
  <c r="N62" i="21"/>
  <c r="O60" i="21"/>
  <c r="M60" i="21" s="1"/>
  <c r="N60" i="21"/>
  <c r="O53" i="21"/>
  <c r="M53" i="21" s="1"/>
  <c r="N53" i="21"/>
  <c r="O31" i="21"/>
  <c r="M31" i="21" s="1"/>
  <c r="N31" i="21"/>
  <c r="O24" i="21"/>
  <c r="M24" i="21" s="1"/>
  <c r="N24" i="21"/>
  <c r="O56" i="21"/>
  <c r="M56" i="21" s="1"/>
  <c r="N56" i="21"/>
  <c r="O48" i="21"/>
  <c r="M48" i="21" s="1"/>
  <c r="N48" i="21"/>
  <c r="O41" i="21"/>
  <c r="M41" i="21" s="1"/>
  <c r="N41" i="21"/>
  <c r="O33" i="21"/>
  <c r="M33" i="21" s="1"/>
  <c r="N33" i="21"/>
  <c r="O25" i="21"/>
  <c r="M25" i="21" s="1"/>
  <c r="N25" i="21"/>
  <c r="O21" i="21"/>
  <c r="M21" i="21" s="1"/>
  <c r="N21" i="21"/>
  <c r="O16" i="21"/>
  <c r="M16" i="21" s="1"/>
  <c r="N16" i="21"/>
  <c r="O14" i="21"/>
  <c r="M14" i="21" s="1"/>
  <c r="N14" i="21"/>
  <c r="O12" i="21"/>
  <c r="M12" i="21" s="1"/>
  <c r="N12" i="21"/>
  <c r="O9" i="21"/>
  <c r="M9" i="21" s="1"/>
  <c r="N9" i="21"/>
  <c r="O18" i="21"/>
  <c r="M18" i="21" s="1"/>
  <c r="N18" i="21"/>
  <c r="O10" i="21"/>
  <c r="M10" i="21" s="1"/>
  <c r="N10" i="21"/>
  <c r="O32" i="21"/>
  <c r="M32" i="21" s="1"/>
  <c r="N32" i="21"/>
  <c r="O44" i="21"/>
  <c r="M44" i="21" s="1"/>
  <c r="N44" i="21"/>
  <c r="O51" i="21"/>
  <c r="M51" i="21" s="1"/>
  <c r="N51" i="21"/>
  <c r="O92" i="21"/>
  <c r="M92" i="21" s="1"/>
  <c r="N92" i="21"/>
  <c r="O94" i="21"/>
  <c r="M94" i="21" s="1"/>
  <c r="N94" i="21"/>
  <c r="O96" i="21"/>
  <c r="M96" i="21" s="1"/>
  <c r="N96" i="21"/>
  <c r="O98" i="21"/>
  <c r="M98" i="21" s="1"/>
  <c r="N98" i="21"/>
  <c r="O100" i="21"/>
  <c r="M100" i="21" s="1"/>
  <c r="N100" i="21"/>
  <c r="O102" i="21"/>
  <c r="M102" i="21" s="1"/>
  <c r="N102" i="21"/>
  <c r="O104" i="21"/>
  <c r="M104" i="21" s="1"/>
  <c r="N104" i="21"/>
  <c r="O106" i="21"/>
  <c r="M106" i="21" s="1"/>
  <c r="N106" i="21"/>
  <c r="O108" i="21"/>
  <c r="M108" i="21" s="1"/>
  <c r="N108" i="21"/>
  <c r="O70" i="21"/>
  <c r="M70" i="21" s="1"/>
  <c r="N70" i="21"/>
  <c r="N73" i="21"/>
  <c r="O73" i="21"/>
  <c r="M73" i="21" s="1"/>
  <c r="O76" i="21"/>
  <c r="M76" i="21" s="1"/>
  <c r="N76" i="21"/>
  <c r="N79" i="21"/>
  <c r="O79" i="21"/>
  <c r="M79" i="21" s="1"/>
  <c r="O88" i="21"/>
  <c r="M88" i="21" s="1"/>
  <c r="N88" i="21"/>
  <c r="O84" i="21"/>
  <c r="M84" i="21" s="1"/>
  <c r="N84" i="21"/>
  <c r="O80" i="21"/>
  <c r="M80" i="21" s="1"/>
  <c r="N80" i="21"/>
  <c r="O49" i="21"/>
  <c r="M49" i="21" s="1"/>
  <c r="N49" i="21"/>
  <c r="O36" i="21"/>
  <c r="M36" i="21" s="1"/>
  <c r="N36" i="21"/>
  <c r="O27" i="21"/>
  <c r="M27" i="21" s="1"/>
  <c r="N27" i="21"/>
  <c r="O54" i="21"/>
  <c r="M54" i="21" s="1"/>
  <c r="N54" i="21"/>
  <c r="O47" i="21"/>
  <c r="M47" i="21" s="1"/>
  <c r="N47" i="21"/>
  <c r="O39" i="21"/>
  <c r="M39" i="21" s="1"/>
  <c r="N39" i="21"/>
  <c r="O28" i="21"/>
  <c r="M28" i="21" s="1"/>
  <c r="N28" i="21"/>
  <c r="O22" i="21"/>
  <c r="M22" i="21" s="1"/>
  <c r="N22" i="21"/>
  <c r="N87" i="21"/>
  <c r="O87" i="21"/>
  <c r="M87" i="21" s="1"/>
  <c r="N83" i="21"/>
  <c r="O83" i="21"/>
  <c r="N77" i="21"/>
  <c r="O77" i="21"/>
  <c r="M77" i="21" s="1"/>
  <c r="O72" i="21"/>
  <c r="M72" i="21" s="1"/>
  <c r="N72" i="21"/>
  <c r="O67" i="21"/>
  <c r="M67" i="21" s="1"/>
  <c r="N67" i="21"/>
  <c r="O65" i="21"/>
  <c r="M65" i="21" s="1"/>
  <c r="N65" i="21"/>
  <c r="O63" i="21"/>
  <c r="M63" i="21" s="1"/>
  <c r="N63" i="21"/>
  <c r="O61" i="21"/>
  <c r="M61" i="21" s="1"/>
  <c r="N61" i="21"/>
  <c r="O58" i="21"/>
  <c r="M58" i="21" s="1"/>
  <c r="N58" i="21"/>
  <c r="O38" i="21"/>
  <c r="M38" i="21" s="1"/>
  <c r="N38" i="21"/>
  <c r="O30" i="21"/>
  <c r="M30" i="21" s="1"/>
  <c r="N30" i="21"/>
  <c r="O68" i="21"/>
  <c r="M68" i="21" s="1"/>
  <c r="N68" i="21"/>
  <c r="O52" i="21"/>
  <c r="M52" i="21" s="1"/>
  <c r="N52" i="21"/>
  <c r="O45" i="21"/>
  <c r="M45" i="21" s="1"/>
  <c r="N45" i="21"/>
  <c r="O37" i="21"/>
  <c r="M37" i="21" s="1"/>
  <c r="N37" i="21"/>
  <c r="O29" i="21"/>
  <c r="M29" i="21" s="1"/>
  <c r="N29" i="21"/>
  <c r="O23" i="21"/>
  <c r="M23" i="21" s="1"/>
  <c r="N23" i="21"/>
  <c r="O19" i="21"/>
  <c r="M19" i="21" s="1"/>
  <c r="N19" i="21"/>
  <c r="O15" i="21"/>
  <c r="M15" i="21" s="1"/>
  <c r="N15" i="21"/>
  <c r="O13" i="21"/>
  <c r="M13" i="21" s="1"/>
  <c r="N13" i="21"/>
  <c r="O11" i="21"/>
  <c r="M11" i="21" s="1"/>
  <c r="N11" i="21"/>
  <c r="O20" i="21"/>
  <c r="M20" i="21" s="1"/>
  <c r="N20" i="21"/>
  <c r="O17" i="21"/>
  <c r="M17" i="21" s="1"/>
  <c r="N17" i="21"/>
  <c r="O59" i="21"/>
  <c r="M59" i="21" s="1"/>
  <c r="N59" i="21"/>
  <c r="O42" i="21"/>
  <c r="M42" i="21" s="1"/>
  <c r="N42" i="21"/>
  <c r="O46" i="21"/>
  <c r="M46" i="21" s="1"/>
  <c r="N46" i="21"/>
  <c r="N91" i="21"/>
  <c r="O91" i="21"/>
  <c r="M91" i="21" s="1"/>
  <c r="N93" i="21"/>
  <c r="O93" i="21"/>
  <c r="N95" i="21"/>
  <c r="O95" i="21"/>
  <c r="M95" i="21" s="1"/>
  <c r="N97" i="21"/>
  <c r="O97" i="21"/>
  <c r="N99" i="21"/>
  <c r="O99" i="21"/>
  <c r="M99" i="21" s="1"/>
  <c r="N101" i="21"/>
  <c r="O101" i="21"/>
  <c r="N103" i="21"/>
  <c r="O103" i="21"/>
  <c r="M103" i="21" s="1"/>
  <c r="N105" i="21"/>
  <c r="O105" i="21"/>
  <c r="N107" i="21"/>
  <c r="O107" i="21"/>
  <c r="M107" i="21" s="1"/>
  <c r="N109" i="21"/>
  <c r="O109" i="21"/>
  <c r="N71" i="21"/>
  <c r="O71" i="21"/>
  <c r="M71" i="21" s="1"/>
  <c r="O74" i="21"/>
  <c r="M74" i="21" s="1"/>
  <c r="N74" i="21"/>
  <c r="O78" i="21"/>
  <c r="M78" i="21" s="1"/>
  <c r="N78" i="21"/>
  <c r="AT90" i="21"/>
  <c r="BA90" i="21"/>
  <c r="AT86" i="21"/>
  <c r="BA86" i="21"/>
  <c r="AT82" i="21"/>
  <c r="BA82" i="21"/>
  <c r="BA55" i="21"/>
  <c r="AT55" i="21"/>
  <c r="BA40" i="21"/>
  <c r="AT40" i="21"/>
  <c r="BA35" i="21"/>
  <c r="AT35" i="21"/>
  <c r="AT57" i="21"/>
  <c r="BA57" i="21"/>
  <c r="AT50" i="21"/>
  <c r="BA50" i="21"/>
  <c r="AT43" i="21"/>
  <c r="BA43" i="21"/>
  <c r="AT34" i="21"/>
  <c r="BA34" i="21"/>
  <c r="AT26" i="21"/>
  <c r="BA26" i="21"/>
  <c r="AT89" i="21"/>
  <c r="BA89" i="21"/>
  <c r="AT85" i="21"/>
  <c r="BA85" i="21"/>
  <c r="AT81" i="21"/>
  <c r="BA81" i="21"/>
  <c r="AT75" i="21"/>
  <c r="BA75" i="21"/>
  <c r="BA69" i="21"/>
  <c r="AT69" i="21"/>
  <c r="BA66" i="21"/>
  <c r="AT66" i="21"/>
  <c r="BA64" i="21"/>
  <c r="AT64" i="21"/>
  <c r="BA62" i="21"/>
  <c r="AT62" i="21"/>
  <c r="BA60" i="21"/>
  <c r="AT60" i="21"/>
  <c r="BA53" i="21"/>
  <c r="AT53" i="21"/>
  <c r="BA31" i="21"/>
  <c r="AT31" i="21"/>
  <c r="BA24" i="21"/>
  <c r="AT24" i="21"/>
  <c r="AT56" i="21"/>
  <c r="BA56" i="21"/>
  <c r="AT48" i="21"/>
  <c r="BA48" i="21"/>
  <c r="AT41" i="21"/>
  <c r="BA41" i="21"/>
  <c r="AT33" i="21"/>
  <c r="BA33" i="21"/>
  <c r="AT25" i="21"/>
  <c r="BA25" i="21"/>
  <c r="BA21" i="21"/>
  <c r="AT21" i="21"/>
  <c r="BA16" i="21"/>
  <c r="AT16" i="21"/>
  <c r="BA14" i="21"/>
  <c r="AT14" i="21"/>
  <c r="BA12" i="21"/>
  <c r="AT12" i="21"/>
  <c r="BA9" i="21"/>
  <c r="B75" i="21" s="1"/>
  <c r="B76" i="21" s="1"/>
  <c r="AT9" i="21"/>
  <c r="AT18" i="21"/>
  <c r="BA18" i="21"/>
  <c r="AT10" i="21"/>
  <c r="BA10" i="21"/>
  <c r="BA32" i="21"/>
  <c r="AT32" i="21"/>
  <c r="BA44" i="21"/>
  <c r="AT44" i="21"/>
  <c r="BA51" i="21"/>
  <c r="AT51" i="21"/>
  <c r="AT92" i="21"/>
  <c r="BA92" i="21"/>
  <c r="AT94" i="21"/>
  <c r="BA94" i="21"/>
  <c r="AT96" i="21"/>
  <c r="BA96" i="21"/>
  <c r="AT98" i="21"/>
  <c r="BA98" i="21"/>
  <c r="AT100" i="21"/>
  <c r="BA100" i="21"/>
  <c r="AT102" i="21"/>
  <c r="BA102" i="21"/>
  <c r="AT104" i="21"/>
  <c r="BA104" i="21"/>
  <c r="AT106" i="21"/>
  <c r="BA106" i="21"/>
  <c r="AT108" i="21"/>
  <c r="BA108" i="21"/>
  <c r="BA70" i="21"/>
  <c r="AT70" i="21"/>
  <c r="BA73" i="21"/>
  <c r="AT73" i="21"/>
  <c r="BA76" i="21"/>
  <c r="AT76" i="21"/>
  <c r="BA79" i="21"/>
  <c r="AT79" i="21"/>
  <c r="AT88" i="21"/>
  <c r="BA88" i="21"/>
  <c r="AT84" i="21"/>
  <c r="BA84" i="21"/>
  <c r="AT80" i="21"/>
  <c r="BA80" i="21"/>
  <c r="BA49" i="21"/>
  <c r="AT49" i="21"/>
  <c r="BA36" i="21"/>
  <c r="AT36" i="21"/>
  <c r="BA27" i="21"/>
  <c r="AT27" i="21"/>
  <c r="AT54" i="21"/>
  <c r="BA54" i="21"/>
  <c r="AT47" i="21"/>
  <c r="BA47" i="21"/>
  <c r="AT39" i="21"/>
  <c r="BA39" i="21"/>
  <c r="AT28" i="21"/>
  <c r="BA28" i="21"/>
  <c r="BA22" i="21"/>
  <c r="AT22" i="21"/>
  <c r="AT87" i="21"/>
  <c r="BA87" i="21"/>
  <c r="AT83" i="21"/>
  <c r="BA83" i="21"/>
  <c r="AT77" i="21"/>
  <c r="BA77" i="21"/>
  <c r="AT72" i="21"/>
  <c r="BA72" i="21"/>
  <c r="BA67" i="21"/>
  <c r="AT67" i="21"/>
  <c r="BA65" i="21"/>
  <c r="AT65" i="21"/>
  <c r="BA63" i="21"/>
  <c r="AT63" i="21"/>
  <c r="BA61" i="21"/>
  <c r="AT61" i="21"/>
  <c r="BA58" i="21"/>
  <c r="AT58" i="21"/>
  <c r="BA38" i="21"/>
  <c r="AT38" i="21"/>
  <c r="BA30" i="21"/>
  <c r="AT30" i="21"/>
  <c r="AT68" i="21"/>
  <c r="BA68" i="21"/>
  <c r="AT52" i="21"/>
  <c r="BA52" i="21"/>
  <c r="AT45" i="21"/>
  <c r="BA45" i="21"/>
  <c r="AT37" i="21"/>
  <c r="BA37" i="21"/>
  <c r="AT29" i="21"/>
  <c r="BA29" i="21"/>
  <c r="AT23" i="21"/>
  <c r="BA23" i="21"/>
  <c r="BA19" i="21"/>
  <c r="AT19" i="21"/>
  <c r="BA15" i="21"/>
  <c r="AT15" i="21"/>
  <c r="BA13" i="21"/>
  <c r="AT13" i="21"/>
  <c r="BA11" i="21"/>
  <c r="AT11" i="21"/>
  <c r="AT20" i="21"/>
  <c r="BA20" i="21"/>
  <c r="AT17" i="21"/>
  <c r="BA17" i="21"/>
  <c r="AT59" i="21"/>
  <c r="BA59" i="21"/>
  <c r="BA42" i="21"/>
  <c r="AT42" i="21"/>
  <c r="BA46" i="21"/>
  <c r="AT46" i="21"/>
  <c r="AT91" i="21"/>
  <c r="BA91" i="21"/>
  <c r="AT93" i="21"/>
  <c r="BA93" i="21"/>
  <c r="AT95" i="21"/>
  <c r="BA95" i="21"/>
  <c r="AT97" i="21"/>
  <c r="BA97" i="21"/>
  <c r="AT99" i="21"/>
  <c r="BA99" i="21"/>
  <c r="AT101" i="21"/>
  <c r="BA101" i="21"/>
  <c r="AT103" i="21"/>
  <c r="BA103" i="21"/>
  <c r="AT105" i="21"/>
  <c r="BA105" i="21"/>
  <c r="AT107" i="21"/>
  <c r="BA107" i="21"/>
  <c r="AT109" i="21"/>
  <c r="BA109" i="21"/>
  <c r="BA71" i="21"/>
  <c r="AT71" i="21"/>
  <c r="BA74" i="21"/>
  <c r="AT74" i="21"/>
  <c r="BA78" i="21"/>
  <c r="AT78" i="21"/>
  <c r="O114" i="20"/>
  <c r="M114" i="20" s="1"/>
  <c r="AC114" i="20" s="1"/>
  <c r="N114" i="20"/>
  <c r="BA114" i="20"/>
  <c r="AU114" i="20"/>
  <c r="AT114" i="20"/>
  <c r="O138" i="20"/>
  <c r="M138" i="20" s="1"/>
  <c r="AC138" i="20" s="1"/>
  <c r="N138" i="20"/>
  <c r="BA138" i="20"/>
  <c r="AU138" i="20"/>
  <c r="AT138" i="20"/>
  <c r="O154" i="20"/>
  <c r="M154" i="20" s="1"/>
  <c r="AC154" i="20" s="1"/>
  <c r="N154" i="20"/>
  <c r="BA154" i="20"/>
  <c r="AU154" i="20"/>
  <c r="AT154" i="20"/>
  <c r="O170" i="20"/>
  <c r="M170" i="20" s="1"/>
  <c r="N170" i="20"/>
  <c r="BA170" i="20"/>
  <c r="AU170" i="20"/>
  <c r="AT170" i="20"/>
  <c r="N121" i="20"/>
  <c r="BA121" i="20"/>
  <c r="O121" i="20"/>
  <c r="M121" i="20" s="1"/>
  <c r="AC121" i="20" s="1"/>
  <c r="AU121" i="20"/>
  <c r="AT121" i="20"/>
  <c r="O129" i="20"/>
  <c r="M129" i="20" s="1"/>
  <c r="AC129" i="20" s="1"/>
  <c r="N129" i="20"/>
  <c r="BA129" i="20"/>
  <c r="AU129" i="20"/>
  <c r="AT129" i="20"/>
  <c r="O145" i="20"/>
  <c r="M145" i="20" s="1"/>
  <c r="AC145" i="20" s="1"/>
  <c r="BA145" i="20"/>
  <c r="AU145" i="20"/>
  <c r="N145" i="20"/>
  <c r="AT145" i="20"/>
  <c r="O163" i="20"/>
  <c r="N163" i="20"/>
  <c r="BA163" i="20"/>
  <c r="AU163" i="20"/>
  <c r="AT163" i="20"/>
  <c r="O112" i="20"/>
  <c r="M112" i="20" s="1"/>
  <c r="AC112" i="20" s="1"/>
  <c r="N112" i="20"/>
  <c r="BA112" i="20"/>
  <c r="AT112" i="20"/>
  <c r="AU112" i="20"/>
  <c r="O128" i="20"/>
  <c r="M128" i="20" s="1"/>
  <c r="AC128" i="20" s="1"/>
  <c r="AT128" i="20"/>
  <c r="AU128" i="20"/>
  <c r="N128" i="20"/>
  <c r="BA128" i="20"/>
  <c r="O144" i="20"/>
  <c r="M144" i="20" s="1"/>
  <c r="AC144" i="20" s="1"/>
  <c r="N144" i="20"/>
  <c r="BA144" i="20"/>
  <c r="AU144" i="20"/>
  <c r="AT144" i="20"/>
  <c r="BA152" i="20"/>
  <c r="AU152" i="20"/>
  <c r="AT152" i="20"/>
  <c r="O152" i="20"/>
  <c r="M152" i="20" s="1"/>
  <c r="AC152" i="20" s="1"/>
  <c r="N152" i="20"/>
  <c r="BA168" i="20"/>
  <c r="AU168" i="20"/>
  <c r="AT168" i="20"/>
  <c r="O168" i="20"/>
  <c r="N168" i="20"/>
  <c r="O119" i="20"/>
  <c r="M119" i="20" s="1"/>
  <c r="AC119" i="20" s="1"/>
  <c r="AU119" i="20"/>
  <c r="N119" i="20"/>
  <c r="BA119" i="20"/>
  <c r="AT119" i="20"/>
  <c r="AU143" i="20"/>
  <c r="AT143" i="20"/>
  <c r="BA143" i="20"/>
  <c r="O143" i="20"/>
  <c r="M143" i="20" s="1"/>
  <c r="AC143" i="20" s="1"/>
  <c r="N143" i="20"/>
  <c r="P143" i="20" s="1"/>
  <c r="O159" i="20"/>
  <c r="N159" i="20"/>
  <c r="BA159" i="20"/>
  <c r="AU159" i="20"/>
  <c r="AT159" i="20"/>
  <c r="O209" i="20"/>
  <c r="N209" i="20"/>
  <c r="BA209" i="20"/>
  <c r="AT209" i="20"/>
  <c r="AU209" i="20"/>
  <c r="O173" i="20"/>
  <c r="N173" i="20"/>
  <c r="BA173" i="20"/>
  <c r="AU173" i="20"/>
  <c r="AT173" i="20"/>
  <c r="O192" i="20"/>
  <c r="N192" i="20"/>
  <c r="BA192" i="20"/>
  <c r="AU192" i="20"/>
  <c r="AT192" i="20"/>
  <c r="O200" i="20"/>
  <c r="N200" i="20"/>
  <c r="AU200" i="20"/>
  <c r="BA200" i="20"/>
  <c r="AT200" i="20"/>
  <c r="O195" i="20"/>
  <c r="N195" i="20"/>
  <c r="BA195" i="20"/>
  <c r="AT195" i="20"/>
  <c r="AU195" i="20"/>
  <c r="O177" i="20"/>
  <c r="N177" i="20"/>
  <c r="BA177" i="20"/>
  <c r="AU177" i="20"/>
  <c r="AT177" i="20"/>
  <c r="N186" i="20"/>
  <c r="BA186" i="20"/>
  <c r="O186" i="20"/>
  <c r="M186" i="20" s="1"/>
  <c r="AU186" i="20"/>
  <c r="AT186" i="20"/>
  <c r="O194" i="20"/>
  <c r="AU194" i="20"/>
  <c r="N194" i="20"/>
  <c r="BA194" i="20"/>
  <c r="AT194" i="20"/>
  <c r="O202" i="20"/>
  <c r="N202" i="20"/>
  <c r="BA202" i="20"/>
  <c r="AU202" i="20"/>
  <c r="AT202" i="20"/>
  <c r="BA118" i="20"/>
  <c r="N118" i="20"/>
  <c r="P118" i="20" s="1"/>
  <c r="AT118" i="20"/>
  <c r="O118" i="20"/>
  <c r="M118" i="20" s="1"/>
  <c r="AC118" i="20" s="1"/>
  <c r="AU118" i="20"/>
  <c r="O142" i="20"/>
  <c r="M142" i="20" s="1"/>
  <c r="AC142" i="20" s="1"/>
  <c r="N142" i="20"/>
  <c r="BA142" i="20"/>
  <c r="AU142" i="20"/>
  <c r="AT142" i="20"/>
  <c r="O158" i="20"/>
  <c r="M158" i="20" s="1"/>
  <c r="N158" i="20"/>
  <c r="BA158" i="20"/>
  <c r="AU158" i="20"/>
  <c r="AT158" i="20"/>
  <c r="O174" i="20"/>
  <c r="M174" i="20" s="1"/>
  <c r="N174" i="20"/>
  <c r="BA174" i="20"/>
  <c r="AU174" i="20"/>
  <c r="AT174" i="20"/>
  <c r="BA141" i="20"/>
  <c r="AU141" i="20"/>
  <c r="AT141" i="20"/>
  <c r="O141" i="20"/>
  <c r="M141" i="20" s="1"/>
  <c r="AC141" i="20" s="1"/>
  <c r="N141" i="20"/>
  <c r="O157" i="20"/>
  <c r="M157" i="20" s="1"/>
  <c r="N157" i="20"/>
  <c r="BA157" i="20"/>
  <c r="AU157" i="20"/>
  <c r="AT157" i="20"/>
  <c r="O183" i="20"/>
  <c r="M183" i="20" s="1"/>
  <c r="N183" i="20"/>
  <c r="P183" i="20" s="1"/>
  <c r="AU183" i="20"/>
  <c r="AT183" i="20"/>
  <c r="BA183" i="20"/>
  <c r="AJ183" i="20"/>
  <c r="AK183" i="20" s="1"/>
  <c r="O132" i="20"/>
  <c r="M132" i="20" s="1"/>
  <c r="AC132" i="20" s="1"/>
  <c r="N132" i="20"/>
  <c r="BA132" i="20"/>
  <c r="AU132" i="20"/>
  <c r="AT132" i="20"/>
  <c r="BA140" i="20"/>
  <c r="AU140" i="20"/>
  <c r="AT140" i="20"/>
  <c r="O140" i="20"/>
  <c r="M140" i="20" s="1"/>
  <c r="AC140" i="20" s="1"/>
  <c r="N140" i="20"/>
  <c r="O156" i="20"/>
  <c r="M156" i="20" s="1"/>
  <c r="AC156" i="20" s="1"/>
  <c r="N156" i="20"/>
  <c r="P156" i="20" s="1"/>
  <c r="BA156" i="20"/>
  <c r="AU156" i="20"/>
  <c r="AT156" i="20"/>
  <c r="O172" i="20"/>
  <c r="N172" i="20"/>
  <c r="BA172" i="20"/>
  <c r="AU172" i="20"/>
  <c r="AT172" i="20"/>
  <c r="O139" i="20"/>
  <c r="M139" i="20" s="1"/>
  <c r="AC139" i="20" s="1"/>
  <c r="N139" i="20"/>
  <c r="AU139" i="20"/>
  <c r="AT139" i="20"/>
  <c r="BA139" i="20"/>
  <c r="O155" i="20"/>
  <c r="M155" i="20" s="1"/>
  <c r="AC155" i="20" s="1"/>
  <c r="N155" i="20"/>
  <c r="P155" i="20" s="1"/>
  <c r="BA155" i="20"/>
  <c r="AU155" i="20"/>
  <c r="AT155" i="20"/>
  <c r="O181" i="20"/>
  <c r="N181" i="20"/>
  <c r="AU181" i="20"/>
  <c r="AT181" i="20"/>
  <c r="BA181" i="20"/>
  <c r="O189" i="20"/>
  <c r="N189" i="20"/>
  <c r="BA189" i="20"/>
  <c r="AT189" i="20"/>
  <c r="AU189" i="20"/>
  <c r="O165" i="20"/>
  <c r="N165" i="20"/>
  <c r="BA165" i="20"/>
  <c r="AU165" i="20"/>
  <c r="AT165" i="20"/>
  <c r="O196" i="20"/>
  <c r="N196" i="20"/>
  <c r="AT196" i="20"/>
  <c r="BA196" i="20"/>
  <c r="AU196" i="20"/>
  <c r="O204" i="20"/>
  <c r="N204" i="20"/>
  <c r="BA204" i="20"/>
  <c r="AU204" i="20"/>
  <c r="AT204" i="20"/>
  <c r="O169" i="20"/>
  <c r="M169" i="20" s="1"/>
  <c r="N169" i="20"/>
  <c r="BA169" i="20"/>
  <c r="AU169" i="20"/>
  <c r="AT169" i="20"/>
  <c r="AU190" i="20"/>
  <c r="AT190" i="20"/>
  <c r="O190" i="20"/>
  <c r="M190" i="20" s="1"/>
  <c r="N190" i="20"/>
  <c r="BA190" i="20"/>
  <c r="O198" i="20"/>
  <c r="M198" i="20" s="1"/>
  <c r="N198" i="20"/>
  <c r="AU198" i="20"/>
  <c r="BA198" i="20"/>
  <c r="AT198" i="20"/>
  <c r="O206" i="20"/>
  <c r="M206" i="20" s="1"/>
  <c r="N206" i="20"/>
  <c r="BA206" i="20"/>
  <c r="AU206" i="20"/>
  <c r="AT206" i="20"/>
  <c r="AT122" i="20"/>
  <c r="N122" i="20"/>
  <c r="BA122" i="20"/>
  <c r="O122" i="20"/>
  <c r="M122" i="20" s="1"/>
  <c r="AC122" i="20" s="1"/>
  <c r="AU122" i="20"/>
  <c r="O130" i="20"/>
  <c r="M130" i="20" s="1"/>
  <c r="AC130" i="20" s="1"/>
  <c r="N130" i="20"/>
  <c r="BA130" i="20"/>
  <c r="AU130" i="20"/>
  <c r="AT130" i="20"/>
  <c r="O146" i="20"/>
  <c r="M146" i="20" s="1"/>
  <c r="AC146" i="20" s="1"/>
  <c r="N146" i="20"/>
  <c r="BA146" i="20"/>
  <c r="AU146" i="20"/>
  <c r="AT146" i="20"/>
  <c r="O162" i="20"/>
  <c r="M162" i="20" s="1"/>
  <c r="N162" i="20"/>
  <c r="BA162" i="20"/>
  <c r="AU162" i="20"/>
  <c r="AT162" i="20"/>
  <c r="O178" i="20"/>
  <c r="M178" i="20" s="1"/>
  <c r="N178" i="20"/>
  <c r="BA178" i="20"/>
  <c r="AU178" i="20"/>
  <c r="AT178" i="20"/>
  <c r="O113" i="20"/>
  <c r="M113" i="20" s="1"/>
  <c r="AC113" i="20" s="1"/>
  <c r="N113" i="20"/>
  <c r="AT113" i="20"/>
  <c r="BA113" i="20"/>
  <c r="AU113" i="20"/>
  <c r="O137" i="20"/>
  <c r="M137" i="20" s="1"/>
  <c r="AC137" i="20" s="1"/>
  <c r="N137" i="20"/>
  <c r="AU137" i="20"/>
  <c r="AT137" i="20"/>
  <c r="BA137" i="20"/>
  <c r="O153" i="20"/>
  <c r="M153" i="20" s="1"/>
  <c r="AC153" i="20" s="1"/>
  <c r="N153" i="20"/>
  <c r="BA153" i="20"/>
  <c r="AU153" i="20"/>
  <c r="AT153" i="20"/>
  <c r="O179" i="20"/>
  <c r="M179" i="20" s="1"/>
  <c r="N179" i="20"/>
  <c r="BA179" i="20"/>
  <c r="AU179" i="20"/>
  <c r="AT179" i="20"/>
  <c r="BA187" i="20"/>
  <c r="AU187" i="20"/>
  <c r="N187" i="20"/>
  <c r="AT187" i="20"/>
  <c r="O187" i="20"/>
  <c r="M187" i="20" s="1"/>
  <c r="AU120" i="20"/>
  <c r="AT120" i="20"/>
  <c r="N120" i="20"/>
  <c r="BA120" i="20"/>
  <c r="O120" i="20"/>
  <c r="M120" i="20" s="1"/>
  <c r="AC120" i="20" s="1"/>
  <c r="O136" i="20"/>
  <c r="M136" i="20" s="1"/>
  <c r="AC136" i="20" s="1"/>
  <c r="N136" i="20"/>
  <c r="BA136" i="20"/>
  <c r="AU136" i="20"/>
  <c r="AT136" i="20"/>
  <c r="BA160" i="20"/>
  <c r="AU160" i="20"/>
  <c r="AT160" i="20"/>
  <c r="O160" i="20"/>
  <c r="M160" i="20" s="1"/>
  <c r="N160" i="20"/>
  <c r="BA176" i="20"/>
  <c r="AU176" i="20"/>
  <c r="AT176" i="20"/>
  <c r="O176" i="20"/>
  <c r="M176" i="20" s="1"/>
  <c r="N176" i="20"/>
  <c r="AU111" i="20"/>
  <c r="O111" i="20"/>
  <c r="M111" i="20" s="1"/>
  <c r="AC111" i="20" s="1"/>
  <c r="N111" i="20"/>
  <c r="BA111" i="20"/>
  <c r="AT111" i="20"/>
  <c r="AU127" i="20"/>
  <c r="AT127" i="20"/>
  <c r="O127" i="20"/>
  <c r="M127" i="20" s="1"/>
  <c r="AC127" i="20" s="1"/>
  <c r="N127" i="20"/>
  <c r="BA127" i="20"/>
  <c r="AU135" i="20"/>
  <c r="AT135" i="20"/>
  <c r="BA135" i="20"/>
  <c r="O135" i="20"/>
  <c r="M135" i="20" s="1"/>
  <c r="AC135" i="20" s="1"/>
  <c r="N135" i="20"/>
  <c r="BA151" i="20"/>
  <c r="O151" i="20"/>
  <c r="M151" i="20" s="1"/>
  <c r="AC151" i="20" s="1"/>
  <c r="N151" i="20"/>
  <c r="AU151" i="20"/>
  <c r="AT151" i="20"/>
  <c r="O175" i="20"/>
  <c r="M175" i="20" s="1"/>
  <c r="N175" i="20"/>
  <c r="BA175" i="20"/>
  <c r="AU175" i="20"/>
  <c r="AT175" i="20"/>
  <c r="AU185" i="20"/>
  <c r="O185" i="20"/>
  <c r="M185" i="20" s="1"/>
  <c r="N185" i="20"/>
  <c r="BA185" i="20"/>
  <c r="AT185" i="20"/>
  <c r="N193" i="20"/>
  <c r="P193" i="20" s="1"/>
  <c r="AU193" i="20"/>
  <c r="O193" i="20"/>
  <c r="M193" i="20" s="1"/>
  <c r="AT193" i="20"/>
  <c r="BA193" i="20"/>
  <c r="O201" i="20"/>
  <c r="M201" i="20" s="1"/>
  <c r="N201" i="20"/>
  <c r="BA201" i="20"/>
  <c r="AU201" i="20"/>
  <c r="AT201" i="20"/>
  <c r="O184" i="20"/>
  <c r="M184" i="20" s="1"/>
  <c r="N184" i="20"/>
  <c r="AU184" i="20"/>
  <c r="AT184" i="20"/>
  <c r="BA184" i="20"/>
  <c r="O208" i="20"/>
  <c r="M208" i="20" s="1"/>
  <c r="N208" i="20"/>
  <c r="BA208" i="20"/>
  <c r="AT208" i="20"/>
  <c r="AU208" i="20"/>
  <c r="O203" i="20"/>
  <c r="M203" i="20" s="1"/>
  <c r="N203" i="20"/>
  <c r="BA203" i="20"/>
  <c r="AU203" i="20"/>
  <c r="AT203" i="20"/>
  <c r="O161" i="20"/>
  <c r="M161" i="20" s="1"/>
  <c r="N161" i="20"/>
  <c r="BA161" i="20"/>
  <c r="AU161" i="20"/>
  <c r="AT161" i="20"/>
  <c r="O110" i="20"/>
  <c r="M110" i="20" s="1"/>
  <c r="AC110" i="20" s="1"/>
  <c r="N110" i="20"/>
  <c r="BA110" i="20"/>
  <c r="AT110" i="20"/>
  <c r="AU110" i="20"/>
  <c r="N126" i="20"/>
  <c r="BA126" i="20"/>
  <c r="O126" i="20"/>
  <c r="M126" i="20" s="1"/>
  <c r="AC126" i="20" s="1"/>
  <c r="AU126" i="20"/>
  <c r="AT126" i="20"/>
  <c r="O134" i="20"/>
  <c r="M134" i="20" s="1"/>
  <c r="AC134" i="20" s="1"/>
  <c r="N134" i="20"/>
  <c r="BA134" i="20"/>
  <c r="AU134" i="20"/>
  <c r="AT134" i="20"/>
  <c r="O150" i="20"/>
  <c r="M150" i="20" s="1"/>
  <c r="AC150" i="20" s="1"/>
  <c r="N150" i="20"/>
  <c r="BA150" i="20"/>
  <c r="AU150" i="20"/>
  <c r="AT150" i="20"/>
  <c r="O166" i="20"/>
  <c r="M166" i="20" s="1"/>
  <c r="N166" i="20"/>
  <c r="BA166" i="20"/>
  <c r="AU166" i="20"/>
  <c r="AT166" i="20"/>
  <c r="BA117" i="20"/>
  <c r="AU117" i="20"/>
  <c r="AT117" i="20"/>
  <c r="O117" i="20"/>
  <c r="M117" i="20" s="1"/>
  <c r="AC117" i="20" s="1"/>
  <c r="N117" i="20"/>
  <c r="AU125" i="20"/>
  <c r="N125" i="20"/>
  <c r="BA125" i="20"/>
  <c r="AT125" i="20"/>
  <c r="O125" i="20"/>
  <c r="M125" i="20" s="1"/>
  <c r="AC125" i="20" s="1"/>
  <c r="AU133" i="20"/>
  <c r="AT133" i="20"/>
  <c r="BA133" i="20"/>
  <c r="O133" i="20"/>
  <c r="M133" i="20" s="1"/>
  <c r="AC133" i="20" s="1"/>
  <c r="N133" i="20"/>
  <c r="O149" i="20"/>
  <c r="M149" i="20" s="1"/>
  <c r="AC149" i="20" s="1"/>
  <c r="N149" i="20"/>
  <c r="BA149" i="20"/>
  <c r="AU149" i="20"/>
  <c r="AT149" i="20"/>
  <c r="O171" i="20"/>
  <c r="M171" i="20" s="1"/>
  <c r="N171" i="20"/>
  <c r="P171" i="20" s="1"/>
  <c r="AM171" i="20" s="1"/>
  <c r="BA171" i="20"/>
  <c r="AJ171" i="20"/>
  <c r="AK171" i="20" s="1"/>
  <c r="AU171" i="20"/>
  <c r="AT171" i="20"/>
  <c r="O116" i="20"/>
  <c r="M116" i="20" s="1"/>
  <c r="AC116" i="20" s="1"/>
  <c r="N116" i="20"/>
  <c r="P116" i="20" s="1"/>
  <c r="AM116" i="20" s="1"/>
  <c r="BA116" i="20"/>
  <c r="AU116" i="20"/>
  <c r="AT116" i="20"/>
  <c r="O124" i="20"/>
  <c r="M124" i="20" s="1"/>
  <c r="AC124" i="20" s="1"/>
  <c r="N124" i="20"/>
  <c r="BA124" i="20"/>
  <c r="AT124" i="20"/>
  <c r="AU124" i="20"/>
  <c r="O148" i="20"/>
  <c r="M148" i="20" s="1"/>
  <c r="AC148" i="20" s="1"/>
  <c r="N148" i="20"/>
  <c r="BA148" i="20"/>
  <c r="AU148" i="20"/>
  <c r="AT148" i="20"/>
  <c r="O164" i="20"/>
  <c r="M164" i="20" s="1"/>
  <c r="N164" i="20"/>
  <c r="BA164" i="20"/>
  <c r="AU164" i="20"/>
  <c r="AT164" i="20"/>
  <c r="O115" i="20"/>
  <c r="M115" i="20" s="1"/>
  <c r="AC115" i="20" s="1"/>
  <c r="N115" i="20"/>
  <c r="AU115" i="20"/>
  <c r="AT115" i="20"/>
  <c r="BA115" i="20"/>
  <c r="N123" i="20"/>
  <c r="BA123" i="20"/>
  <c r="AT123" i="20"/>
  <c r="O123" i="20"/>
  <c r="M123" i="20" s="1"/>
  <c r="AC123" i="20" s="1"/>
  <c r="AU123" i="20"/>
  <c r="O131" i="20"/>
  <c r="M131" i="20" s="1"/>
  <c r="AC131" i="20" s="1"/>
  <c r="N131" i="20"/>
  <c r="BA131" i="20"/>
  <c r="AU131" i="20"/>
  <c r="AT131" i="20"/>
  <c r="O147" i="20"/>
  <c r="M147" i="20" s="1"/>
  <c r="AC147" i="20" s="1"/>
  <c r="BA147" i="20"/>
  <c r="AU147" i="20"/>
  <c r="AT147" i="20"/>
  <c r="N147" i="20"/>
  <c r="O167" i="20"/>
  <c r="M167" i="20" s="1"/>
  <c r="N167" i="20"/>
  <c r="BA167" i="20"/>
  <c r="AU167" i="20"/>
  <c r="AT167" i="20"/>
  <c r="O197" i="20"/>
  <c r="M197" i="20" s="1"/>
  <c r="N197" i="20"/>
  <c r="BA197" i="20"/>
  <c r="AT197" i="20"/>
  <c r="AU197" i="20"/>
  <c r="O205" i="20"/>
  <c r="M205" i="20" s="1"/>
  <c r="N205" i="20"/>
  <c r="BA205" i="20"/>
  <c r="AU205" i="20"/>
  <c r="AT205" i="20"/>
  <c r="O180" i="20"/>
  <c r="M180" i="20" s="1"/>
  <c r="AT180" i="20"/>
  <c r="BA180" i="20"/>
  <c r="N180" i="20"/>
  <c r="AU180" i="20"/>
  <c r="N188" i="20"/>
  <c r="O188" i="20"/>
  <c r="AT188" i="20"/>
  <c r="BA188" i="20"/>
  <c r="AU188" i="20"/>
  <c r="O191" i="20"/>
  <c r="N191" i="20"/>
  <c r="BA191" i="20"/>
  <c r="AU191" i="20"/>
  <c r="AT191" i="20"/>
  <c r="O199" i="20"/>
  <c r="N199" i="20"/>
  <c r="AT199" i="20"/>
  <c r="BA199" i="20"/>
  <c r="AU199" i="20"/>
  <c r="O207" i="20"/>
  <c r="BA207" i="20"/>
  <c r="AT207" i="20"/>
  <c r="AU207" i="20"/>
  <c r="N207" i="20"/>
  <c r="O182" i="20"/>
  <c r="N182" i="20"/>
  <c r="AU182" i="20"/>
  <c r="AT182" i="20"/>
  <c r="BA182" i="20"/>
  <c r="AT9" i="20"/>
  <c r="AT27" i="20"/>
  <c r="AT39" i="20"/>
  <c r="AT28" i="20"/>
  <c r="AT40" i="20"/>
  <c r="AT52" i="20"/>
  <c r="AT64" i="20"/>
  <c r="AT76" i="20"/>
  <c r="AT84" i="20"/>
  <c r="AT92" i="20"/>
  <c r="AT96" i="20"/>
  <c r="AT108" i="20"/>
  <c r="AT16" i="20"/>
  <c r="AT83" i="20"/>
  <c r="AT95" i="20"/>
  <c r="AT103" i="20"/>
  <c r="AT11" i="20"/>
  <c r="AT15" i="20"/>
  <c r="AT22" i="20"/>
  <c r="BA43" i="20"/>
  <c r="AU9" i="20"/>
  <c r="AU27" i="20"/>
  <c r="AU76" i="20"/>
  <c r="AU92" i="20"/>
  <c r="AU104" i="20"/>
  <c r="AU108" i="20"/>
  <c r="AU95" i="20"/>
  <c r="BA11" i="20"/>
  <c r="AU11" i="20"/>
  <c r="AU22" i="20"/>
  <c r="O22" i="20"/>
  <c r="O9" i="20"/>
  <c r="N9" i="20"/>
  <c r="N27" i="20"/>
  <c r="O27" i="20"/>
  <c r="O76" i="20"/>
  <c r="M76" i="20" s="1"/>
  <c r="AC76" i="20" s="1"/>
  <c r="N76" i="20"/>
  <c r="O92" i="20"/>
  <c r="M92" i="20" s="1"/>
  <c r="AC92" i="20" s="1"/>
  <c r="N92" i="20"/>
  <c r="O108" i="20"/>
  <c r="M108" i="20" s="1"/>
  <c r="AC108" i="20" s="1"/>
  <c r="N108" i="20"/>
  <c r="N20" i="20"/>
  <c r="N95" i="20"/>
  <c r="O95" i="20"/>
  <c r="M95" i="20" s="1"/>
  <c r="AC95" i="20" s="1"/>
  <c r="N11" i="20"/>
  <c r="O11" i="20"/>
  <c r="J21" i="20"/>
  <c r="AY21" i="20" s="1"/>
  <c r="J33" i="20"/>
  <c r="J37" i="20"/>
  <c r="AY37" i="20" s="1"/>
  <c r="J26" i="20"/>
  <c r="J34" i="20"/>
  <c r="J38" i="20"/>
  <c r="AY38" i="20" s="1"/>
  <c r="J42" i="20"/>
  <c r="AY42" i="20" s="1"/>
  <c r="J46" i="20"/>
  <c r="AY46" i="20" s="1"/>
  <c r="J45" i="20"/>
  <c r="AY45" i="20" s="1"/>
  <c r="J50" i="20"/>
  <c r="AY50" i="20" s="1"/>
  <c r="J54" i="20"/>
  <c r="AY54" i="20" s="1"/>
  <c r="J58" i="20"/>
  <c r="AY58" i="20" s="1"/>
  <c r="J62" i="20"/>
  <c r="J66" i="20"/>
  <c r="J70" i="20"/>
  <c r="J74" i="20"/>
  <c r="J78" i="20"/>
  <c r="J82" i="20"/>
  <c r="J86" i="20"/>
  <c r="J90" i="20"/>
  <c r="J94" i="20"/>
  <c r="J98" i="20"/>
  <c r="J102" i="20"/>
  <c r="J106" i="20"/>
  <c r="J10" i="20"/>
  <c r="AY10" i="20" s="1"/>
  <c r="J18" i="20"/>
  <c r="AY18" i="20" s="1"/>
  <c r="J49" i="20"/>
  <c r="AY49" i="20" s="1"/>
  <c r="J53" i="20"/>
  <c r="AY53" i="20" s="1"/>
  <c r="J57" i="20"/>
  <c r="AY57" i="20" s="1"/>
  <c r="J61" i="20"/>
  <c r="J65" i="20"/>
  <c r="J69" i="20"/>
  <c r="J73" i="20"/>
  <c r="J77" i="20"/>
  <c r="J81" i="20"/>
  <c r="J85" i="20"/>
  <c r="J89" i="20"/>
  <c r="J93" i="20"/>
  <c r="J97" i="20"/>
  <c r="J101" i="20"/>
  <c r="J105" i="20"/>
  <c r="J109" i="20"/>
  <c r="J13" i="20"/>
  <c r="AY13" i="20" s="1"/>
  <c r="J17" i="20"/>
  <c r="AY17" i="20" s="1"/>
  <c r="J41" i="20"/>
  <c r="AY41" i="20" s="1"/>
  <c r="J25" i="20"/>
  <c r="J29" i="20"/>
  <c r="J30" i="20"/>
  <c r="J14" i="20"/>
  <c r="AY14" i="20" s="1"/>
  <c r="J31" i="20"/>
  <c r="BA22" i="20"/>
  <c r="BA27" i="20"/>
  <c r="BA92" i="20"/>
  <c r="BA108" i="20"/>
  <c r="BA47" i="20"/>
  <c r="BA95" i="20"/>
  <c r="BA76" i="20"/>
  <c r="G178" i="2"/>
  <c r="B258" i="2"/>
  <c r="B105" i="2"/>
  <c r="B119" i="2" s="1"/>
  <c r="B262" i="2"/>
  <c r="C54" i="16"/>
  <c r="D54" i="16" s="1"/>
  <c r="B200" i="2"/>
  <c r="B72" i="2"/>
  <c r="A460" i="2"/>
  <c r="B391" i="2"/>
  <c r="D391" i="2"/>
  <c r="B61" i="2"/>
  <c r="B73" i="2"/>
  <c r="G92" i="2"/>
  <c r="K151" i="2"/>
  <c r="B80" i="2"/>
  <c r="C80" i="2"/>
  <c r="L151" i="2"/>
  <c r="G90" i="2"/>
  <c r="B278" i="2"/>
  <c r="F6" i="17" s="1"/>
  <c r="E623" i="17"/>
  <c r="F623" i="17"/>
  <c r="B340" i="2"/>
  <c r="G91" i="2"/>
  <c r="C58" i="2"/>
  <c r="C56" i="2"/>
  <c r="B339" i="2"/>
  <c r="B341" i="2"/>
  <c r="B15" i="6"/>
  <c r="B3" i="6"/>
  <c r="B16" i="6"/>
  <c r="H338" i="2"/>
  <c r="E74" i="1"/>
  <c r="N40" i="20" l="1"/>
  <c r="O40" i="20"/>
  <c r="M40" i="20" s="1"/>
  <c r="AC40" i="20" s="1"/>
  <c r="AU40" i="20"/>
  <c r="AU79" i="20"/>
  <c r="O60" i="20"/>
  <c r="M60" i="20" s="1"/>
  <c r="AC60" i="20" s="1"/>
  <c r="AT71" i="20"/>
  <c r="N63" i="20"/>
  <c r="AT51" i="20"/>
  <c r="AU24" i="20"/>
  <c r="AT63" i="20"/>
  <c r="AT24" i="20"/>
  <c r="O63" i="20"/>
  <c r="M63" i="20" s="1"/>
  <c r="AC63" i="20" s="1"/>
  <c r="N56" i="20"/>
  <c r="AT47" i="20"/>
  <c r="O47" i="20"/>
  <c r="M47" i="20" s="1"/>
  <c r="AC47" i="20" s="1"/>
  <c r="N47" i="20"/>
  <c r="N24" i="20"/>
  <c r="AU63" i="20"/>
  <c r="O24" i="20"/>
  <c r="M24" i="20" s="1"/>
  <c r="AU47" i="20"/>
  <c r="O79" i="20"/>
  <c r="M79" i="20" s="1"/>
  <c r="AC79" i="20" s="1"/>
  <c r="AU60" i="20"/>
  <c r="N79" i="20"/>
  <c r="N60" i="20"/>
  <c r="AT79" i="20"/>
  <c r="AT60" i="20"/>
  <c r="O83" i="20"/>
  <c r="M83" i="20" s="1"/>
  <c r="AC83" i="20" s="1"/>
  <c r="O84" i="20"/>
  <c r="M84" i="20" s="1"/>
  <c r="AC84" i="20" s="1"/>
  <c r="N28" i="20"/>
  <c r="O15" i="20"/>
  <c r="M15" i="20" s="1"/>
  <c r="AC15" i="20" s="1"/>
  <c r="O51" i="20"/>
  <c r="M51" i="20" s="1"/>
  <c r="AC51" i="20" s="1"/>
  <c r="O16" i="20"/>
  <c r="M16" i="20" s="1"/>
  <c r="AC16" i="20" s="1"/>
  <c r="AU19" i="20"/>
  <c r="O99" i="20"/>
  <c r="M99" i="20" s="1"/>
  <c r="AC99" i="20" s="1"/>
  <c r="O67" i="20"/>
  <c r="M67" i="20" s="1"/>
  <c r="AC67" i="20" s="1"/>
  <c r="O100" i="20"/>
  <c r="M100" i="20" s="1"/>
  <c r="AC100" i="20" s="1"/>
  <c r="O68" i="20"/>
  <c r="M68" i="20" s="1"/>
  <c r="AC68" i="20" s="1"/>
  <c r="N48" i="20"/>
  <c r="O35" i="20"/>
  <c r="M35" i="20" s="1"/>
  <c r="AC35" i="20" s="1"/>
  <c r="AU99" i="20"/>
  <c r="AU87" i="20"/>
  <c r="AU67" i="20"/>
  <c r="AU55" i="20"/>
  <c r="AU28" i="20"/>
  <c r="O19" i="20"/>
  <c r="O103" i="20"/>
  <c r="M103" i="20" s="1"/>
  <c r="AC103" i="20" s="1"/>
  <c r="O87" i="20"/>
  <c r="M87" i="20" s="1"/>
  <c r="AC87" i="20" s="1"/>
  <c r="O71" i="20"/>
  <c r="M71" i="20" s="1"/>
  <c r="AC71" i="20" s="1"/>
  <c r="O55" i="20"/>
  <c r="M55" i="20" s="1"/>
  <c r="AC55" i="20" s="1"/>
  <c r="O12" i="20"/>
  <c r="M12" i="20" s="1"/>
  <c r="AC12" i="20" s="1"/>
  <c r="O96" i="20"/>
  <c r="M96" i="20" s="1"/>
  <c r="AC96" i="20" s="1"/>
  <c r="O80" i="20"/>
  <c r="M80" i="20" s="1"/>
  <c r="AC80" i="20" s="1"/>
  <c r="O64" i="20"/>
  <c r="M64" i="20" s="1"/>
  <c r="AC64" i="20" s="1"/>
  <c r="N52" i="20"/>
  <c r="N32" i="20"/>
  <c r="O39" i="20"/>
  <c r="M39" i="20" s="1"/>
  <c r="AC39" i="20" s="1"/>
  <c r="O43" i="20"/>
  <c r="M43" i="20" s="1"/>
  <c r="AC43" i="20" s="1"/>
  <c r="AU15" i="20"/>
  <c r="AU100" i="20"/>
  <c r="AU80" i="20"/>
  <c r="AU68" i="20"/>
  <c r="AU48" i="20"/>
  <c r="AU32" i="20"/>
  <c r="AU35" i="20"/>
  <c r="AT43" i="20"/>
  <c r="B197" i="2"/>
  <c r="B186" i="2"/>
  <c r="B185" i="2"/>
  <c r="B180" i="2"/>
  <c r="M191" i="20"/>
  <c r="AJ191" i="20"/>
  <c r="AK191" i="20" s="1"/>
  <c r="M182" i="20"/>
  <c r="M207" i="20"/>
  <c r="AJ207" i="20"/>
  <c r="AK207" i="20" s="1"/>
  <c r="M199" i="20"/>
  <c r="AJ199" i="20"/>
  <c r="AK199" i="20" s="1"/>
  <c r="M188" i="20"/>
  <c r="Q193" i="20"/>
  <c r="R193" i="20" s="1"/>
  <c r="AM193" i="20"/>
  <c r="AJ193" i="20"/>
  <c r="AK193" i="20" s="1"/>
  <c r="M204" i="20"/>
  <c r="M165" i="20"/>
  <c r="M189" i="20"/>
  <c r="M172" i="20"/>
  <c r="M202" i="20"/>
  <c r="M194" i="20"/>
  <c r="M200" i="20"/>
  <c r="M163" i="20"/>
  <c r="P95" i="20"/>
  <c r="AA95" i="20" s="1"/>
  <c r="P108" i="20"/>
  <c r="AQ108" i="20" s="1"/>
  <c r="P92" i="20"/>
  <c r="AO92" i="20" s="1"/>
  <c r="AP92" i="20" s="1"/>
  <c r="P76" i="20"/>
  <c r="AM76" i="20" s="1"/>
  <c r="P191" i="20"/>
  <c r="Q191" i="20" s="1"/>
  <c r="AJ205" i="20"/>
  <c r="AK205" i="20" s="1"/>
  <c r="AJ167" i="20"/>
  <c r="AK167" i="20" s="1"/>
  <c r="P167" i="20"/>
  <c r="Q167" i="20" s="1"/>
  <c r="R167" i="20" s="1"/>
  <c r="AQ116" i="20"/>
  <c r="AQ171" i="20"/>
  <c r="AQ193" i="20"/>
  <c r="AJ185" i="20"/>
  <c r="AK185" i="20" s="1"/>
  <c r="P151" i="20"/>
  <c r="S151" i="20" s="1"/>
  <c r="AJ160" i="20"/>
  <c r="AK160" i="20" s="1"/>
  <c r="AJ179" i="20"/>
  <c r="AK179" i="20" s="1"/>
  <c r="P179" i="20"/>
  <c r="U179" i="20" s="1"/>
  <c r="V179" i="20" s="1"/>
  <c r="W179" i="20" s="1"/>
  <c r="AJ206" i="20"/>
  <c r="AK206" i="20" s="1"/>
  <c r="P206" i="20"/>
  <c r="AH206" i="20" s="1"/>
  <c r="M196" i="20"/>
  <c r="M181" i="20"/>
  <c r="AM155" i="20"/>
  <c r="AQ155" i="20"/>
  <c r="AQ156" i="20"/>
  <c r="AM156" i="20"/>
  <c r="AM183" i="20"/>
  <c r="AQ183" i="20"/>
  <c r="AH118" i="20"/>
  <c r="AM118" i="20"/>
  <c r="M177" i="20"/>
  <c r="M195" i="20"/>
  <c r="M192" i="20"/>
  <c r="M173" i="20"/>
  <c r="M209" i="20"/>
  <c r="M159" i="20"/>
  <c r="AQ143" i="20"/>
  <c r="AM143" i="20"/>
  <c r="M168" i="20"/>
  <c r="P204" i="20"/>
  <c r="S204" i="20" s="1"/>
  <c r="P196" i="20"/>
  <c r="AH196" i="20" s="1"/>
  <c r="P181" i="20"/>
  <c r="AH181" i="20" s="1"/>
  <c r="P139" i="20"/>
  <c r="Q139" i="20" s="1"/>
  <c r="P172" i="20"/>
  <c r="AF172" i="20" s="1"/>
  <c r="AG172" i="20" s="1"/>
  <c r="P173" i="20"/>
  <c r="Q173" i="20" s="1"/>
  <c r="P159" i="20"/>
  <c r="S159" i="20" s="1"/>
  <c r="P152" i="20"/>
  <c r="AA152" i="20" s="1"/>
  <c r="AB152" i="20" s="1"/>
  <c r="AJ170" i="20"/>
  <c r="AK170" i="20" s="1"/>
  <c r="AM95" i="20"/>
  <c r="AM108" i="20"/>
  <c r="AM92" i="20"/>
  <c r="AJ116" i="20"/>
  <c r="AK116" i="20" s="1"/>
  <c r="AQ151" i="20"/>
  <c r="AJ143" i="20"/>
  <c r="AK143" i="20" s="1"/>
  <c r="AJ152" i="20"/>
  <c r="AK152" i="20" s="1"/>
  <c r="AJ155" i="20"/>
  <c r="AK155" i="20" s="1"/>
  <c r="Q155" i="20"/>
  <c r="R155" i="20" s="1"/>
  <c r="AJ139" i="20"/>
  <c r="AK139" i="20" s="1"/>
  <c r="AJ156" i="20"/>
  <c r="AK156" i="20" s="1"/>
  <c r="Q156" i="20"/>
  <c r="R156" i="20" s="1"/>
  <c r="AJ118" i="20"/>
  <c r="AK118" i="20" s="1"/>
  <c r="AQ118" i="20"/>
  <c r="P9" i="20"/>
  <c r="AD9" i="20" s="1"/>
  <c r="P11" i="20"/>
  <c r="AD11" i="20" s="1"/>
  <c r="N19" i="20"/>
  <c r="N15" i="20"/>
  <c r="N103" i="20"/>
  <c r="P103" i="20" s="1"/>
  <c r="N99" i="20"/>
  <c r="P99" i="20" s="1"/>
  <c r="AM99" i="20" s="1"/>
  <c r="N87" i="20"/>
  <c r="P87" i="20" s="1"/>
  <c r="N83" i="20"/>
  <c r="P83" i="20" s="1"/>
  <c r="N71" i="20"/>
  <c r="N67" i="20"/>
  <c r="N55" i="20"/>
  <c r="P55" i="20" s="1"/>
  <c r="N51" i="20"/>
  <c r="N16" i="20"/>
  <c r="N12" i="20"/>
  <c r="N100" i="20"/>
  <c r="P100" i="20" s="1"/>
  <c r="N96" i="20"/>
  <c r="P96" i="20" s="1"/>
  <c r="AD96" i="20" s="1"/>
  <c r="N84" i="20"/>
  <c r="P84" i="20" s="1"/>
  <c r="AJ84" i="20" s="1"/>
  <c r="AK84" i="20" s="1"/>
  <c r="N80" i="20"/>
  <c r="P80" i="20" s="1"/>
  <c r="AM80" i="20" s="1"/>
  <c r="N68" i="20"/>
  <c r="P68" i="20" s="1"/>
  <c r="AM68" i="20" s="1"/>
  <c r="N64" i="20"/>
  <c r="O52" i="20"/>
  <c r="M52" i="20" s="1"/>
  <c r="AC52" i="20" s="1"/>
  <c r="O48" i="20"/>
  <c r="M48" i="20" s="1"/>
  <c r="AC48" i="20" s="1"/>
  <c r="O32" i="20"/>
  <c r="P32" i="20" s="1"/>
  <c r="O28" i="20"/>
  <c r="P28" i="20" s="1"/>
  <c r="N39" i="20"/>
  <c r="N35" i="20"/>
  <c r="N43" i="20"/>
  <c r="AU103" i="20"/>
  <c r="AU83" i="20"/>
  <c r="AU71" i="20"/>
  <c r="AU51" i="20"/>
  <c r="AU16" i="20"/>
  <c r="AU12" i="20"/>
  <c r="AU96" i="20"/>
  <c r="AU84" i="20"/>
  <c r="AU64" i="20"/>
  <c r="AU52" i="20"/>
  <c r="AU39" i="20"/>
  <c r="AU43" i="20"/>
  <c r="AT19" i="20"/>
  <c r="AT99" i="20"/>
  <c r="AT87" i="20"/>
  <c r="AT67" i="20"/>
  <c r="AT55" i="20"/>
  <c r="AT12" i="20"/>
  <c r="AT100" i="20"/>
  <c r="AT80" i="20"/>
  <c r="AT68" i="20"/>
  <c r="AT48" i="20"/>
  <c r="AT32" i="20"/>
  <c r="AT35" i="20"/>
  <c r="N88" i="20"/>
  <c r="P64" i="20"/>
  <c r="AM64" i="20" s="1"/>
  <c r="N104" i="20"/>
  <c r="N72" i="20"/>
  <c r="N44" i="20"/>
  <c r="AU88" i="20"/>
  <c r="AU72" i="20"/>
  <c r="AU56" i="20"/>
  <c r="AT44" i="20"/>
  <c r="AT23" i="20"/>
  <c r="O59" i="20"/>
  <c r="M59" i="20" s="1"/>
  <c r="AC59" i="20" s="1"/>
  <c r="O20" i="20"/>
  <c r="P20" i="20" s="1"/>
  <c r="AD20" i="20" s="1"/>
  <c r="O104" i="20"/>
  <c r="M104" i="20" s="1"/>
  <c r="O88" i="20"/>
  <c r="O72" i="20"/>
  <c r="M72" i="20" s="1"/>
  <c r="AC72" i="20" s="1"/>
  <c r="O56" i="20"/>
  <c r="M56" i="20" s="1"/>
  <c r="AC56" i="20" s="1"/>
  <c r="O44" i="20"/>
  <c r="M44" i="20" s="1"/>
  <c r="AC44" i="20" s="1"/>
  <c r="AU20" i="20"/>
  <c r="AU44" i="20"/>
  <c r="AT20" i="20"/>
  <c r="AT104" i="20"/>
  <c r="AT88" i="20"/>
  <c r="AT72" i="20"/>
  <c r="AT56" i="20"/>
  <c r="AC104" i="20"/>
  <c r="O91" i="20"/>
  <c r="M91" i="20" s="1"/>
  <c r="AC91" i="20" s="1"/>
  <c r="O23" i="20"/>
  <c r="O107" i="20"/>
  <c r="M107" i="20" s="1"/>
  <c r="AC107" i="20" s="1"/>
  <c r="O75" i="20"/>
  <c r="M75" i="20" s="1"/>
  <c r="AC75" i="20" s="1"/>
  <c r="N36" i="20"/>
  <c r="AT107" i="20"/>
  <c r="AT91" i="20"/>
  <c r="AT75" i="20"/>
  <c r="AT59" i="20"/>
  <c r="N107" i="20"/>
  <c r="N91" i="20"/>
  <c r="P91" i="20" s="1"/>
  <c r="N75" i="20"/>
  <c r="N59" i="20"/>
  <c r="O36" i="20"/>
  <c r="M36" i="20" s="1"/>
  <c r="AC36" i="20" s="1"/>
  <c r="N23" i="20"/>
  <c r="AU107" i="20"/>
  <c r="AU91" i="20"/>
  <c r="AU75" i="20"/>
  <c r="AU59" i="20"/>
  <c r="AU36" i="20"/>
  <c r="AU23" i="20"/>
  <c r="AT36" i="20"/>
  <c r="AY31" i="20"/>
  <c r="BA31" i="20" s="1"/>
  <c r="AY30" i="20"/>
  <c r="BA30" i="20" s="1"/>
  <c r="AY105" i="20"/>
  <c r="BA105" i="20" s="1"/>
  <c r="AY97" i="20"/>
  <c r="BA97" i="20" s="1"/>
  <c r="AY89" i="20"/>
  <c r="BA89" i="20" s="1"/>
  <c r="AY81" i="20"/>
  <c r="BA81" i="20" s="1"/>
  <c r="AY73" i="20"/>
  <c r="BA73" i="20" s="1"/>
  <c r="AY65" i="20"/>
  <c r="BA65" i="20" s="1"/>
  <c r="AY102" i="20"/>
  <c r="BA102" i="20" s="1"/>
  <c r="AY94" i="20"/>
  <c r="BA94" i="20" s="1"/>
  <c r="AY86" i="20"/>
  <c r="BA86" i="20" s="1"/>
  <c r="AY78" i="20"/>
  <c r="BA78" i="20" s="1"/>
  <c r="AY70" i="20"/>
  <c r="BA70" i="20" s="1"/>
  <c r="AY62" i="20"/>
  <c r="BA62" i="20" s="1"/>
  <c r="AY34" i="20"/>
  <c r="BA34" i="20" s="1"/>
  <c r="AY29" i="20"/>
  <c r="BA29" i="20" s="1"/>
  <c r="AY25" i="20"/>
  <c r="BA25" i="20" s="1"/>
  <c r="AY109" i="20"/>
  <c r="BA109" i="20" s="1"/>
  <c r="AY101" i="20"/>
  <c r="BA101" i="20" s="1"/>
  <c r="AY93" i="20"/>
  <c r="BA93" i="20" s="1"/>
  <c r="AY85" i="20"/>
  <c r="BA85" i="20" s="1"/>
  <c r="AY77" i="20"/>
  <c r="BA77" i="20" s="1"/>
  <c r="AY69" i="20"/>
  <c r="BA69" i="20" s="1"/>
  <c r="AY61" i="20"/>
  <c r="BA61" i="20" s="1"/>
  <c r="AY106" i="20"/>
  <c r="BA106" i="20" s="1"/>
  <c r="AY98" i="20"/>
  <c r="BA98" i="20" s="1"/>
  <c r="AY90" i="20"/>
  <c r="BA90" i="20" s="1"/>
  <c r="AY82" i="20"/>
  <c r="BA82" i="20" s="1"/>
  <c r="AY74" i="20"/>
  <c r="BA74" i="20" s="1"/>
  <c r="AY66" i="20"/>
  <c r="BA66" i="20" s="1"/>
  <c r="AY26" i="20"/>
  <c r="BA26" i="20" s="1"/>
  <c r="AY33" i="20"/>
  <c r="BA33" i="20" s="1"/>
  <c r="P27" i="20"/>
  <c r="AA116" i="20"/>
  <c r="AB116" i="20" s="1"/>
  <c r="Q116" i="20"/>
  <c r="R116" i="20" s="1"/>
  <c r="AO116" i="20"/>
  <c r="AP116" i="20" s="1"/>
  <c r="AO183" i="20"/>
  <c r="AP183" i="20" s="1"/>
  <c r="AA183" i="20"/>
  <c r="AB183" i="20" s="1"/>
  <c r="P69" i="21"/>
  <c r="AD69" i="21" s="1"/>
  <c r="P89" i="21"/>
  <c r="AD89" i="21" s="1"/>
  <c r="P109" i="21"/>
  <c r="AD109" i="21" s="1"/>
  <c r="M109" i="21"/>
  <c r="P105" i="21"/>
  <c r="AD105" i="21" s="1"/>
  <c r="M105" i="21"/>
  <c r="P101" i="21"/>
  <c r="AD101" i="21" s="1"/>
  <c r="M101" i="21"/>
  <c r="P97" i="21"/>
  <c r="AD97" i="21" s="1"/>
  <c r="M97" i="21"/>
  <c r="P93" i="21"/>
  <c r="AD93" i="21" s="1"/>
  <c r="M93" i="21"/>
  <c r="P83" i="21"/>
  <c r="AD83" i="21" s="1"/>
  <c r="M83" i="21"/>
  <c r="P75" i="21"/>
  <c r="AD75" i="21" s="1"/>
  <c r="M75" i="21"/>
  <c r="P85" i="21"/>
  <c r="X85" i="21" s="1"/>
  <c r="M85" i="21"/>
  <c r="P81" i="21"/>
  <c r="X81" i="21" s="1"/>
  <c r="P74" i="21"/>
  <c r="AH74" i="21" s="1"/>
  <c r="P46" i="21"/>
  <c r="P59" i="21"/>
  <c r="AH59" i="21" s="1"/>
  <c r="P20" i="21"/>
  <c r="AD20" i="21" s="1"/>
  <c r="P13" i="21"/>
  <c r="P19" i="21"/>
  <c r="P29" i="21"/>
  <c r="AJ29" i="21" s="1"/>
  <c r="P45" i="21"/>
  <c r="AD45" i="21" s="1"/>
  <c r="P68" i="21"/>
  <c r="AH68" i="21" s="1"/>
  <c r="P38" i="21"/>
  <c r="P61" i="21"/>
  <c r="P65" i="21"/>
  <c r="P72" i="21"/>
  <c r="AH72" i="21" s="1"/>
  <c r="P22" i="21"/>
  <c r="AD22" i="21" s="1"/>
  <c r="P39" i="21"/>
  <c r="P54" i="21"/>
  <c r="AD54" i="21" s="1"/>
  <c r="P36" i="21"/>
  <c r="S36" i="21" s="1"/>
  <c r="P80" i="21"/>
  <c r="AJ80" i="21" s="1"/>
  <c r="AK80" i="21" s="1"/>
  <c r="P88" i="21"/>
  <c r="P76" i="21"/>
  <c r="AD76" i="21" s="1"/>
  <c r="P70" i="21"/>
  <c r="AH70" i="21" s="1"/>
  <c r="P106" i="21"/>
  <c r="AD106" i="21" s="1"/>
  <c r="P102" i="21"/>
  <c r="AH102" i="21" s="1"/>
  <c r="P98" i="21"/>
  <c r="AH98" i="21" s="1"/>
  <c r="P94" i="21"/>
  <c r="AH94" i="21" s="1"/>
  <c r="P51" i="21"/>
  <c r="P32" i="21"/>
  <c r="P18" i="21"/>
  <c r="AD18" i="21" s="1"/>
  <c r="P12" i="21"/>
  <c r="P16" i="21"/>
  <c r="P25" i="21"/>
  <c r="P41" i="21"/>
  <c r="P56" i="21"/>
  <c r="AF56" i="21" s="1"/>
  <c r="P31" i="21"/>
  <c r="P60" i="21"/>
  <c r="P64" i="21"/>
  <c r="P34" i="21"/>
  <c r="P50" i="21"/>
  <c r="P35" i="21"/>
  <c r="AM35" i="21" s="1"/>
  <c r="P55" i="21"/>
  <c r="AD55" i="21" s="1"/>
  <c r="P86" i="21"/>
  <c r="AA86" i="21" s="1"/>
  <c r="AB86" i="21" s="1"/>
  <c r="P78" i="21"/>
  <c r="P71" i="21"/>
  <c r="P107" i="21"/>
  <c r="P103" i="21"/>
  <c r="P99" i="21"/>
  <c r="P95" i="21"/>
  <c r="P91" i="21"/>
  <c r="P42" i="21"/>
  <c r="S42" i="21" s="1"/>
  <c r="P17" i="21"/>
  <c r="P11" i="21"/>
  <c r="AA11" i="21" s="1"/>
  <c r="AB11" i="21" s="1"/>
  <c r="P15" i="21"/>
  <c r="AD15" i="21" s="1"/>
  <c r="P23" i="21"/>
  <c r="P37" i="21"/>
  <c r="P52" i="21"/>
  <c r="AM52" i="21" s="1"/>
  <c r="P30" i="21"/>
  <c r="AD30" i="21" s="1"/>
  <c r="P58" i="21"/>
  <c r="AH58" i="21" s="1"/>
  <c r="P63" i="21"/>
  <c r="AD63" i="21" s="1"/>
  <c r="P67" i="21"/>
  <c r="S67" i="21" s="1"/>
  <c r="P77" i="21"/>
  <c r="AA77" i="21" s="1"/>
  <c r="AB77" i="21" s="1"/>
  <c r="P87" i="21"/>
  <c r="P28" i="21"/>
  <c r="AJ28" i="21" s="1"/>
  <c r="P47" i="21"/>
  <c r="AD47" i="21" s="1"/>
  <c r="P27" i="21"/>
  <c r="P49" i="21"/>
  <c r="AD49" i="21" s="1"/>
  <c r="P84" i="21"/>
  <c r="AH84" i="21" s="1"/>
  <c r="P79" i="21"/>
  <c r="P73" i="21"/>
  <c r="P108" i="21"/>
  <c r="P104" i="21"/>
  <c r="P100" i="21"/>
  <c r="P96" i="21"/>
  <c r="P92" i="21"/>
  <c r="P44" i="21"/>
  <c r="AH44" i="21" s="1"/>
  <c r="P10" i="21"/>
  <c r="P9" i="21"/>
  <c r="AQ9" i="21" s="1"/>
  <c r="P14" i="21"/>
  <c r="AD14" i="21" s="1"/>
  <c r="P21" i="21"/>
  <c r="AA21" i="21" s="1"/>
  <c r="AB21" i="21" s="1"/>
  <c r="P33" i="21"/>
  <c r="P48" i="21"/>
  <c r="AM48" i="21" s="1"/>
  <c r="P24" i="21"/>
  <c r="AD24" i="21" s="1"/>
  <c r="P53" i="21"/>
  <c r="AH53" i="21" s="1"/>
  <c r="P62" i="21"/>
  <c r="AD62" i="21" s="1"/>
  <c r="P66" i="21"/>
  <c r="AH66" i="21" s="1"/>
  <c r="P26" i="21"/>
  <c r="AJ26" i="21" s="1"/>
  <c r="P43" i="21"/>
  <c r="AD43" i="21" s="1"/>
  <c r="P57" i="21"/>
  <c r="AH57" i="21" s="1"/>
  <c r="P40" i="21"/>
  <c r="P82" i="21"/>
  <c r="S82" i="21" s="1"/>
  <c r="P90" i="21"/>
  <c r="Q90" i="21" s="1"/>
  <c r="AF116" i="20"/>
  <c r="AO156" i="20"/>
  <c r="AP156" i="20" s="1"/>
  <c r="Q183" i="20"/>
  <c r="AA156" i="20"/>
  <c r="AB156" i="20" s="1"/>
  <c r="Q152" i="20"/>
  <c r="R152" i="20" s="1"/>
  <c r="AF143" i="20"/>
  <c r="AG143" i="20" s="1"/>
  <c r="Q143" i="20"/>
  <c r="AF156" i="20"/>
  <c r="AG156" i="20" s="1"/>
  <c r="AF183" i="20"/>
  <c r="AH183" i="20"/>
  <c r="P199" i="20"/>
  <c r="P188" i="20"/>
  <c r="P115" i="20"/>
  <c r="AM115" i="20" s="1"/>
  <c r="AO171" i="20"/>
  <c r="AP171" i="20" s="1"/>
  <c r="S171" i="20"/>
  <c r="AD171" i="20"/>
  <c r="U171" i="20"/>
  <c r="V171" i="20" s="1"/>
  <c r="W171" i="20" s="1"/>
  <c r="AF171" i="20"/>
  <c r="Q171" i="20"/>
  <c r="P117" i="20"/>
  <c r="AM117" i="20" s="1"/>
  <c r="P166" i="20"/>
  <c r="P150" i="20"/>
  <c r="AM150" i="20" s="1"/>
  <c r="P134" i="20"/>
  <c r="AM134" i="20" s="1"/>
  <c r="P161" i="20"/>
  <c r="P203" i="20"/>
  <c r="P208" i="20"/>
  <c r="P182" i="20"/>
  <c r="P207" i="20"/>
  <c r="P180" i="20"/>
  <c r="P205" i="20"/>
  <c r="P197" i="20"/>
  <c r="P147" i="20"/>
  <c r="AM147" i="20" s="1"/>
  <c r="P131" i="20"/>
  <c r="AM131" i="20" s="1"/>
  <c r="P123" i="20"/>
  <c r="AM123" i="20" s="1"/>
  <c r="P164" i="20"/>
  <c r="P148" i="20"/>
  <c r="P124" i="20"/>
  <c r="AM124" i="20" s="1"/>
  <c r="AH116" i="20"/>
  <c r="S116" i="20"/>
  <c r="AD116" i="20"/>
  <c r="U116" i="20"/>
  <c r="V116" i="20" s="1"/>
  <c r="W116" i="20" s="1"/>
  <c r="X116" i="20"/>
  <c r="Y116" i="20" s="1"/>
  <c r="Z116" i="20" s="1"/>
  <c r="AH171" i="20"/>
  <c r="AA171" i="20"/>
  <c r="AB171" i="20" s="1"/>
  <c r="P201" i="20"/>
  <c r="AF193" i="20"/>
  <c r="S193" i="20"/>
  <c r="U193" i="20"/>
  <c r="V193" i="20" s="1"/>
  <c r="W193" i="20" s="1"/>
  <c r="AD193" i="20"/>
  <c r="AA193" i="20"/>
  <c r="AB193" i="20" s="1"/>
  <c r="X193" i="20"/>
  <c r="Y193" i="20" s="1"/>
  <c r="Z193" i="20" s="1"/>
  <c r="P185" i="20"/>
  <c r="P127" i="20"/>
  <c r="AM127" i="20" s="1"/>
  <c r="P136" i="20"/>
  <c r="AM136" i="20" s="1"/>
  <c r="P120" i="20"/>
  <c r="AM120" i="20" s="1"/>
  <c r="P137" i="20"/>
  <c r="AM137" i="20" s="1"/>
  <c r="P178" i="20"/>
  <c r="P162" i="20"/>
  <c r="P146" i="20"/>
  <c r="AM146" i="20" s="1"/>
  <c r="P130" i="20"/>
  <c r="AM130" i="20" s="1"/>
  <c r="P122" i="20"/>
  <c r="AM122" i="20" s="1"/>
  <c r="P198" i="20"/>
  <c r="P189" i="20"/>
  <c r="S155" i="20"/>
  <c r="U155" i="20"/>
  <c r="V155" i="20" s="1"/>
  <c r="W155" i="20" s="1"/>
  <c r="AD155" i="20"/>
  <c r="AO155" i="20"/>
  <c r="AP155" i="20" s="1"/>
  <c r="P132" i="20"/>
  <c r="P158" i="20"/>
  <c r="P142" i="20"/>
  <c r="AM142" i="20" s="1"/>
  <c r="AA118" i="20"/>
  <c r="AB118" i="20" s="1"/>
  <c r="S118" i="20"/>
  <c r="U118" i="20"/>
  <c r="V118" i="20" s="1"/>
  <c r="W118" i="20" s="1"/>
  <c r="AD118" i="20"/>
  <c r="AF118" i="20"/>
  <c r="X118" i="20"/>
  <c r="Y118" i="20" s="1"/>
  <c r="Z118" i="20" s="1"/>
  <c r="P194" i="20"/>
  <c r="P186" i="20"/>
  <c r="P177" i="20"/>
  <c r="P200" i="20"/>
  <c r="P209" i="20"/>
  <c r="S143" i="20"/>
  <c r="U143" i="20"/>
  <c r="V143" i="20" s="1"/>
  <c r="W143" i="20" s="1"/>
  <c r="AD143" i="20"/>
  <c r="P119" i="20"/>
  <c r="AM119" i="20" s="1"/>
  <c r="AD152" i="20"/>
  <c r="P112" i="20"/>
  <c r="AM112" i="20" s="1"/>
  <c r="P145" i="20"/>
  <c r="AM145" i="20" s="1"/>
  <c r="P129" i="20"/>
  <c r="AM129" i="20" s="1"/>
  <c r="P121" i="20"/>
  <c r="AM121" i="20" s="1"/>
  <c r="P170" i="20"/>
  <c r="P154" i="20"/>
  <c r="AM154" i="20" s="1"/>
  <c r="P138" i="20"/>
  <c r="AM138" i="20" s="1"/>
  <c r="P114" i="20"/>
  <c r="AM114" i="20" s="1"/>
  <c r="X171" i="20"/>
  <c r="Y171" i="20" s="1"/>
  <c r="Z171" i="20" s="1"/>
  <c r="P149" i="20"/>
  <c r="P133" i="20"/>
  <c r="AM133" i="20" s="1"/>
  <c r="P125" i="20"/>
  <c r="AM125" i="20" s="1"/>
  <c r="P126" i="20"/>
  <c r="AM126" i="20" s="1"/>
  <c r="P110" i="20"/>
  <c r="AM110" i="20" s="1"/>
  <c r="P184" i="20"/>
  <c r="AO193" i="20"/>
  <c r="AP193" i="20" s="1"/>
  <c r="AH193" i="20"/>
  <c r="P175" i="20"/>
  <c r="P135" i="20"/>
  <c r="AM135" i="20" s="1"/>
  <c r="P111" i="20"/>
  <c r="AM111" i="20" s="1"/>
  <c r="P176" i="20"/>
  <c r="P160" i="20"/>
  <c r="P187" i="20"/>
  <c r="P153" i="20"/>
  <c r="AM153" i="20" s="1"/>
  <c r="P113" i="20"/>
  <c r="AM113" i="20" s="1"/>
  <c r="P190" i="20"/>
  <c r="P169" i="20"/>
  <c r="P165" i="20"/>
  <c r="AF155" i="20"/>
  <c r="AA155" i="20"/>
  <c r="AB155" i="20" s="1"/>
  <c r="AH155" i="20"/>
  <c r="X155" i="20"/>
  <c r="Y155" i="20" s="1"/>
  <c r="Z155" i="20" s="1"/>
  <c r="AH156" i="20"/>
  <c r="S156" i="20"/>
  <c r="U156" i="20"/>
  <c r="V156" i="20" s="1"/>
  <c r="W156" i="20" s="1"/>
  <c r="AD156" i="20"/>
  <c r="X156" i="20"/>
  <c r="Y156" i="20" s="1"/>
  <c r="Z156" i="20" s="1"/>
  <c r="P140" i="20"/>
  <c r="AM140" i="20" s="1"/>
  <c r="S183" i="20"/>
  <c r="U183" i="20"/>
  <c r="V183" i="20" s="1"/>
  <c r="W183" i="20" s="1"/>
  <c r="AD183" i="20"/>
  <c r="X183" i="20"/>
  <c r="Y183" i="20" s="1"/>
  <c r="Z183" i="20" s="1"/>
  <c r="P157" i="20"/>
  <c r="P141" i="20"/>
  <c r="AM141" i="20" s="1"/>
  <c r="P174" i="20"/>
  <c r="Q118" i="20"/>
  <c r="AO118" i="20"/>
  <c r="AP118" i="20" s="1"/>
  <c r="P202" i="20"/>
  <c r="P195" i="20"/>
  <c r="P192" i="20"/>
  <c r="AA143" i="20"/>
  <c r="AB143" i="20" s="1"/>
  <c r="AO143" i="20"/>
  <c r="AP143" i="20" s="1"/>
  <c r="AH143" i="20"/>
  <c r="X143" i="20"/>
  <c r="Y143" i="20" s="1"/>
  <c r="Z143" i="20" s="1"/>
  <c r="P168" i="20"/>
  <c r="P144" i="20"/>
  <c r="AM144" i="20" s="1"/>
  <c r="P128" i="20"/>
  <c r="AM128" i="20" s="1"/>
  <c r="P163" i="20"/>
  <c r="AM55" i="20"/>
  <c r="P40" i="20"/>
  <c r="AF40" i="20" s="1"/>
  <c r="AT14" i="20"/>
  <c r="AT29" i="20"/>
  <c r="AT17" i="20"/>
  <c r="AT109" i="20"/>
  <c r="AT101" i="20"/>
  <c r="AT93" i="20"/>
  <c r="AT69" i="20"/>
  <c r="AT18" i="20"/>
  <c r="AT82" i="20"/>
  <c r="AT74" i="20"/>
  <c r="AT50" i="20"/>
  <c r="AT46" i="20"/>
  <c r="AT38" i="20"/>
  <c r="AT26" i="20"/>
  <c r="AT33" i="20"/>
  <c r="AT31" i="20"/>
  <c r="AT30" i="20"/>
  <c r="AT25" i="20"/>
  <c r="AT41" i="20"/>
  <c r="AT13" i="20"/>
  <c r="AT105" i="20"/>
  <c r="AT97" i="20"/>
  <c r="AT89" i="20"/>
  <c r="AT81" i="20"/>
  <c r="AT73" i="20"/>
  <c r="AT65" i="20"/>
  <c r="AT57" i="20"/>
  <c r="AT49" i="20"/>
  <c r="AT10" i="20"/>
  <c r="AT102" i="20"/>
  <c r="AT94" i="20"/>
  <c r="AT86" i="20"/>
  <c r="AT78" i="20"/>
  <c r="AT70" i="20"/>
  <c r="AT62" i="20"/>
  <c r="AT54" i="20"/>
  <c r="AT45" i="20"/>
  <c r="AT42" i="20"/>
  <c r="AT34" i="20"/>
  <c r="AT37" i="20"/>
  <c r="AT21" i="20"/>
  <c r="AT85" i="20"/>
  <c r="AT77" i="20"/>
  <c r="AT61" i="20"/>
  <c r="AT53" i="20"/>
  <c r="AT106" i="20"/>
  <c r="AT98" i="20"/>
  <c r="AT90" i="20"/>
  <c r="AT66" i="20"/>
  <c r="AT58" i="20"/>
  <c r="AU30" i="20"/>
  <c r="AU29" i="20"/>
  <c r="AU25" i="20"/>
  <c r="BA41" i="20"/>
  <c r="AU41" i="20"/>
  <c r="BA13" i="20"/>
  <c r="AU13" i="20"/>
  <c r="AU105" i="20"/>
  <c r="AU97" i="20"/>
  <c r="AU89" i="20"/>
  <c r="AU81" i="20"/>
  <c r="AU73" i="20"/>
  <c r="AU65" i="20"/>
  <c r="BA57" i="20"/>
  <c r="AU57" i="20"/>
  <c r="BA49" i="20"/>
  <c r="AU49" i="20"/>
  <c r="BA10" i="20"/>
  <c r="AU10" i="20"/>
  <c r="AU102" i="20"/>
  <c r="AU94" i="20"/>
  <c r="AU86" i="20"/>
  <c r="AU78" i="20"/>
  <c r="AU70" i="20"/>
  <c r="AU62" i="20"/>
  <c r="BA54" i="20"/>
  <c r="AU54" i="20"/>
  <c r="BA45" i="20"/>
  <c r="AU45" i="20"/>
  <c r="BA42" i="20"/>
  <c r="AU42" i="20"/>
  <c r="AU34" i="20"/>
  <c r="BA37" i="20"/>
  <c r="AU37" i="20"/>
  <c r="BA21" i="20"/>
  <c r="AU21" i="20"/>
  <c r="M27" i="20"/>
  <c r="M22" i="20"/>
  <c r="AC22" i="20" s="1"/>
  <c r="Q95" i="20"/>
  <c r="AS95" i="20" s="1"/>
  <c r="AF28" i="20"/>
  <c r="AG28" i="20" s="1"/>
  <c r="AU31" i="20"/>
  <c r="BA14" i="20"/>
  <c r="AU14" i="20"/>
  <c r="BA17" i="20"/>
  <c r="AU17" i="20"/>
  <c r="AU109" i="20"/>
  <c r="AU101" i="20"/>
  <c r="AU93" i="20"/>
  <c r="AU85" i="20"/>
  <c r="AU77" i="20"/>
  <c r="AU69" i="20"/>
  <c r="AU61" i="20"/>
  <c r="BA53" i="20"/>
  <c r="AU53" i="20"/>
  <c r="BA18" i="20"/>
  <c r="AU18" i="20"/>
  <c r="AU106" i="20"/>
  <c r="AU98" i="20"/>
  <c r="AU90" i="20"/>
  <c r="AU82" i="20"/>
  <c r="AU74" i="20"/>
  <c r="AU66" i="20"/>
  <c r="BA58" i="20"/>
  <c r="AU58" i="20"/>
  <c r="BA50" i="20"/>
  <c r="AU50" i="20"/>
  <c r="BA46" i="20"/>
  <c r="AU46" i="20"/>
  <c r="BA38" i="20"/>
  <c r="AU38" i="20"/>
  <c r="AU26" i="20"/>
  <c r="AU33" i="20"/>
  <c r="M11" i="20"/>
  <c r="AC11" i="20" s="1"/>
  <c r="M9" i="20"/>
  <c r="AC9" i="20" s="1"/>
  <c r="O30" i="20"/>
  <c r="N30" i="20"/>
  <c r="N29" i="20"/>
  <c r="O29" i="20"/>
  <c r="N25" i="20"/>
  <c r="O25" i="20"/>
  <c r="O17" i="20"/>
  <c r="N17" i="20"/>
  <c r="O109" i="20"/>
  <c r="M109" i="20" s="1"/>
  <c r="AC109" i="20" s="1"/>
  <c r="N109" i="20"/>
  <c r="O101" i="20"/>
  <c r="M101" i="20" s="1"/>
  <c r="AC101" i="20" s="1"/>
  <c r="N101" i="20"/>
  <c r="O93" i="20"/>
  <c r="M93" i="20" s="1"/>
  <c r="AC93" i="20" s="1"/>
  <c r="N93" i="20"/>
  <c r="O85" i="20"/>
  <c r="M85" i="20" s="1"/>
  <c r="AC85" i="20" s="1"/>
  <c r="N85" i="20"/>
  <c r="O77" i="20"/>
  <c r="M77" i="20" s="1"/>
  <c r="AC77" i="20" s="1"/>
  <c r="N77" i="20"/>
  <c r="O69" i="20"/>
  <c r="M69" i="20" s="1"/>
  <c r="AC69" i="20" s="1"/>
  <c r="N69" i="20"/>
  <c r="N61" i="20"/>
  <c r="O61" i="20"/>
  <c r="M61" i="20" s="1"/>
  <c r="AC61" i="20" s="1"/>
  <c r="N53" i="20"/>
  <c r="O53" i="20"/>
  <c r="M53" i="20" s="1"/>
  <c r="AC53" i="20" s="1"/>
  <c r="O18" i="20"/>
  <c r="N18" i="20"/>
  <c r="O106" i="20"/>
  <c r="M106" i="20" s="1"/>
  <c r="AC106" i="20" s="1"/>
  <c r="N106" i="20"/>
  <c r="O98" i="20"/>
  <c r="M98" i="20" s="1"/>
  <c r="AC98" i="20" s="1"/>
  <c r="N98" i="20"/>
  <c r="O90" i="20"/>
  <c r="M90" i="20" s="1"/>
  <c r="AC90" i="20" s="1"/>
  <c r="N90" i="20"/>
  <c r="O82" i="20"/>
  <c r="M82" i="20" s="1"/>
  <c r="AC82" i="20" s="1"/>
  <c r="N82" i="20"/>
  <c r="O74" i="20"/>
  <c r="M74" i="20" s="1"/>
  <c r="AC74" i="20" s="1"/>
  <c r="N74" i="20"/>
  <c r="O66" i="20"/>
  <c r="M66" i="20" s="1"/>
  <c r="AC66" i="20" s="1"/>
  <c r="N66" i="20"/>
  <c r="O58" i="20"/>
  <c r="M58" i="20" s="1"/>
  <c r="AC58" i="20" s="1"/>
  <c r="N58" i="20"/>
  <c r="O50" i="20"/>
  <c r="M50" i="20" s="1"/>
  <c r="AC50" i="20" s="1"/>
  <c r="N50" i="20"/>
  <c r="O46" i="20"/>
  <c r="M46" i="20" s="1"/>
  <c r="AC46" i="20" s="1"/>
  <c r="N46" i="20"/>
  <c r="O38" i="20"/>
  <c r="M38" i="20" s="1"/>
  <c r="AC38" i="20" s="1"/>
  <c r="N38" i="20"/>
  <c r="O26" i="20"/>
  <c r="N26" i="20"/>
  <c r="N33" i="20"/>
  <c r="O33" i="20"/>
  <c r="N31" i="20"/>
  <c r="O31" i="20"/>
  <c r="O14" i="20"/>
  <c r="N14" i="20"/>
  <c r="N41" i="20"/>
  <c r="O41" i="20"/>
  <c r="M41" i="20" s="1"/>
  <c r="AC41" i="20" s="1"/>
  <c r="O13" i="20"/>
  <c r="N13" i="20"/>
  <c r="O105" i="20"/>
  <c r="M105" i="20" s="1"/>
  <c r="AC105" i="20" s="1"/>
  <c r="N105" i="20"/>
  <c r="O97" i="20"/>
  <c r="M97" i="20" s="1"/>
  <c r="AC97" i="20" s="1"/>
  <c r="N97" i="20"/>
  <c r="O89" i="20"/>
  <c r="M89" i="20" s="1"/>
  <c r="AC89" i="20" s="1"/>
  <c r="N89" i="20"/>
  <c r="O81" i="20"/>
  <c r="M81" i="20" s="1"/>
  <c r="AC81" i="20" s="1"/>
  <c r="N81" i="20"/>
  <c r="O73" i="20"/>
  <c r="M73" i="20" s="1"/>
  <c r="AC73" i="20" s="1"/>
  <c r="N73" i="20"/>
  <c r="N65" i="20"/>
  <c r="O65" i="20"/>
  <c r="M65" i="20" s="1"/>
  <c r="AC65" i="20" s="1"/>
  <c r="N57" i="20"/>
  <c r="O57" i="20"/>
  <c r="M57" i="20" s="1"/>
  <c r="AC57" i="20" s="1"/>
  <c r="N49" i="20"/>
  <c r="O49" i="20"/>
  <c r="M49" i="20" s="1"/>
  <c r="AC49" i="20" s="1"/>
  <c r="O10" i="20"/>
  <c r="N10" i="20"/>
  <c r="O102" i="20"/>
  <c r="M102" i="20" s="1"/>
  <c r="AC102" i="20" s="1"/>
  <c r="N102" i="20"/>
  <c r="O94" i="20"/>
  <c r="M94" i="20" s="1"/>
  <c r="AC94" i="20" s="1"/>
  <c r="N94" i="20"/>
  <c r="O86" i="20"/>
  <c r="M86" i="20" s="1"/>
  <c r="AC86" i="20" s="1"/>
  <c r="N86" i="20"/>
  <c r="O78" i="20"/>
  <c r="M78" i="20" s="1"/>
  <c r="AC78" i="20" s="1"/>
  <c r="N78" i="20"/>
  <c r="O70" i="20"/>
  <c r="M70" i="20" s="1"/>
  <c r="AC70" i="20" s="1"/>
  <c r="N70" i="20"/>
  <c r="O62" i="20"/>
  <c r="M62" i="20" s="1"/>
  <c r="AC62" i="20" s="1"/>
  <c r="N62" i="20"/>
  <c r="O54" i="20"/>
  <c r="M54" i="20" s="1"/>
  <c r="AC54" i="20" s="1"/>
  <c r="N54" i="20"/>
  <c r="N45" i="20"/>
  <c r="O45" i="20"/>
  <c r="M45" i="20" s="1"/>
  <c r="AC45" i="20" s="1"/>
  <c r="O42" i="20"/>
  <c r="M42" i="20" s="1"/>
  <c r="AC42" i="20" s="1"/>
  <c r="N42" i="20"/>
  <c r="O34" i="20"/>
  <c r="M34" i="20" s="1"/>
  <c r="AC34" i="20" s="1"/>
  <c r="N34" i="20"/>
  <c r="N37" i="20"/>
  <c r="O37" i="20"/>
  <c r="M37" i="20" s="1"/>
  <c r="AC37" i="20" s="1"/>
  <c r="O21" i="20"/>
  <c r="N21" i="20"/>
  <c r="N22" i="20"/>
  <c r="P22" i="20" s="1"/>
  <c r="AH20" i="20"/>
  <c r="AH28" i="20"/>
  <c r="U95" i="20"/>
  <c r="V95" i="20" s="1"/>
  <c r="W95" i="20" s="1"/>
  <c r="AH24" i="20"/>
  <c r="AD28" i="20"/>
  <c r="AD27" i="20"/>
  <c r="AD32" i="20"/>
  <c r="C78" i="2"/>
  <c r="B190" i="2"/>
  <c r="B191" i="2"/>
  <c r="B85" i="2"/>
  <c r="F85" i="2"/>
  <c r="E85" i="2"/>
  <c r="B196" i="2"/>
  <c r="B174" i="2"/>
  <c r="B264" i="2"/>
  <c r="F266" i="2"/>
  <c r="B266" i="2"/>
  <c r="D408" i="2"/>
  <c r="D407" i="2"/>
  <c r="B129" i="2"/>
  <c r="K134" i="2" s="1"/>
  <c r="M134" i="2" s="1"/>
  <c r="B134" i="2"/>
  <c r="L104" i="2"/>
  <c r="P104" i="2" s="1"/>
  <c r="K104" i="2"/>
  <c r="E20" i="1"/>
  <c r="F92" i="2"/>
  <c r="B162" i="2"/>
  <c r="B92" i="2"/>
  <c r="E23" i="1" s="1"/>
  <c r="B104" i="2"/>
  <c r="B118" i="2" s="1"/>
  <c r="B151" i="2"/>
  <c r="K317" i="2"/>
  <c r="B276" i="2"/>
  <c r="B283" i="2"/>
  <c r="B274" i="2"/>
  <c r="B313" i="2"/>
  <c r="K5" i="17" s="1"/>
  <c r="B282" i="2"/>
  <c r="K150" i="2"/>
  <c r="K149" i="2"/>
  <c r="L150" i="2"/>
  <c r="L149" i="2"/>
  <c r="B149" i="2" s="1"/>
  <c r="C79" i="2"/>
  <c r="B79" i="2"/>
  <c r="B78" i="2"/>
  <c r="B170" i="2" s="1"/>
  <c r="A452" i="2"/>
  <c r="C69" i="16"/>
  <c r="D69" i="16" s="1"/>
  <c r="B415" i="2"/>
  <c r="B416" i="2" s="1"/>
  <c r="P60" i="20" l="1"/>
  <c r="AM60" i="20" s="1"/>
  <c r="AH151" i="20"/>
  <c r="AA151" i="20"/>
  <c r="AB151" i="20" s="1"/>
  <c r="Q103" i="20"/>
  <c r="AS103" i="20" s="1"/>
  <c r="AO100" i="20"/>
  <c r="AP100" i="20" s="1"/>
  <c r="P16" i="20"/>
  <c r="AJ16" i="20" s="1"/>
  <c r="P51" i="20"/>
  <c r="AM51" i="20" s="1"/>
  <c r="P24" i="20"/>
  <c r="AD24" i="20" s="1"/>
  <c r="AJ100" i="20"/>
  <c r="AK100" i="20" s="1"/>
  <c r="AO64" i="20"/>
  <c r="AP64" i="20" s="1"/>
  <c r="P79" i="20"/>
  <c r="AM79" i="20" s="1"/>
  <c r="P43" i="20"/>
  <c r="AQ43" i="20" s="1"/>
  <c r="AJ103" i="20"/>
  <c r="AK103" i="20" s="1"/>
  <c r="P71" i="20"/>
  <c r="AM71" i="20" s="1"/>
  <c r="AJ64" i="20"/>
  <c r="AK64" i="20" s="1"/>
  <c r="Q64" i="20"/>
  <c r="AS64" i="20" s="1"/>
  <c r="AQ64" i="20"/>
  <c r="AH173" i="20"/>
  <c r="AQ68" i="20"/>
  <c r="AJ95" i="20"/>
  <c r="AK95" i="20" s="1"/>
  <c r="AJ87" i="20"/>
  <c r="AK87" i="20" s="1"/>
  <c r="X173" i="20"/>
  <c r="Y173" i="20" s="1"/>
  <c r="Z173" i="20" s="1"/>
  <c r="U173" i="20"/>
  <c r="V173" i="20" s="1"/>
  <c r="W173" i="20" s="1"/>
  <c r="S103" i="20"/>
  <c r="AQ80" i="20"/>
  <c r="U167" i="20"/>
  <c r="V167" i="20" s="1"/>
  <c r="W167" i="20" s="1"/>
  <c r="AA172" i="20"/>
  <c r="AB172" i="20" s="1"/>
  <c r="P67" i="20"/>
  <c r="AJ67" i="20" s="1"/>
  <c r="AK67" i="20" s="1"/>
  <c r="AQ95" i="20"/>
  <c r="P63" i="20"/>
  <c r="AM63" i="20" s="1"/>
  <c r="AH139" i="20"/>
  <c r="Q87" i="20"/>
  <c r="AS87" i="20" s="1"/>
  <c r="P59" i="20"/>
  <c r="AM59" i="20" s="1"/>
  <c r="AJ96" i="20"/>
  <c r="AK96" i="20" s="1"/>
  <c r="P75" i="20"/>
  <c r="AQ75" i="20" s="1"/>
  <c r="AQ92" i="20"/>
  <c r="AR92" i="20" s="1"/>
  <c r="AJ92" i="20"/>
  <c r="AK92" i="20" s="1"/>
  <c r="P48" i="20"/>
  <c r="AQ48" i="20" s="1"/>
  <c r="AQ60" i="20"/>
  <c r="P35" i="20"/>
  <c r="AO35" i="20" s="1"/>
  <c r="AP35" i="20" s="1"/>
  <c r="AJ108" i="20"/>
  <c r="AK108" i="20" s="1"/>
  <c r="P56" i="20"/>
  <c r="AM56" i="20" s="1"/>
  <c r="AJ60" i="20"/>
  <c r="AK60" i="20" s="1"/>
  <c r="AF146" i="20"/>
  <c r="AG146" i="20" s="1"/>
  <c r="P47" i="20"/>
  <c r="AO47" i="20" s="1"/>
  <c r="AP47" i="20" s="1"/>
  <c r="S179" i="20"/>
  <c r="Q196" i="20"/>
  <c r="R196" i="20" s="1"/>
  <c r="P15" i="20"/>
  <c r="AD15" i="20" s="1"/>
  <c r="AF92" i="20"/>
  <c r="X196" i="20"/>
  <c r="Y196" i="20" s="1"/>
  <c r="Z196" i="20" s="1"/>
  <c r="X9" i="20"/>
  <c r="Y9" i="20" s="1"/>
  <c r="Z9" i="20" s="1"/>
  <c r="AD159" i="20"/>
  <c r="AD181" i="20"/>
  <c r="AA167" i="20"/>
  <c r="AB167" i="20" s="1"/>
  <c r="Q179" i="20"/>
  <c r="R179" i="20" s="1"/>
  <c r="B198" i="2"/>
  <c r="E54" i="1" s="1"/>
  <c r="AR118" i="20"/>
  <c r="AD204" i="20"/>
  <c r="S80" i="20"/>
  <c r="AO87" i="20"/>
  <c r="AP87" i="20" s="1"/>
  <c r="X80" i="20"/>
  <c r="Y80" i="20" s="1"/>
  <c r="Z80" i="20" s="1"/>
  <c r="AO139" i="20"/>
  <c r="AP139" i="20" s="1"/>
  <c r="X206" i="20"/>
  <c r="Y206" i="20" s="1"/>
  <c r="Z206" i="20" s="1"/>
  <c r="AD206" i="20"/>
  <c r="X191" i="20"/>
  <c r="Y191" i="20" s="1"/>
  <c r="Z191" i="20" s="1"/>
  <c r="AD191" i="20"/>
  <c r="AQ70" i="21"/>
  <c r="U69" i="21"/>
  <c r="V69" i="21" s="1"/>
  <c r="W69" i="21" s="1"/>
  <c r="AO69" i="21"/>
  <c r="AP69" i="21" s="1"/>
  <c r="P19" i="20"/>
  <c r="AD19" i="20" s="1"/>
  <c r="AD76" i="20"/>
  <c r="Q84" i="20"/>
  <c r="AS84" i="20" s="1"/>
  <c r="AF103" i="20"/>
  <c r="AO103" i="20"/>
  <c r="AP103" i="20" s="1"/>
  <c r="AH159" i="20"/>
  <c r="S172" i="20"/>
  <c r="AA206" i="20"/>
  <c r="AB206" i="20" s="1"/>
  <c r="AH179" i="20"/>
  <c r="AD179" i="20"/>
  <c r="T193" i="20"/>
  <c r="BI193" i="20" s="1"/>
  <c r="X167" i="20"/>
  <c r="Y167" i="20" s="1"/>
  <c r="Z167" i="20" s="1"/>
  <c r="S167" i="20"/>
  <c r="T167" i="20" s="1"/>
  <c r="BI167" i="20" s="1"/>
  <c r="AA179" i="20"/>
  <c r="AB179" i="20" s="1"/>
  <c r="AS193" i="20"/>
  <c r="AH204" i="20"/>
  <c r="AF167" i="20"/>
  <c r="AV167" i="20" s="1"/>
  <c r="BL167" i="20" s="1"/>
  <c r="Q206" i="20"/>
  <c r="AS206" i="20" s="1"/>
  <c r="AH96" i="20"/>
  <c r="AF96" i="20"/>
  <c r="AG96" i="20" s="1"/>
  <c r="AO95" i="20"/>
  <c r="AP95" i="20" s="1"/>
  <c r="AF152" i="20"/>
  <c r="AG152" i="20" s="1"/>
  <c r="AA173" i="20"/>
  <c r="AB173" i="20" s="1"/>
  <c r="X139" i="20"/>
  <c r="Y139" i="20" s="1"/>
  <c r="Z139" i="20" s="1"/>
  <c r="AS155" i="20"/>
  <c r="AO196" i="20"/>
  <c r="AP196" i="20" s="1"/>
  <c r="AO151" i="20"/>
  <c r="AP151" i="20" s="1"/>
  <c r="AR151" i="20" s="1"/>
  <c r="S152" i="20"/>
  <c r="T152" i="20" s="1"/>
  <c r="BI152" i="20" s="1"/>
  <c r="S173" i="20"/>
  <c r="U139" i="20"/>
  <c r="V139" i="20" s="1"/>
  <c r="W139" i="20" s="1"/>
  <c r="U196" i="20"/>
  <c r="V196" i="20" s="1"/>
  <c r="W196" i="20" s="1"/>
  <c r="AD151" i="20"/>
  <c r="AE151" i="20" s="1"/>
  <c r="AF191" i="20"/>
  <c r="AG191" i="20" s="1"/>
  <c r="S191" i="20"/>
  <c r="AF196" i="20"/>
  <c r="AG196" i="20" s="1"/>
  <c r="AI196" i="20" s="1"/>
  <c r="AD80" i="20"/>
  <c r="S64" i="20"/>
  <c r="AH80" i="20"/>
  <c r="Q80" i="20"/>
  <c r="AS80" i="20" s="1"/>
  <c r="M19" i="20"/>
  <c r="AC19" i="20" s="1"/>
  <c r="AA96" i="20"/>
  <c r="AB96" i="20" s="1"/>
  <c r="AE96" i="20" s="1"/>
  <c r="AF95" i="20"/>
  <c r="AO152" i="20"/>
  <c r="AP152" i="20" s="1"/>
  <c r="AR143" i="20"/>
  <c r="AO173" i="20"/>
  <c r="AP173" i="20" s="1"/>
  <c r="AA139" i="20"/>
  <c r="AB139" i="20" s="1"/>
  <c r="AF139" i="20"/>
  <c r="AV139" i="20" s="1"/>
  <c r="BL139" i="20" s="1"/>
  <c r="AA196" i="20"/>
  <c r="AB196" i="20" s="1"/>
  <c r="AF151" i="20"/>
  <c r="AG151" i="20" s="1"/>
  <c r="AI151" i="20" s="1"/>
  <c r="BF151" i="20" s="1"/>
  <c r="AR193" i="20"/>
  <c r="X152" i="20"/>
  <c r="Y152" i="20" s="1"/>
  <c r="Z152" i="20" s="1"/>
  <c r="U152" i="20"/>
  <c r="V152" i="20" s="1"/>
  <c r="W152" i="20" s="1"/>
  <c r="AH152" i="20"/>
  <c r="AD173" i="20"/>
  <c r="AD139" i="20"/>
  <c r="S139" i="20"/>
  <c r="T155" i="20"/>
  <c r="BI155" i="20" s="1"/>
  <c r="AD196" i="20"/>
  <c r="S196" i="20"/>
  <c r="U151" i="20"/>
  <c r="V151" i="20" s="1"/>
  <c r="W151" i="20" s="1"/>
  <c r="AA191" i="20"/>
  <c r="AB191" i="20" s="1"/>
  <c r="AH191" i="20"/>
  <c r="U191" i="20"/>
  <c r="V191" i="20" s="1"/>
  <c r="W191" i="20" s="1"/>
  <c r="AR156" i="20"/>
  <c r="AR116" i="20"/>
  <c r="AO55" i="20"/>
  <c r="AP55" i="20" s="1"/>
  <c r="AD108" i="20"/>
  <c r="AD103" i="20"/>
  <c r="AF76" i="20"/>
  <c r="AF108" i="20"/>
  <c r="AF87" i="20"/>
  <c r="M32" i="20"/>
  <c r="AF32" i="20" s="1"/>
  <c r="AG32" i="20" s="1"/>
  <c r="AA87" i="20"/>
  <c r="AB87" i="20" s="1"/>
  <c r="AA103" i="20"/>
  <c r="AB103" i="20" s="1"/>
  <c r="AO108" i="20"/>
  <c r="AP108" i="20" s="1"/>
  <c r="AR108" i="20" s="1"/>
  <c r="P39" i="20"/>
  <c r="AM39" i="20" s="1"/>
  <c r="AF159" i="20"/>
  <c r="AV159" i="20" s="1"/>
  <c r="BL159" i="20" s="1"/>
  <c r="AD172" i="20"/>
  <c r="AH172" i="20"/>
  <c r="AI172" i="20" s="1"/>
  <c r="BF172" i="20" s="1"/>
  <c r="AF181" i="20"/>
  <c r="AG181" i="20" s="1"/>
  <c r="AI181" i="20" s="1"/>
  <c r="BF181" i="20" s="1"/>
  <c r="AF204" i="20"/>
  <c r="AV204" i="20" s="1"/>
  <c r="BL204" i="20" s="1"/>
  <c r="AO206" i="20"/>
  <c r="AP206" i="20" s="1"/>
  <c r="AF206" i="20"/>
  <c r="AV206" i="20" s="1"/>
  <c r="BL206" i="20" s="1"/>
  <c r="X179" i="20"/>
  <c r="Y179" i="20" s="1"/>
  <c r="Z179" i="20" s="1"/>
  <c r="AO179" i="20"/>
  <c r="AP179" i="20" s="1"/>
  <c r="AR155" i="20"/>
  <c r="X181" i="20"/>
  <c r="Y181" i="20" s="1"/>
  <c r="Z181" i="20" s="1"/>
  <c r="U181" i="20"/>
  <c r="V181" i="20" s="1"/>
  <c r="W181" i="20" s="1"/>
  <c r="U206" i="20"/>
  <c r="V206" i="20" s="1"/>
  <c r="W206" i="20" s="1"/>
  <c r="S206" i="20"/>
  <c r="AH167" i="20"/>
  <c r="AO167" i="20"/>
  <c r="AP167" i="20" s="1"/>
  <c r="AD167" i="20"/>
  <c r="AS156" i="20"/>
  <c r="AR183" i="20"/>
  <c r="P12" i="20"/>
  <c r="AO12" i="20" s="1"/>
  <c r="AP12" i="20" s="1"/>
  <c r="AH32" i="20"/>
  <c r="AJ32" i="20"/>
  <c r="AL170" i="20"/>
  <c r="AL121" i="20"/>
  <c r="AL163" i="20"/>
  <c r="AL128" i="20"/>
  <c r="AL152" i="20"/>
  <c r="AL168" i="20"/>
  <c r="AL143" i="20"/>
  <c r="AN143" i="20" s="1"/>
  <c r="AL159" i="20"/>
  <c r="AL209" i="20"/>
  <c r="AL173" i="20"/>
  <c r="AL192" i="20"/>
  <c r="AL200" i="20"/>
  <c r="AL195" i="20"/>
  <c r="AL177" i="20"/>
  <c r="AL202" i="20"/>
  <c r="AL142" i="20"/>
  <c r="AL132" i="20"/>
  <c r="AL140" i="20"/>
  <c r="AL172" i="20"/>
  <c r="AL139" i="20"/>
  <c r="AL181" i="20"/>
  <c r="AL189" i="20"/>
  <c r="AL165" i="20"/>
  <c r="AL196" i="20"/>
  <c r="AL204" i="20"/>
  <c r="AL169" i="20"/>
  <c r="AL114" i="20"/>
  <c r="AL138" i="20"/>
  <c r="AL154" i="20"/>
  <c r="AL129" i="20"/>
  <c r="AL145" i="20"/>
  <c r="AL112" i="20"/>
  <c r="AL119" i="20"/>
  <c r="AL118" i="20"/>
  <c r="AN118" i="20" s="1"/>
  <c r="AL158" i="20"/>
  <c r="AL157" i="20"/>
  <c r="AL156" i="20"/>
  <c r="AN156" i="20" s="1"/>
  <c r="AL155" i="20"/>
  <c r="AN155" i="20" s="1"/>
  <c r="AL190" i="20"/>
  <c r="AL198" i="20"/>
  <c r="AL206" i="20"/>
  <c r="AL162" i="20"/>
  <c r="AL178" i="20"/>
  <c r="AL179" i="20"/>
  <c r="AL160" i="20"/>
  <c r="AL176" i="20"/>
  <c r="AL111" i="20"/>
  <c r="AL135" i="20"/>
  <c r="AL175" i="20"/>
  <c r="AL110" i="20"/>
  <c r="AL134" i="20"/>
  <c r="AL150" i="20"/>
  <c r="AL149" i="20"/>
  <c r="AL164" i="20"/>
  <c r="AL123" i="20"/>
  <c r="AL147" i="20"/>
  <c r="AL167" i="20"/>
  <c r="AL197" i="20"/>
  <c r="AL205" i="20"/>
  <c r="AL180" i="20"/>
  <c r="AL188" i="20"/>
  <c r="AL191" i="20"/>
  <c r="AL199" i="20"/>
  <c r="AL207" i="20"/>
  <c r="AL182" i="20"/>
  <c r="AL84" i="20"/>
  <c r="AL96" i="20"/>
  <c r="AL79" i="20"/>
  <c r="AL95" i="20"/>
  <c r="AL144" i="20"/>
  <c r="AL186" i="20"/>
  <c r="AL194" i="20"/>
  <c r="AL174" i="20"/>
  <c r="AL141" i="20"/>
  <c r="AL183" i="20"/>
  <c r="AN183" i="20" s="1"/>
  <c r="AL122" i="20"/>
  <c r="AL130" i="20"/>
  <c r="AL146" i="20"/>
  <c r="AL113" i="20"/>
  <c r="AL137" i="20"/>
  <c r="AL153" i="20"/>
  <c r="AL187" i="20"/>
  <c r="AL120" i="20"/>
  <c r="AL136" i="20"/>
  <c r="AL127" i="20"/>
  <c r="AL151" i="20"/>
  <c r="AL185" i="20"/>
  <c r="AL193" i="20"/>
  <c r="AN193" i="20" s="1"/>
  <c r="AL201" i="20"/>
  <c r="AL184" i="20"/>
  <c r="AL208" i="20"/>
  <c r="AL203" i="20"/>
  <c r="AL161" i="20"/>
  <c r="AL126" i="20"/>
  <c r="AL166" i="20"/>
  <c r="AL117" i="20"/>
  <c r="AL125" i="20"/>
  <c r="AL133" i="20"/>
  <c r="AL171" i="20"/>
  <c r="AN171" i="20" s="1"/>
  <c r="AL116" i="20"/>
  <c r="AN116" i="20" s="1"/>
  <c r="AL124" i="20"/>
  <c r="AL148" i="20"/>
  <c r="AL115" i="20"/>
  <c r="AL131" i="20"/>
  <c r="AL108" i="20"/>
  <c r="AL103" i="20"/>
  <c r="AL92" i="20"/>
  <c r="AL83" i="20"/>
  <c r="AL101" i="20"/>
  <c r="AL86" i="20"/>
  <c r="AL89" i="20"/>
  <c r="AL82" i="20"/>
  <c r="AA32" i="20"/>
  <c r="AB32" i="20" s="1"/>
  <c r="AL90" i="20"/>
  <c r="AL85" i="20"/>
  <c r="X163" i="20"/>
  <c r="Y163" i="20" s="1"/>
  <c r="Z163" i="20" s="1"/>
  <c r="AM163" i="20"/>
  <c r="AQ163" i="20"/>
  <c r="X195" i="20"/>
  <c r="Y195" i="20" s="1"/>
  <c r="Z195" i="20" s="1"/>
  <c r="AM195" i="20"/>
  <c r="AQ195" i="20"/>
  <c r="X174" i="20"/>
  <c r="Y174" i="20" s="1"/>
  <c r="Z174" i="20" s="1"/>
  <c r="AQ174" i="20"/>
  <c r="AM174" i="20"/>
  <c r="AJ174" i="20"/>
  <c r="AK174" i="20" s="1"/>
  <c r="X157" i="20"/>
  <c r="Y157" i="20" s="1"/>
  <c r="Z157" i="20" s="1"/>
  <c r="AM157" i="20"/>
  <c r="AQ157" i="20"/>
  <c r="AJ157" i="20"/>
  <c r="AK157" i="20" s="1"/>
  <c r="AF165" i="20"/>
  <c r="AG165" i="20" s="1"/>
  <c r="AM165" i="20"/>
  <c r="AQ165" i="20"/>
  <c r="X169" i="20"/>
  <c r="Y169" i="20" s="1"/>
  <c r="Z169" i="20" s="1"/>
  <c r="AM169" i="20"/>
  <c r="AQ169" i="20"/>
  <c r="X187" i="20"/>
  <c r="Y187" i="20" s="1"/>
  <c r="Z187" i="20" s="1"/>
  <c r="AM187" i="20"/>
  <c r="AQ187" i="20"/>
  <c r="AF176" i="20"/>
  <c r="AG176" i="20" s="1"/>
  <c r="AM176" i="20"/>
  <c r="AQ176" i="20"/>
  <c r="AA175" i="20"/>
  <c r="AB175" i="20" s="1"/>
  <c r="AM175" i="20"/>
  <c r="AQ175" i="20"/>
  <c r="AJ149" i="20"/>
  <c r="AK149" i="20" s="1"/>
  <c r="AM149" i="20"/>
  <c r="X200" i="20"/>
  <c r="Y200" i="20" s="1"/>
  <c r="Z200" i="20" s="1"/>
  <c r="AM200" i="20"/>
  <c r="AQ200" i="20"/>
  <c r="X186" i="20"/>
  <c r="Y186" i="20" s="1"/>
  <c r="Z186" i="20" s="1"/>
  <c r="AM186" i="20"/>
  <c r="AQ186" i="20"/>
  <c r="AJ132" i="20"/>
  <c r="AK132" i="20" s="1"/>
  <c r="AM132" i="20"/>
  <c r="X189" i="20"/>
  <c r="Y189" i="20" s="1"/>
  <c r="Z189" i="20" s="1"/>
  <c r="AM189" i="20"/>
  <c r="AQ189" i="20"/>
  <c r="X198" i="20"/>
  <c r="Y198" i="20" s="1"/>
  <c r="Z198" i="20" s="1"/>
  <c r="AM198" i="20"/>
  <c r="AQ198" i="20"/>
  <c r="X178" i="20"/>
  <c r="Y178" i="20" s="1"/>
  <c r="Z178" i="20" s="1"/>
  <c r="AM178" i="20"/>
  <c r="AQ178" i="20"/>
  <c r="X201" i="20"/>
  <c r="Y201" i="20" s="1"/>
  <c r="Z201" i="20" s="1"/>
  <c r="AM201" i="20"/>
  <c r="AQ201" i="20"/>
  <c r="AJ201" i="20"/>
  <c r="AK201" i="20" s="1"/>
  <c r="AM164" i="20"/>
  <c r="AQ164" i="20"/>
  <c r="X197" i="20"/>
  <c r="Y197" i="20" s="1"/>
  <c r="Z197" i="20" s="1"/>
  <c r="AM197" i="20"/>
  <c r="AQ197" i="20"/>
  <c r="X180" i="20"/>
  <c r="Y180" i="20" s="1"/>
  <c r="Z180" i="20" s="1"/>
  <c r="AM180" i="20"/>
  <c r="AJ180" i="20"/>
  <c r="AK180" i="20" s="1"/>
  <c r="AQ180" i="20"/>
  <c r="X182" i="20"/>
  <c r="Y182" i="20" s="1"/>
  <c r="Z182" i="20" s="1"/>
  <c r="AM182" i="20"/>
  <c r="AQ182" i="20"/>
  <c r="X203" i="20"/>
  <c r="Y203" i="20" s="1"/>
  <c r="Z203" i="20" s="1"/>
  <c r="AM203" i="20"/>
  <c r="AQ203" i="20"/>
  <c r="AJ203" i="20"/>
  <c r="AK203" i="20" s="1"/>
  <c r="X166" i="20"/>
  <c r="Y166" i="20" s="1"/>
  <c r="Z166" i="20" s="1"/>
  <c r="AM166" i="20"/>
  <c r="AQ166" i="20"/>
  <c r="AJ166" i="20"/>
  <c r="AK166" i="20" s="1"/>
  <c r="X188" i="20"/>
  <c r="Y188" i="20" s="1"/>
  <c r="Z188" i="20" s="1"/>
  <c r="AM188" i="20"/>
  <c r="AQ188" i="20"/>
  <c r="AL107" i="20"/>
  <c r="AL88" i="20"/>
  <c r="AL100" i="20"/>
  <c r="AL99" i="20"/>
  <c r="Q159" i="20"/>
  <c r="AM159" i="20"/>
  <c r="AQ159" i="20"/>
  <c r="Q172" i="20"/>
  <c r="AM172" i="20"/>
  <c r="AQ172" i="20"/>
  <c r="AM181" i="20"/>
  <c r="AQ181" i="20"/>
  <c r="AM204" i="20"/>
  <c r="AQ204" i="20"/>
  <c r="AJ198" i="20"/>
  <c r="AK198" i="20" s="1"/>
  <c r="AJ178" i="20"/>
  <c r="AK178" i="20" s="1"/>
  <c r="Q151" i="20"/>
  <c r="AM151" i="20"/>
  <c r="AJ164" i="20"/>
  <c r="AK164" i="20" s="1"/>
  <c r="AJ163" i="20"/>
  <c r="AK163" i="20" s="1"/>
  <c r="AJ200" i="20"/>
  <c r="AK200" i="20" s="1"/>
  <c r="AJ186" i="20"/>
  <c r="AK186" i="20" s="1"/>
  <c r="AJ188" i="20"/>
  <c r="AK188" i="20" s="1"/>
  <c r="AJ182" i="20"/>
  <c r="AK182" i="20" s="1"/>
  <c r="U32" i="20"/>
  <c r="V32" i="20" s="1"/>
  <c r="W32" i="20" s="1"/>
  <c r="AL109" i="20"/>
  <c r="P66" i="20"/>
  <c r="AM66" i="20" s="1"/>
  <c r="P74" i="20"/>
  <c r="AM74" i="20" s="1"/>
  <c r="P82" i="20"/>
  <c r="AM82" i="20" s="1"/>
  <c r="P90" i="20"/>
  <c r="S90" i="20" s="1"/>
  <c r="P98" i="20"/>
  <c r="U98" i="20" s="1"/>
  <c r="V98" i="20" s="1"/>
  <c r="W98" i="20" s="1"/>
  <c r="P106" i="20"/>
  <c r="U106" i="20" s="1"/>
  <c r="V106" i="20" s="1"/>
  <c r="W106" i="20" s="1"/>
  <c r="P69" i="20"/>
  <c r="P77" i="20"/>
  <c r="AM77" i="20" s="1"/>
  <c r="P85" i="20"/>
  <c r="AQ85" i="20" s="1"/>
  <c r="P93" i="20"/>
  <c r="AO93" i="20" s="1"/>
  <c r="AP93" i="20" s="1"/>
  <c r="P101" i="20"/>
  <c r="AQ101" i="20" s="1"/>
  <c r="P109" i="20"/>
  <c r="AD109" i="20" s="1"/>
  <c r="AL94" i="20"/>
  <c r="AL97" i="20"/>
  <c r="AA84" i="20"/>
  <c r="AB84" i="20" s="1"/>
  <c r="AA100" i="20"/>
  <c r="AB100" i="20" s="1"/>
  <c r="AL98" i="20"/>
  <c r="Q100" i="20"/>
  <c r="AS100" i="20" s="1"/>
  <c r="AL106" i="20"/>
  <c r="AL102" i="20"/>
  <c r="AL93" i="20"/>
  <c r="AQ76" i="20"/>
  <c r="AO84" i="20"/>
  <c r="AP84" i="20" s="1"/>
  <c r="AL105" i="20"/>
  <c r="AL81" i="20"/>
  <c r="P52" i="20"/>
  <c r="AF52" i="20" s="1"/>
  <c r="AG52" i="20" s="1"/>
  <c r="X168" i="20"/>
  <c r="Y168" i="20" s="1"/>
  <c r="Z168" i="20" s="1"/>
  <c r="AM168" i="20"/>
  <c r="AQ168" i="20"/>
  <c r="AA159" i="20"/>
  <c r="AB159" i="20" s="1"/>
  <c r="X192" i="20"/>
  <c r="Y192" i="20" s="1"/>
  <c r="Z192" i="20" s="1"/>
  <c r="AM192" i="20"/>
  <c r="AQ192" i="20"/>
  <c r="AA202" i="20"/>
  <c r="AB202" i="20" s="1"/>
  <c r="AM202" i="20"/>
  <c r="AQ202" i="20"/>
  <c r="X172" i="20"/>
  <c r="Y172" i="20" s="1"/>
  <c r="Z172" i="20" s="1"/>
  <c r="U172" i="20"/>
  <c r="V172" i="20" s="1"/>
  <c r="W172" i="20" s="1"/>
  <c r="Q181" i="20"/>
  <c r="R181" i="20" s="1"/>
  <c r="AA181" i="20"/>
  <c r="AB181" i="20" s="1"/>
  <c r="X204" i="20"/>
  <c r="Y204" i="20" s="1"/>
  <c r="Z204" i="20" s="1"/>
  <c r="AA204" i="20"/>
  <c r="AB204" i="20" s="1"/>
  <c r="X190" i="20"/>
  <c r="Y190" i="20" s="1"/>
  <c r="Z190" i="20" s="1"/>
  <c r="AM190" i="20"/>
  <c r="AQ190" i="20"/>
  <c r="AJ190" i="20"/>
  <c r="AK190" i="20" s="1"/>
  <c r="AA160" i="20"/>
  <c r="AB160" i="20" s="1"/>
  <c r="AM160" i="20"/>
  <c r="AQ160" i="20"/>
  <c r="X151" i="20"/>
  <c r="Y151" i="20" s="1"/>
  <c r="Z151" i="20" s="1"/>
  <c r="AM184" i="20"/>
  <c r="AQ184" i="20"/>
  <c r="AJ184" i="20"/>
  <c r="AK184" i="20" s="1"/>
  <c r="X170" i="20"/>
  <c r="Y170" i="20" s="1"/>
  <c r="Z170" i="20" s="1"/>
  <c r="AM170" i="20"/>
  <c r="AQ170" i="20"/>
  <c r="X159" i="20"/>
  <c r="Y159" i="20" s="1"/>
  <c r="Z159" i="20" s="1"/>
  <c r="U159" i="20"/>
  <c r="V159" i="20" s="1"/>
  <c r="W159" i="20" s="1"/>
  <c r="X209" i="20"/>
  <c r="Y209" i="20" s="1"/>
  <c r="Z209" i="20" s="1"/>
  <c r="AM209" i="20"/>
  <c r="AQ209" i="20"/>
  <c r="X177" i="20"/>
  <c r="Y177" i="20" s="1"/>
  <c r="Z177" i="20" s="1"/>
  <c r="AM177" i="20"/>
  <c r="AQ177" i="20"/>
  <c r="X194" i="20"/>
  <c r="Y194" i="20" s="1"/>
  <c r="Z194" i="20" s="1"/>
  <c r="AM194" i="20"/>
  <c r="AQ194" i="20"/>
  <c r="X158" i="20"/>
  <c r="Y158" i="20" s="1"/>
  <c r="Z158" i="20" s="1"/>
  <c r="AQ158" i="20"/>
  <c r="AM158" i="20"/>
  <c r="AJ158" i="20"/>
  <c r="AK158" i="20" s="1"/>
  <c r="S181" i="20"/>
  <c r="U204" i="20"/>
  <c r="V204" i="20" s="1"/>
  <c r="W204" i="20" s="1"/>
  <c r="Q204" i="20"/>
  <c r="R204" i="20" s="1"/>
  <c r="T204" i="20" s="1"/>
  <c r="X162" i="20"/>
  <c r="Y162" i="20" s="1"/>
  <c r="Z162" i="20" s="1"/>
  <c r="AM162" i="20"/>
  <c r="AQ162" i="20"/>
  <c r="X185" i="20"/>
  <c r="Y185" i="20" s="1"/>
  <c r="Z185" i="20" s="1"/>
  <c r="AM185" i="20"/>
  <c r="AQ185" i="20"/>
  <c r="AQ148" i="20"/>
  <c r="AM148" i="20"/>
  <c r="X205" i="20"/>
  <c r="Y205" i="20" s="1"/>
  <c r="Z205" i="20" s="1"/>
  <c r="AM205" i="20"/>
  <c r="AQ205" i="20"/>
  <c r="X207" i="20"/>
  <c r="Y207" i="20" s="1"/>
  <c r="Z207" i="20" s="1"/>
  <c r="AM207" i="20"/>
  <c r="AQ207" i="20"/>
  <c r="X208" i="20"/>
  <c r="Y208" i="20" s="1"/>
  <c r="Z208" i="20" s="1"/>
  <c r="AM208" i="20"/>
  <c r="AQ208" i="20"/>
  <c r="AJ208" i="20"/>
  <c r="AK208" i="20" s="1"/>
  <c r="X161" i="20"/>
  <c r="Y161" i="20" s="1"/>
  <c r="Z161" i="20" s="1"/>
  <c r="AM161" i="20"/>
  <c r="AQ161" i="20"/>
  <c r="AJ161" i="20"/>
  <c r="AK161" i="20" s="1"/>
  <c r="AR171" i="20"/>
  <c r="X199" i="20"/>
  <c r="Y199" i="20" s="1"/>
  <c r="Z199" i="20" s="1"/>
  <c r="AM199" i="20"/>
  <c r="AQ199" i="20"/>
  <c r="AO181" i="20"/>
  <c r="AP181" i="20" s="1"/>
  <c r="AO204" i="20"/>
  <c r="AP204" i="20" s="1"/>
  <c r="AO159" i="20"/>
  <c r="AP159" i="20" s="1"/>
  <c r="AO172" i="20"/>
  <c r="AP172" i="20" s="1"/>
  <c r="AL91" i="20"/>
  <c r="P44" i="20"/>
  <c r="S44" i="20" s="1"/>
  <c r="AL104" i="20"/>
  <c r="AL80" i="20"/>
  <c r="AL87" i="20"/>
  <c r="AJ151" i="20"/>
  <c r="AK151" i="20" s="1"/>
  <c r="AQ152" i="20"/>
  <c r="AM152" i="20"/>
  <c r="AF173" i="20"/>
  <c r="AG173" i="20" s="1"/>
  <c r="AM173" i="20"/>
  <c r="AQ173" i="20"/>
  <c r="AM139" i="20"/>
  <c r="AQ139" i="20"/>
  <c r="AM196" i="20"/>
  <c r="AQ196" i="20"/>
  <c r="AJ168" i="20"/>
  <c r="AK168" i="20" s="1"/>
  <c r="AJ159" i="20"/>
  <c r="AK159" i="20" s="1"/>
  <c r="AJ209" i="20"/>
  <c r="AK209" i="20" s="1"/>
  <c r="AJ173" i="20"/>
  <c r="AJ192" i="20"/>
  <c r="AK192" i="20" s="1"/>
  <c r="AJ195" i="20"/>
  <c r="AK195" i="20" s="1"/>
  <c r="AJ177" i="20"/>
  <c r="AK177" i="20" s="1"/>
  <c r="AJ181" i="20"/>
  <c r="AK181" i="20" s="1"/>
  <c r="AJ196" i="20"/>
  <c r="AK196" i="20" s="1"/>
  <c r="AJ169" i="20"/>
  <c r="AK169" i="20" s="1"/>
  <c r="AM206" i="20"/>
  <c r="AQ206" i="20"/>
  <c r="AJ162" i="20"/>
  <c r="AK162" i="20" s="1"/>
  <c r="AF179" i="20"/>
  <c r="AG179" i="20" s="1"/>
  <c r="AM179" i="20"/>
  <c r="AQ179" i="20"/>
  <c r="AJ187" i="20"/>
  <c r="AK187" i="20" s="1"/>
  <c r="AJ176" i="20"/>
  <c r="AK176" i="20" s="1"/>
  <c r="AJ175" i="20"/>
  <c r="AK175" i="20" s="1"/>
  <c r="AM167" i="20"/>
  <c r="AQ167" i="20"/>
  <c r="AJ197" i="20"/>
  <c r="AK197" i="20" s="1"/>
  <c r="AO191" i="20"/>
  <c r="AP191" i="20" s="1"/>
  <c r="AM191" i="20"/>
  <c r="AQ191" i="20"/>
  <c r="AJ194" i="20"/>
  <c r="AK194" i="20" s="1"/>
  <c r="AJ202" i="20"/>
  <c r="AK202" i="20" s="1"/>
  <c r="AJ172" i="20"/>
  <c r="AK172" i="20" s="1"/>
  <c r="AJ189" i="20"/>
  <c r="AK189" i="20" s="1"/>
  <c r="AJ165" i="20"/>
  <c r="AK165" i="20" s="1"/>
  <c r="AJ204" i="20"/>
  <c r="AK204" i="20" s="1"/>
  <c r="AF67" i="20"/>
  <c r="X64" i="20"/>
  <c r="Y64" i="20" s="1"/>
  <c r="Z64" i="20" s="1"/>
  <c r="U64" i="20"/>
  <c r="V64" i="20" s="1"/>
  <c r="W64" i="20" s="1"/>
  <c r="P62" i="20"/>
  <c r="AM62" i="20" s="1"/>
  <c r="P70" i="20"/>
  <c r="AM70" i="20" s="1"/>
  <c r="P78" i="20"/>
  <c r="AM78" i="20" s="1"/>
  <c r="P86" i="20"/>
  <c r="S86" i="20" s="1"/>
  <c r="P94" i="20"/>
  <c r="AO94" i="20" s="1"/>
  <c r="AP94" i="20" s="1"/>
  <c r="P102" i="20"/>
  <c r="AH102" i="20" s="1"/>
  <c r="P73" i="20"/>
  <c r="AM73" i="20" s="1"/>
  <c r="P81" i="20"/>
  <c r="AD81" i="20" s="1"/>
  <c r="P89" i="20"/>
  <c r="AA89" i="20" s="1"/>
  <c r="AB89" i="20" s="1"/>
  <c r="P97" i="20"/>
  <c r="AJ97" i="20" s="1"/>
  <c r="AK97" i="20" s="1"/>
  <c r="P105" i="20"/>
  <c r="AO105" i="20" s="1"/>
  <c r="AP105" i="20" s="1"/>
  <c r="AM90" i="20"/>
  <c r="AQ106" i="20"/>
  <c r="AM106" i="20"/>
  <c r="AM93" i="20"/>
  <c r="X128" i="20"/>
  <c r="Y128" i="20" s="1"/>
  <c r="Z128" i="20" s="1"/>
  <c r="AQ128" i="20"/>
  <c r="AJ128" i="20"/>
  <c r="AK128" i="20" s="1"/>
  <c r="X141" i="20"/>
  <c r="Y141" i="20" s="1"/>
  <c r="Z141" i="20" s="1"/>
  <c r="AQ141" i="20"/>
  <c r="X140" i="20"/>
  <c r="Y140" i="20" s="1"/>
  <c r="Z140" i="20" s="1"/>
  <c r="AQ140" i="20"/>
  <c r="X113" i="20"/>
  <c r="Y113" i="20" s="1"/>
  <c r="Z113" i="20" s="1"/>
  <c r="AJ113" i="20"/>
  <c r="AK113" i="20" s="1"/>
  <c r="AQ113" i="20"/>
  <c r="X126" i="20"/>
  <c r="Y126" i="20" s="1"/>
  <c r="Z126" i="20" s="1"/>
  <c r="AJ126" i="20"/>
  <c r="AK126" i="20" s="1"/>
  <c r="AQ126" i="20"/>
  <c r="X133" i="20"/>
  <c r="Y133" i="20" s="1"/>
  <c r="Z133" i="20" s="1"/>
  <c r="AQ133" i="20"/>
  <c r="X138" i="20"/>
  <c r="Y138" i="20" s="1"/>
  <c r="Z138" i="20" s="1"/>
  <c r="AQ138" i="20"/>
  <c r="AJ138" i="20"/>
  <c r="AK138" i="20" s="1"/>
  <c r="X129" i="20"/>
  <c r="Y129" i="20" s="1"/>
  <c r="Z129" i="20" s="1"/>
  <c r="AQ129" i="20"/>
  <c r="AJ129" i="20"/>
  <c r="AK129" i="20" s="1"/>
  <c r="X119" i="20"/>
  <c r="Y119" i="20" s="1"/>
  <c r="Z119" i="20" s="1"/>
  <c r="AQ119" i="20"/>
  <c r="AJ119" i="20"/>
  <c r="AK119" i="20" s="1"/>
  <c r="X130" i="20"/>
  <c r="Y130" i="20" s="1"/>
  <c r="Z130" i="20" s="1"/>
  <c r="AJ130" i="20"/>
  <c r="AK130" i="20" s="1"/>
  <c r="AQ130" i="20"/>
  <c r="X137" i="20"/>
  <c r="Y137" i="20" s="1"/>
  <c r="Z137" i="20" s="1"/>
  <c r="AJ137" i="20"/>
  <c r="AK137" i="20" s="1"/>
  <c r="AQ137" i="20"/>
  <c r="X120" i="20"/>
  <c r="Y120" i="20" s="1"/>
  <c r="Z120" i="20" s="1"/>
  <c r="AQ120" i="20"/>
  <c r="X127" i="20"/>
  <c r="Y127" i="20" s="1"/>
  <c r="Z127" i="20" s="1"/>
  <c r="AQ127" i="20"/>
  <c r="AJ127" i="20"/>
  <c r="AK127" i="20" s="1"/>
  <c r="X123" i="20"/>
  <c r="Y123" i="20" s="1"/>
  <c r="Z123" i="20" s="1"/>
  <c r="AQ123" i="20"/>
  <c r="X147" i="20"/>
  <c r="Y147" i="20" s="1"/>
  <c r="Z147" i="20" s="1"/>
  <c r="AJ147" i="20"/>
  <c r="AK147" i="20" s="1"/>
  <c r="AQ147" i="20"/>
  <c r="X150" i="20"/>
  <c r="Y150" i="20" s="1"/>
  <c r="Z150" i="20" s="1"/>
  <c r="AQ150" i="20"/>
  <c r="X117" i="20"/>
  <c r="Y117" i="20" s="1"/>
  <c r="Z117" i="20" s="1"/>
  <c r="AQ117" i="20"/>
  <c r="AO91" i="20"/>
  <c r="AP91" i="20" s="1"/>
  <c r="AM91" i="20"/>
  <c r="AQ96" i="20"/>
  <c r="AM96" i="20"/>
  <c r="AF83" i="20"/>
  <c r="AG83" i="20" s="1"/>
  <c r="AM83" i="20"/>
  <c r="AJ141" i="20"/>
  <c r="AK141" i="20" s="1"/>
  <c r="AJ150" i="20"/>
  <c r="AK150" i="20" s="1"/>
  <c r="AJ133" i="20"/>
  <c r="AK133" i="20" s="1"/>
  <c r="AJ148" i="20"/>
  <c r="AK148" i="20" s="1"/>
  <c r="AJ123" i="20"/>
  <c r="AK123" i="20" s="1"/>
  <c r="X144" i="20"/>
  <c r="Y144" i="20" s="1"/>
  <c r="Z144" i="20" s="1"/>
  <c r="AQ144" i="20"/>
  <c r="AJ144" i="20"/>
  <c r="AK144" i="20" s="1"/>
  <c r="X153" i="20"/>
  <c r="Y153" i="20" s="1"/>
  <c r="Z153" i="20" s="1"/>
  <c r="AJ153" i="20"/>
  <c r="AK153" i="20" s="1"/>
  <c r="AQ153" i="20"/>
  <c r="X135" i="20"/>
  <c r="Y135" i="20" s="1"/>
  <c r="Z135" i="20" s="1"/>
  <c r="AJ135" i="20"/>
  <c r="AK135" i="20" s="1"/>
  <c r="AQ135" i="20"/>
  <c r="X125" i="20"/>
  <c r="Y125" i="20" s="1"/>
  <c r="Z125" i="20" s="1"/>
  <c r="AQ125" i="20"/>
  <c r="X149" i="20"/>
  <c r="Y149" i="20" s="1"/>
  <c r="Z149" i="20" s="1"/>
  <c r="AQ149" i="20"/>
  <c r="X114" i="20"/>
  <c r="Y114" i="20" s="1"/>
  <c r="Z114" i="20" s="1"/>
  <c r="AQ114" i="20"/>
  <c r="AJ114" i="20"/>
  <c r="AK114" i="20" s="1"/>
  <c r="X154" i="20"/>
  <c r="Y154" i="20" s="1"/>
  <c r="Z154" i="20" s="1"/>
  <c r="AQ154" i="20"/>
  <c r="AJ154" i="20"/>
  <c r="AK154" i="20" s="1"/>
  <c r="X121" i="20"/>
  <c r="Y121" i="20" s="1"/>
  <c r="Z121" i="20" s="1"/>
  <c r="AQ121" i="20"/>
  <c r="AJ121" i="20"/>
  <c r="AK121" i="20" s="1"/>
  <c r="X145" i="20"/>
  <c r="Y145" i="20" s="1"/>
  <c r="Z145" i="20" s="1"/>
  <c r="AQ145" i="20"/>
  <c r="AJ145" i="20"/>
  <c r="AK145" i="20" s="1"/>
  <c r="X142" i="20"/>
  <c r="Y142" i="20" s="1"/>
  <c r="Z142" i="20" s="1"/>
  <c r="AQ142" i="20"/>
  <c r="X132" i="20"/>
  <c r="Y132" i="20" s="1"/>
  <c r="Z132" i="20" s="1"/>
  <c r="AQ132" i="20"/>
  <c r="X122" i="20"/>
  <c r="Y122" i="20" s="1"/>
  <c r="Z122" i="20" s="1"/>
  <c r="AQ122" i="20"/>
  <c r="X146" i="20"/>
  <c r="Y146" i="20" s="1"/>
  <c r="Z146" i="20" s="1"/>
  <c r="AJ146" i="20"/>
  <c r="AK146" i="20" s="1"/>
  <c r="AQ146" i="20"/>
  <c r="X136" i="20"/>
  <c r="Y136" i="20" s="1"/>
  <c r="Z136" i="20" s="1"/>
  <c r="AJ136" i="20"/>
  <c r="AK136" i="20" s="1"/>
  <c r="AQ136" i="20"/>
  <c r="X124" i="20"/>
  <c r="Y124" i="20" s="1"/>
  <c r="Z124" i="20" s="1"/>
  <c r="AJ124" i="20"/>
  <c r="AK124" i="20" s="1"/>
  <c r="AQ124" i="20"/>
  <c r="X131" i="20"/>
  <c r="Y131" i="20" s="1"/>
  <c r="Z131" i="20" s="1"/>
  <c r="AQ131" i="20"/>
  <c r="X134" i="20"/>
  <c r="Y134" i="20" s="1"/>
  <c r="Z134" i="20" s="1"/>
  <c r="AQ134" i="20"/>
  <c r="X115" i="20"/>
  <c r="Y115" i="20" s="1"/>
  <c r="Z115" i="20" s="1"/>
  <c r="AQ115" i="20"/>
  <c r="AJ91" i="20"/>
  <c r="AK91" i="20" s="1"/>
  <c r="P107" i="20"/>
  <c r="Q107" i="20" s="1"/>
  <c r="AS107" i="20" s="1"/>
  <c r="P104" i="20"/>
  <c r="AF104" i="20" s="1"/>
  <c r="P88" i="20"/>
  <c r="X88" i="20" s="1"/>
  <c r="Y88" i="20" s="1"/>
  <c r="Z88" i="20" s="1"/>
  <c r="AQ84" i="20"/>
  <c r="AM84" i="20"/>
  <c r="AQ100" i="20"/>
  <c r="AR100" i="20" s="1"/>
  <c r="AM100" i="20"/>
  <c r="AQ87" i="20"/>
  <c r="AM87" i="20"/>
  <c r="AQ103" i="20"/>
  <c r="AM103" i="20"/>
  <c r="AJ142" i="20"/>
  <c r="AK142" i="20" s="1"/>
  <c r="AJ140" i="20"/>
  <c r="AK140" i="20" s="1"/>
  <c r="AJ122" i="20"/>
  <c r="AK122" i="20" s="1"/>
  <c r="AJ120" i="20"/>
  <c r="AK120" i="20" s="1"/>
  <c r="AJ134" i="20"/>
  <c r="AK134" i="20" s="1"/>
  <c r="AJ117" i="20"/>
  <c r="AK117" i="20" s="1"/>
  <c r="AJ125" i="20"/>
  <c r="AK125" i="20" s="1"/>
  <c r="AJ115" i="20"/>
  <c r="AK115" i="20" s="1"/>
  <c r="AJ131" i="20"/>
  <c r="AK131" i="20" s="1"/>
  <c r="P17" i="20"/>
  <c r="AD17" i="20" s="1"/>
  <c r="B178" i="2"/>
  <c r="B160" i="2"/>
  <c r="B167" i="2"/>
  <c r="AD16" i="20"/>
  <c r="AO16" i="20"/>
  <c r="AP16" i="20" s="1"/>
  <c r="AD12" i="20"/>
  <c r="AO9" i="20"/>
  <c r="AP9" i="20" s="1"/>
  <c r="P23" i="20"/>
  <c r="Q23" i="20" s="1"/>
  <c r="AS23" i="20" s="1"/>
  <c r="AA64" i="20"/>
  <c r="AB64" i="20" s="1"/>
  <c r="P10" i="20"/>
  <c r="AD10" i="20" s="1"/>
  <c r="P13" i="20"/>
  <c r="AD13" i="20" s="1"/>
  <c r="P14" i="20"/>
  <c r="AD14" i="20" s="1"/>
  <c r="AF9" i="20"/>
  <c r="AG9" i="20" s="1"/>
  <c r="AQ28" i="20"/>
  <c r="AA28" i="20"/>
  <c r="AB28" i="20" s="1"/>
  <c r="S96" i="20"/>
  <c r="AD64" i="20"/>
  <c r="AD39" i="20"/>
  <c r="U28" i="20"/>
  <c r="V28" i="20" s="1"/>
  <c r="W28" i="20" s="1"/>
  <c r="X32" i="20"/>
  <c r="Y32" i="20" s="1"/>
  <c r="Z32" i="20" s="1"/>
  <c r="X96" i="20"/>
  <c r="Y96" i="20" s="1"/>
  <c r="Z96" i="20" s="1"/>
  <c r="AH64" i="20"/>
  <c r="U80" i="20"/>
  <c r="V80" i="20" s="1"/>
  <c r="W80" i="20" s="1"/>
  <c r="U96" i="20"/>
  <c r="V96" i="20" s="1"/>
  <c r="W96" i="20" s="1"/>
  <c r="AO32" i="20"/>
  <c r="AP32" i="20" s="1"/>
  <c r="AF64" i="20"/>
  <c r="AF80" i="20"/>
  <c r="AG80" i="20" s="1"/>
  <c r="Q96" i="20"/>
  <c r="AS96" i="20" s="1"/>
  <c r="AA80" i="20"/>
  <c r="AB80" i="20" s="1"/>
  <c r="M28" i="20"/>
  <c r="AO28" i="20" s="1"/>
  <c r="AP28" i="20" s="1"/>
  <c r="AO96" i="20"/>
  <c r="AP96" i="20" s="1"/>
  <c r="P36" i="20"/>
  <c r="AJ36" i="20" s="1"/>
  <c r="AA68" i="20"/>
  <c r="AB68" i="20" s="1"/>
  <c r="Q68" i="20"/>
  <c r="AS68" i="20" s="1"/>
  <c r="X20" i="20"/>
  <c r="Y20" i="20" s="1"/>
  <c r="Z20" i="20" s="1"/>
  <c r="AF71" i="20"/>
  <c r="AG71" i="20" s="1"/>
  <c r="AI143" i="20"/>
  <c r="BF143" i="20" s="1"/>
  <c r="AE156" i="20"/>
  <c r="T156" i="20"/>
  <c r="BI156" i="20" s="1"/>
  <c r="AV156" i="20"/>
  <c r="BL156" i="20" s="1"/>
  <c r="AJ27" i="20"/>
  <c r="AK27" i="20" s="1"/>
  <c r="AF59" i="20"/>
  <c r="X111" i="20"/>
  <c r="Y111" i="20" s="1"/>
  <c r="Z111" i="20" s="1"/>
  <c r="AQ111" i="20"/>
  <c r="AJ111" i="20"/>
  <c r="AK111" i="20" s="1"/>
  <c r="X112" i="20"/>
  <c r="Y112" i="20" s="1"/>
  <c r="Z112" i="20" s="1"/>
  <c r="AQ112" i="20"/>
  <c r="X110" i="20"/>
  <c r="Y110" i="20" s="1"/>
  <c r="Z110" i="20" s="1"/>
  <c r="AQ110" i="20"/>
  <c r="AJ110" i="20"/>
  <c r="AK110" i="20" s="1"/>
  <c r="AJ112" i="20"/>
  <c r="AK112" i="20" s="1"/>
  <c r="AQ91" i="20"/>
  <c r="P65" i="20"/>
  <c r="AM65" i="20" s="1"/>
  <c r="AO99" i="20"/>
  <c r="AP99" i="20" s="1"/>
  <c r="AQ99" i="20"/>
  <c r="AJ104" i="20"/>
  <c r="AK104" i="20" s="1"/>
  <c r="P72" i="20"/>
  <c r="S72" i="20" s="1"/>
  <c r="AJ106" i="20"/>
  <c r="AK106" i="20" s="1"/>
  <c r="M88" i="20"/>
  <c r="AJ99" i="20"/>
  <c r="AK99" i="20" s="1"/>
  <c r="AA199" i="20"/>
  <c r="AB199" i="20" s="1"/>
  <c r="AF188" i="20"/>
  <c r="AG188" i="20" s="1"/>
  <c r="AF35" i="21"/>
  <c r="AG35" i="21" s="1"/>
  <c r="U20" i="20"/>
  <c r="V20" i="20" s="1"/>
  <c r="W20" i="20" s="1"/>
  <c r="AO27" i="20"/>
  <c r="AP27" i="20" s="1"/>
  <c r="M23" i="20"/>
  <c r="AC23" i="20" s="1"/>
  <c r="M20" i="20"/>
  <c r="AF20" i="20" s="1"/>
  <c r="AG20" i="20" s="1"/>
  <c r="AI20" i="20" s="1"/>
  <c r="S35" i="21"/>
  <c r="AQ27" i="20"/>
  <c r="AO60" i="20"/>
  <c r="AP60" i="20" s="1"/>
  <c r="AF67" i="21"/>
  <c r="AH47" i="21"/>
  <c r="AH82" i="21"/>
  <c r="AM27" i="20"/>
  <c r="AH47" i="20"/>
  <c r="AF60" i="20"/>
  <c r="AS152" i="20"/>
  <c r="AE183" i="20"/>
  <c r="AE116" i="20"/>
  <c r="BE116" i="20" s="1"/>
  <c r="AF81" i="21"/>
  <c r="AG81" i="21" s="1"/>
  <c r="AF68" i="21"/>
  <c r="AG68" i="21" s="1"/>
  <c r="AI68" i="21" s="1"/>
  <c r="AH35" i="21"/>
  <c r="AH81" i="21"/>
  <c r="AM56" i="21"/>
  <c r="Q32" i="20"/>
  <c r="AS32" i="20" s="1"/>
  <c r="AC32" i="20"/>
  <c r="Q27" i="20"/>
  <c r="AS27" i="20" s="1"/>
  <c r="AC27" i="20"/>
  <c r="AA27" i="20"/>
  <c r="AB27" i="20" s="1"/>
  <c r="AF27" i="20"/>
  <c r="AF24" i="20"/>
  <c r="AC24" i="20"/>
  <c r="Q28" i="20"/>
  <c r="AS28" i="20" s="1"/>
  <c r="AC28" i="20"/>
  <c r="AH83" i="20"/>
  <c r="AF63" i="20"/>
  <c r="AG63" i="20" s="1"/>
  <c r="AF76" i="21"/>
  <c r="AG76" i="21" s="1"/>
  <c r="AH97" i="21"/>
  <c r="AF48" i="20"/>
  <c r="AG48" i="20" s="1"/>
  <c r="AJ51" i="20"/>
  <c r="AK51" i="20" s="1"/>
  <c r="AF51" i="20"/>
  <c r="AQ51" i="20"/>
  <c r="AA185" i="20"/>
  <c r="AB185" i="20" s="1"/>
  <c r="AF98" i="21"/>
  <c r="AG98" i="21" s="1"/>
  <c r="AI98" i="21" s="1"/>
  <c r="AF101" i="21"/>
  <c r="AG101" i="21" s="1"/>
  <c r="AH45" i="21"/>
  <c r="AH105" i="21"/>
  <c r="AA119" i="20"/>
  <c r="AB119" i="20" s="1"/>
  <c r="S55" i="20"/>
  <c r="AD43" i="20"/>
  <c r="AH23" i="20"/>
  <c r="X83" i="20"/>
  <c r="Y83" i="20" s="1"/>
  <c r="Z83" i="20" s="1"/>
  <c r="P31" i="20"/>
  <c r="AD31" i="20" s="1"/>
  <c r="P33" i="20"/>
  <c r="AD33" i="20" s="1"/>
  <c r="AA200" i="20"/>
  <c r="AB200" i="20" s="1"/>
  <c r="AA198" i="20"/>
  <c r="AB198" i="20" s="1"/>
  <c r="AA203" i="20"/>
  <c r="AB203" i="20" s="1"/>
  <c r="AF90" i="21"/>
  <c r="AG90" i="21" s="1"/>
  <c r="AF106" i="21"/>
  <c r="AG106" i="21" s="1"/>
  <c r="AF45" i="21"/>
  <c r="AG45" i="21" s="1"/>
  <c r="AH90" i="21"/>
  <c r="AH43" i="21"/>
  <c r="AH106" i="21"/>
  <c r="AH83" i="21"/>
  <c r="AH93" i="21"/>
  <c r="AH101" i="21"/>
  <c r="AH109" i="21"/>
  <c r="AD22" i="20"/>
  <c r="AQ22" i="20"/>
  <c r="P25" i="20"/>
  <c r="AD25" i="20" s="1"/>
  <c r="P29" i="20"/>
  <c r="AQ29" i="20" s="1"/>
  <c r="AF12" i="20"/>
  <c r="AG12" i="20" s="1"/>
  <c r="AF15" i="20"/>
  <c r="AG15" i="20" s="1"/>
  <c r="P21" i="20"/>
  <c r="AD21" i="20" s="1"/>
  <c r="P26" i="20"/>
  <c r="AH26" i="20" s="1"/>
  <c r="P18" i="20"/>
  <c r="AD18" i="20" s="1"/>
  <c r="P30" i="20"/>
  <c r="AD30" i="20" s="1"/>
  <c r="AJ22" i="20"/>
  <c r="AK22" i="20" s="1"/>
  <c r="AF16" i="20"/>
  <c r="AG16" i="20" s="1"/>
  <c r="AF11" i="20"/>
  <c r="AG11" i="20" s="1"/>
  <c r="AF19" i="20"/>
  <c r="AG19" i="20" s="1"/>
  <c r="AA58" i="21"/>
  <c r="AB58" i="21" s="1"/>
  <c r="Q11" i="21"/>
  <c r="AS11" i="21" s="1"/>
  <c r="AD63" i="20"/>
  <c r="AH63" i="20"/>
  <c r="AH48" i="20"/>
  <c r="Q51" i="20"/>
  <c r="AS51" i="20" s="1"/>
  <c r="Q91" i="20"/>
  <c r="AS91" i="20" s="1"/>
  <c r="AA166" i="20"/>
  <c r="AB166" i="20" s="1"/>
  <c r="AH43" i="20"/>
  <c r="AH55" i="20"/>
  <c r="AF43" i="20"/>
  <c r="AG43" i="20" s="1"/>
  <c r="AA55" i="20"/>
  <c r="AB55" i="20" s="1"/>
  <c r="AA40" i="20"/>
  <c r="AB40" i="20" s="1"/>
  <c r="AF194" i="20"/>
  <c r="AF158" i="20"/>
  <c r="AV158" i="20" s="1"/>
  <c r="BL158" i="20" s="1"/>
  <c r="AV172" i="20"/>
  <c r="BL172" i="20" s="1"/>
  <c r="AF162" i="20"/>
  <c r="AV162" i="20" s="1"/>
  <c r="BL162" i="20" s="1"/>
  <c r="AA137" i="20"/>
  <c r="AB137" i="20" s="1"/>
  <c r="AF120" i="20"/>
  <c r="AV120" i="20" s="1"/>
  <c r="BL120" i="20" s="1"/>
  <c r="AE152" i="20"/>
  <c r="AF166" i="20"/>
  <c r="AV166" i="20" s="1"/>
  <c r="BL166" i="20" s="1"/>
  <c r="AA115" i="20"/>
  <c r="AB115" i="20" s="1"/>
  <c r="AS167" i="20"/>
  <c r="AA188" i="20"/>
  <c r="AB188" i="20" s="1"/>
  <c r="AA22" i="21"/>
  <c r="AB22" i="21" s="1"/>
  <c r="AE22" i="21" s="1"/>
  <c r="AS116" i="20"/>
  <c r="S84" i="21"/>
  <c r="AM15" i="21"/>
  <c r="AQ76" i="21"/>
  <c r="AJ76" i="21"/>
  <c r="AK76" i="21" s="1"/>
  <c r="X99" i="20"/>
  <c r="Y99" i="20" s="1"/>
  <c r="Z99" i="20" s="1"/>
  <c r="AI28" i="20"/>
  <c r="Q40" i="20"/>
  <c r="AS40" i="20" s="1"/>
  <c r="Q83" i="20"/>
  <c r="AS83" i="20" s="1"/>
  <c r="Q99" i="20"/>
  <c r="AS99" i="20" s="1"/>
  <c r="Q55" i="20"/>
  <c r="AS55" i="20" s="1"/>
  <c r="AA177" i="20"/>
  <c r="AB177" i="20" s="1"/>
  <c r="AF130" i="20"/>
  <c r="AV130" i="20" s="1"/>
  <c r="BL130" i="20" s="1"/>
  <c r="AA162" i="20"/>
  <c r="AB162" i="20" s="1"/>
  <c r="AF185" i="20"/>
  <c r="AV185" i="20" s="1"/>
  <c r="BL185" i="20" s="1"/>
  <c r="AA150" i="20"/>
  <c r="AB150" i="20" s="1"/>
  <c r="AA76" i="21"/>
  <c r="AB76" i="21" s="1"/>
  <c r="AE76" i="21" s="1"/>
  <c r="X69" i="21"/>
  <c r="Y69" i="21" s="1"/>
  <c r="Z69" i="21" s="1"/>
  <c r="AD48" i="20"/>
  <c r="AD47" i="20"/>
  <c r="AF47" i="20"/>
  <c r="AA51" i="20"/>
  <c r="AB51" i="20" s="1"/>
  <c r="AA91" i="20"/>
  <c r="AB91" i="20" s="1"/>
  <c r="AF91" i="20"/>
  <c r="AF35" i="20"/>
  <c r="AO51" i="20"/>
  <c r="AP51" i="20" s="1"/>
  <c r="AA112" i="20"/>
  <c r="AB112" i="20" s="1"/>
  <c r="AV143" i="20"/>
  <c r="BL143" i="20" s="1"/>
  <c r="AF142" i="20"/>
  <c r="AG142" i="20" s="1"/>
  <c r="AI156" i="20"/>
  <c r="BF156" i="20" s="1"/>
  <c r="AF136" i="20"/>
  <c r="AV136" i="20" s="1"/>
  <c r="BL136" i="20" s="1"/>
  <c r="AA208" i="20"/>
  <c r="AB208" i="20" s="1"/>
  <c r="AF161" i="20"/>
  <c r="AV161" i="20" s="1"/>
  <c r="BL161" i="20" s="1"/>
  <c r="AA117" i="20"/>
  <c r="AB117" i="20" s="1"/>
  <c r="T116" i="20"/>
  <c r="BI116" i="20" s="1"/>
  <c r="AQ47" i="21"/>
  <c r="AJ11" i="21"/>
  <c r="AK11" i="21" s="1"/>
  <c r="Q109" i="21"/>
  <c r="R109" i="21" s="1"/>
  <c r="AQ35" i="21"/>
  <c r="S98" i="21"/>
  <c r="S22" i="21"/>
  <c r="Q58" i="21"/>
  <c r="R58" i="21" s="1"/>
  <c r="AM42" i="21"/>
  <c r="U75" i="21"/>
  <c r="V75" i="21" s="1"/>
  <c r="W75" i="21" s="1"/>
  <c r="AF93" i="21"/>
  <c r="AG93" i="21" s="1"/>
  <c r="Q105" i="21"/>
  <c r="R105" i="21" s="1"/>
  <c r="AF55" i="21"/>
  <c r="AG55" i="21" s="1"/>
  <c r="AF43" i="21"/>
  <c r="AG43" i="21" s="1"/>
  <c r="AF53" i="21"/>
  <c r="AG53" i="21" s="1"/>
  <c r="AI53" i="21" s="1"/>
  <c r="AF102" i="21"/>
  <c r="AG102" i="21" s="1"/>
  <c r="AI102" i="21" s="1"/>
  <c r="AH89" i="21"/>
  <c r="AM21" i="21"/>
  <c r="AJ44" i="21"/>
  <c r="AK44" i="21" s="1"/>
  <c r="Q84" i="21"/>
  <c r="R84" i="21" s="1"/>
  <c r="S66" i="21"/>
  <c r="S9" i="21"/>
  <c r="Q89" i="21"/>
  <c r="AS89" i="21" s="1"/>
  <c r="AA66" i="21"/>
  <c r="AB66" i="21" s="1"/>
  <c r="AJ21" i="21"/>
  <c r="AK21" i="21" s="1"/>
  <c r="S53" i="21"/>
  <c r="Q9" i="21"/>
  <c r="AS9" i="21" s="1"/>
  <c r="S44" i="21"/>
  <c r="AQ74" i="21"/>
  <c r="AM74" i="21"/>
  <c r="AQ57" i="21"/>
  <c r="AA53" i="21"/>
  <c r="AB53" i="21" s="1"/>
  <c r="AJ9" i="21"/>
  <c r="AK9" i="21" s="1"/>
  <c r="Q94" i="21"/>
  <c r="R94" i="21" s="1"/>
  <c r="AA70" i="21"/>
  <c r="AB70" i="21" s="1"/>
  <c r="AJ15" i="21"/>
  <c r="AK15" i="21" s="1"/>
  <c r="Q66" i="21"/>
  <c r="R66" i="21" s="1"/>
  <c r="Q53" i="21"/>
  <c r="AS53" i="21" s="1"/>
  <c r="AQ21" i="21"/>
  <c r="S21" i="21"/>
  <c r="AM9" i="21"/>
  <c r="Q44" i="21"/>
  <c r="AS44" i="21" s="1"/>
  <c r="S70" i="21"/>
  <c r="AM36" i="21"/>
  <c r="S72" i="21"/>
  <c r="AM30" i="21"/>
  <c r="AQ15" i="21"/>
  <c r="AJ68" i="21"/>
  <c r="AK68" i="21" s="1"/>
  <c r="AF83" i="21"/>
  <c r="AG83" i="21" s="1"/>
  <c r="AF97" i="21"/>
  <c r="AG97" i="21" s="1"/>
  <c r="AF105" i="21"/>
  <c r="AG105" i="21" s="1"/>
  <c r="AO109" i="21"/>
  <c r="AP109" i="21" s="1"/>
  <c r="Q82" i="21"/>
  <c r="AS82" i="21" s="1"/>
  <c r="AF89" i="21"/>
  <c r="AG89" i="21" s="1"/>
  <c r="AF66" i="21"/>
  <c r="AG66" i="21" s="1"/>
  <c r="AI66" i="21" s="1"/>
  <c r="AJ53" i="21"/>
  <c r="AK53" i="21" s="1"/>
  <c r="AJ56" i="21"/>
  <c r="AK56" i="21" s="1"/>
  <c r="AA9" i="21"/>
  <c r="AB9" i="21" s="1"/>
  <c r="AA44" i="21"/>
  <c r="AB44" i="21" s="1"/>
  <c r="AF44" i="21"/>
  <c r="AG44" i="21" s="1"/>
  <c r="AI44" i="21" s="1"/>
  <c r="AF84" i="21"/>
  <c r="AG84" i="21" s="1"/>
  <c r="AI84" i="21" s="1"/>
  <c r="Q72" i="21"/>
  <c r="AS72" i="21" s="1"/>
  <c r="AF63" i="21"/>
  <c r="AG63" i="21" s="1"/>
  <c r="AA30" i="21"/>
  <c r="AB30" i="21" s="1"/>
  <c r="AE30" i="21" s="1"/>
  <c r="AF109" i="21"/>
  <c r="AG109" i="21" s="1"/>
  <c r="AA74" i="21"/>
  <c r="AB74" i="21" s="1"/>
  <c r="AQ53" i="21"/>
  <c r="AH56" i="21"/>
  <c r="AQ44" i="21"/>
  <c r="S94" i="21"/>
  <c r="S102" i="21"/>
  <c r="Q70" i="21"/>
  <c r="R70" i="21" s="1"/>
  <c r="AQ36" i="21"/>
  <c r="AH63" i="21"/>
  <c r="AQ30" i="21"/>
  <c r="S68" i="21"/>
  <c r="S74" i="21"/>
  <c r="AJ70" i="21"/>
  <c r="AK70" i="21" s="1"/>
  <c r="AJ59" i="21"/>
  <c r="AK59" i="21" s="1"/>
  <c r="AJ74" i="21"/>
  <c r="AK74" i="21" s="1"/>
  <c r="U89" i="21"/>
  <c r="V89" i="21" s="1"/>
  <c r="W89" i="21" s="1"/>
  <c r="AF57" i="21"/>
  <c r="AG57" i="21" s="1"/>
  <c r="AI57" i="21" s="1"/>
  <c r="AF58" i="21"/>
  <c r="AG58" i="21" s="1"/>
  <c r="AI58" i="21" s="1"/>
  <c r="AF42" i="21"/>
  <c r="AG42" i="21" s="1"/>
  <c r="AH62" i="21"/>
  <c r="AH76" i="21"/>
  <c r="Q22" i="21"/>
  <c r="AS22" i="21" s="1"/>
  <c r="X89" i="21"/>
  <c r="Y89" i="21" s="1"/>
  <c r="Z89" i="21" s="1"/>
  <c r="AO89" i="21"/>
  <c r="AP89" i="21" s="1"/>
  <c r="S83" i="20"/>
  <c r="AD83" i="20"/>
  <c r="AD55" i="20"/>
  <c r="U83" i="20"/>
  <c r="V83" i="20" s="1"/>
  <c r="W83" i="20" s="1"/>
  <c r="AF56" i="20"/>
  <c r="AG56" i="20" s="1"/>
  <c r="AF55" i="20"/>
  <c r="AG55" i="20" s="1"/>
  <c r="AA83" i="20"/>
  <c r="AB83" i="20" s="1"/>
  <c r="AA99" i="20"/>
  <c r="AB99" i="20" s="1"/>
  <c r="AJ55" i="20"/>
  <c r="AK55" i="20" s="1"/>
  <c r="AF99" i="20"/>
  <c r="AQ55" i="20"/>
  <c r="AF119" i="20"/>
  <c r="AG119" i="20" s="1"/>
  <c r="AA209" i="20"/>
  <c r="AB209" i="20" s="1"/>
  <c r="AF200" i="20"/>
  <c r="AG200" i="20" s="1"/>
  <c r="AA186" i="20"/>
  <c r="AB186" i="20" s="1"/>
  <c r="AA132" i="20"/>
  <c r="AB132" i="20" s="1"/>
  <c r="AA189" i="20"/>
  <c r="AB189" i="20" s="1"/>
  <c r="AF198" i="20"/>
  <c r="AG198" i="20" s="1"/>
  <c r="AA122" i="20"/>
  <c r="AB122" i="20" s="1"/>
  <c r="AA146" i="20"/>
  <c r="AB146" i="20" s="1"/>
  <c r="AF178" i="20"/>
  <c r="AV178" i="20" s="1"/>
  <c r="BL178" i="20" s="1"/>
  <c r="AF201" i="20"/>
  <c r="AV201" i="20" s="1"/>
  <c r="BL201" i="20" s="1"/>
  <c r="AJ14" i="21"/>
  <c r="AK14" i="21" s="1"/>
  <c r="AJ47" i="21"/>
  <c r="AK47" i="21" s="1"/>
  <c r="AJ58" i="21"/>
  <c r="AK58" i="21" s="1"/>
  <c r="S11" i="21"/>
  <c r="AQ67" i="21"/>
  <c r="AH55" i="21"/>
  <c r="Q14" i="21"/>
  <c r="AS14" i="21" s="1"/>
  <c r="AH67" i="21"/>
  <c r="AQ58" i="21"/>
  <c r="S58" i="21"/>
  <c r="AQ11" i="21"/>
  <c r="AM11" i="21"/>
  <c r="AQ42" i="21"/>
  <c r="AQ62" i="21"/>
  <c r="AJ67" i="21"/>
  <c r="AK67" i="21" s="1"/>
  <c r="AL69" i="20"/>
  <c r="AF82" i="21"/>
  <c r="AG82" i="21" s="1"/>
  <c r="AA55" i="21"/>
  <c r="AB55" i="21" s="1"/>
  <c r="AE55" i="21" s="1"/>
  <c r="AF62" i="21"/>
  <c r="AG62" i="21" s="1"/>
  <c r="AA24" i="21"/>
  <c r="AB24" i="21" s="1"/>
  <c r="AE24" i="21" s="1"/>
  <c r="AF94" i="21"/>
  <c r="AG94" i="21" s="1"/>
  <c r="AI94" i="21" s="1"/>
  <c r="AF70" i="21"/>
  <c r="AG70" i="21" s="1"/>
  <c r="AI70" i="21" s="1"/>
  <c r="AA36" i="21"/>
  <c r="AB36" i="21" s="1"/>
  <c r="AF47" i="21"/>
  <c r="AG47" i="21" s="1"/>
  <c r="AF72" i="21"/>
  <c r="AG72" i="21" s="1"/>
  <c r="AI72" i="21" s="1"/>
  <c r="AA67" i="21"/>
  <c r="AB67" i="21" s="1"/>
  <c r="Q68" i="21"/>
  <c r="AS68" i="21" s="1"/>
  <c r="AF59" i="21"/>
  <c r="AF74" i="21"/>
  <c r="AG74" i="21" s="1"/>
  <c r="AI74" i="21" s="1"/>
  <c r="Q24" i="21"/>
  <c r="AS24" i="21" s="1"/>
  <c r="AH36" i="21"/>
  <c r="AA47" i="21"/>
  <c r="AB47" i="21" s="1"/>
  <c r="AE47" i="21" s="1"/>
  <c r="Q67" i="21"/>
  <c r="R67" i="21" s="1"/>
  <c r="T67" i="21" s="1"/>
  <c r="AH42" i="21"/>
  <c r="AL78" i="20"/>
  <c r="AL72" i="20"/>
  <c r="AL75" i="20"/>
  <c r="AL74" i="20"/>
  <c r="AL68" i="20"/>
  <c r="AL76" i="20"/>
  <c r="AL71" i="20"/>
  <c r="AL70" i="20"/>
  <c r="AL73" i="20"/>
  <c r="AL77" i="20"/>
  <c r="AE118" i="20"/>
  <c r="BE118" i="20" s="1"/>
  <c r="AE193" i="20"/>
  <c r="BE193" i="20" s="1"/>
  <c r="AL64" i="20"/>
  <c r="AL63" i="20"/>
  <c r="AL65" i="20"/>
  <c r="AL60" i="20"/>
  <c r="AL59" i="20"/>
  <c r="AL67" i="20"/>
  <c r="AL62" i="20"/>
  <c r="AL61" i="20"/>
  <c r="AL66" i="20"/>
  <c r="AE143" i="20"/>
  <c r="AE155" i="20"/>
  <c r="BE155" i="20" s="1"/>
  <c r="AE171" i="20"/>
  <c r="AO90" i="21"/>
  <c r="AP90" i="21" s="1"/>
  <c r="AD90" i="21"/>
  <c r="AO40" i="21"/>
  <c r="AP40" i="21" s="1"/>
  <c r="AD40" i="21"/>
  <c r="AM66" i="21"/>
  <c r="AD66" i="21"/>
  <c r="AM53" i="21"/>
  <c r="AD53" i="21"/>
  <c r="X48" i="21"/>
  <c r="Y48" i="21" s="1"/>
  <c r="Z48" i="21" s="1"/>
  <c r="AD48" i="21"/>
  <c r="X21" i="21"/>
  <c r="Y21" i="21" s="1"/>
  <c r="Z21" i="21" s="1"/>
  <c r="AD21" i="21"/>
  <c r="AE21" i="21" s="1"/>
  <c r="X9" i="21"/>
  <c r="Y9" i="21" s="1"/>
  <c r="Z9" i="21" s="1"/>
  <c r="AD9" i="21"/>
  <c r="AM44" i="21"/>
  <c r="AD44" i="21"/>
  <c r="X96" i="21"/>
  <c r="Y96" i="21" s="1"/>
  <c r="Z96" i="21" s="1"/>
  <c r="AD96" i="21"/>
  <c r="X104" i="21"/>
  <c r="Y104" i="21" s="1"/>
  <c r="Z104" i="21" s="1"/>
  <c r="AD104" i="21"/>
  <c r="X73" i="21"/>
  <c r="Y73" i="21" s="1"/>
  <c r="Z73" i="21" s="1"/>
  <c r="AD73" i="21"/>
  <c r="X84" i="21"/>
  <c r="Y84" i="21" s="1"/>
  <c r="Z84" i="21" s="1"/>
  <c r="AD84" i="21"/>
  <c r="X27" i="21"/>
  <c r="Y27" i="21" s="1"/>
  <c r="Z27" i="21" s="1"/>
  <c r="AD27" i="21"/>
  <c r="X28" i="21"/>
  <c r="Y28" i="21" s="1"/>
  <c r="Z28" i="21" s="1"/>
  <c r="AD28" i="21"/>
  <c r="AO77" i="21"/>
  <c r="AP77" i="21" s="1"/>
  <c r="AD77" i="21"/>
  <c r="AE77" i="21" s="1"/>
  <c r="AO37" i="21"/>
  <c r="AP37" i="21" s="1"/>
  <c r="AD37" i="21"/>
  <c r="AO17" i="21"/>
  <c r="AP17" i="21" s="1"/>
  <c r="AD17" i="21"/>
  <c r="AO91" i="21"/>
  <c r="AP91" i="21" s="1"/>
  <c r="AD91" i="21"/>
  <c r="AO99" i="21"/>
  <c r="AP99" i="21" s="1"/>
  <c r="AD99" i="21"/>
  <c r="AO107" i="21"/>
  <c r="AP107" i="21" s="1"/>
  <c r="AD107" i="21"/>
  <c r="X78" i="21"/>
  <c r="Y78" i="21" s="1"/>
  <c r="Z78" i="21" s="1"/>
  <c r="AD78" i="21"/>
  <c r="AO86" i="21"/>
  <c r="AP86" i="21" s="1"/>
  <c r="AD86" i="21"/>
  <c r="AE86" i="21" s="1"/>
  <c r="AO35" i="21"/>
  <c r="AP35" i="21" s="1"/>
  <c r="AD35" i="21"/>
  <c r="AO34" i="21"/>
  <c r="AP34" i="21" s="1"/>
  <c r="AD34" i="21"/>
  <c r="AO64" i="21"/>
  <c r="AP64" i="21" s="1"/>
  <c r="AD64" i="21"/>
  <c r="AO31" i="21"/>
  <c r="AP31" i="21" s="1"/>
  <c r="AD31" i="21"/>
  <c r="AO41" i="21"/>
  <c r="AP41" i="21" s="1"/>
  <c r="AD41" i="21"/>
  <c r="AO16" i="21"/>
  <c r="AP16" i="21" s="1"/>
  <c r="AD16" i="21"/>
  <c r="AO51" i="21"/>
  <c r="AP51" i="21" s="1"/>
  <c r="AD51" i="21"/>
  <c r="AO98" i="21"/>
  <c r="AP98" i="21" s="1"/>
  <c r="AD98" i="21"/>
  <c r="AO80" i="21"/>
  <c r="AP80" i="21" s="1"/>
  <c r="AD80" i="21"/>
  <c r="AO65" i="21"/>
  <c r="AP65" i="21" s="1"/>
  <c r="AD65" i="21"/>
  <c r="AO38" i="21"/>
  <c r="AP38" i="21" s="1"/>
  <c r="AD38" i="21"/>
  <c r="AO19" i="21"/>
  <c r="AP19" i="21" s="1"/>
  <c r="AD19" i="21"/>
  <c r="AO46" i="21"/>
  <c r="AP46" i="21" s="1"/>
  <c r="AD46" i="21"/>
  <c r="AO81" i="21"/>
  <c r="AP81" i="21" s="1"/>
  <c r="AD81" i="21"/>
  <c r="U85" i="21"/>
  <c r="V85" i="21" s="1"/>
  <c r="W85" i="21" s="1"/>
  <c r="AD85" i="21"/>
  <c r="AO82" i="21"/>
  <c r="AP82" i="21" s="1"/>
  <c r="AD82" i="21"/>
  <c r="AM57" i="21"/>
  <c r="AD57" i="21"/>
  <c r="AO26" i="21"/>
  <c r="AP26" i="21" s="1"/>
  <c r="AD26" i="21"/>
  <c r="X33" i="21"/>
  <c r="Y33" i="21" s="1"/>
  <c r="Z33" i="21" s="1"/>
  <c r="AD33" i="21"/>
  <c r="X10" i="21"/>
  <c r="Y10" i="21" s="1"/>
  <c r="Z10" i="21" s="1"/>
  <c r="AD10" i="21"/>
  <c r="X92" i="21"/>
  <c r="Y92" i="21" s="1"/>
  <c r="Z92" i="21" s="1"/>
  <c r="AD92" i="21"/>
  <c r="X100" i="21"/>
  <c r="Y100" i="21" s="1"/>
  <c r="Z100" i="21" s="1"/>
  <c r="AD100" i="21"/>
  <c r="X108" i="21"/>
  <c r="Y108" i="21" s="1"/>
  <c r="Z108" i="21" s="1"/>
  <c r="AD108" i="21"/>
  <c r="AO79" i="21"/>
  <c r="AP79" i="21" s="1"/>
  <c r="AD79" i="21"/>
  <c r="X87" i="21"/>
  <c r="Y87" i="21" s="1"/>
  <c r="Z87" i="21" s="1"/>
  <c r="AD87" i="21"/>
  <c r="AM67" i="21"/>
  <c r="AD67" i="21"/>
  <c r="AM58" i="21"/>
  <c r="AD58" i="21"/>
  <c r="AO52" i="21"/>
  <c r="AP52" i="21" s="1"/>
  <c r="AD52" i="21"/>
  <c r="AO23" i="21"/>
  <c r="AP23" i="21" s="1"/>
  <c r="AD23" i="21"/>
  <c r="AO11" i="21"/>
  <c r="AP11" i="21" s="1"/>
  <c r="AD11" i="21"/>
  <c r="AE11" i="21" s="1"/>
  <c r="AO42" i="21"/>
  <c r="AP42" i="21" s="1"/>
  <c r="AD42" i="21"/>
  <c r="AO95" i="21"/>
  <c r="AP95" i="21" s="1"/>
  <c r="AD95" i="21"/>
  <c r="AO103" i="21"/>
  <c r="AP103" i="21" s="1"/>
  <c r="AD103" i="21"/>
  <c r="AO71" i="21"/>
  <c r="AP71" i="21" s="1"/>
  <c r="AD71" i="21"/>
  <c r="AO50" i="21"/>
  <c r="AP50" i="21" s="1"/>
  <c r="AD50" i="21"/>
  <c r="AO60" i="21"/>
  <c r="AP60" i="21" s="1"/>
  <c r="AD60" i="21"/>
  <c r="AO56" i="21"/>
  <c r="AP56" i="21" s="1"/>
  <c r="AD56" i="21"/>
  <c r="AO25" i="21"/>
  <c r="AP25" i="21" s="1"/>
  <c r="AD25" i="21"/>
  <c r="AO12" i="21"/>
  <c r="AP12" i="21" s="1"/>
  <c r="AD12" i="21"/>
  <c r="AO32" i="21"/>
  <c r="AP32" i="21" s="1"/>
  <c r="AD32" i="21"/>
  <c r="AO94" i="21"/>
  <c r="AP94" i="21" s="1"/>
  <c r="AD94" i="21"/>
  <c r="AO102" i="21"/>
  <c r="AP102" i="21" s="1"/>
  <c r="AD102" i="21"/>
  <c r="AM70" i="21"/>
  <c r="AD70" i="21"/>
  <c r="AO88" i="21"/>
  <c r="AP88" i="21" s="1"/>
  <c r="AD88" i="21"/>
  <c r="AO36" i="21"/>
  <c r="AP36" i="21" s="1"/>
  <c r="AD36" i="21"/>
  <c r="AO39" i="21"/>
  <c r="AP39" i="21" s="1"/>
  <c r="AD39" i="21"/>
  <c r="AO72" i="21"/>
  <c r="AP72" i="21" s="1"/>
  <c r="AD72" i="21"/>
  <c r="AO61" i="21"/>
  <c r="AP61" i="21" s="1"/>
  <c r="AD61" i="21"/>
  <c r="AO68" i="21"/>
  <c r="AP68" i="21" s="1"/>
  <c r="AD68" i="21"/>
  <c r="AO29" i="21"/>
  <c r="AP29" i="21" s="1"/>
  <c r="AD29" i="21"/>
  <c r="AO13" i="21"/>
  <c r="AP13" i="21" s="1"/>
  <c r="AD13" i="21"/>
  <c r="AO59" i="21"/>
  <c r="AP59" i="21" s="1"/>
  <c r="AD59" i="21"/>
  <c r="AO74" i="21"/>
  <c r="AP74" i="21" s="1"/>
  <c r="AD74" i="21"/>
  <c r="AQ66" i="21"/>
  <c r="AJ66" i="21"/>
  <c r="AK66" i="21" s="1"/>
  <c r="U81" i="21"/>
  <c r="V81" i="21" s="1"/>
  <c r="W81" i="21" s="1"/>
  <c r="AM62" i="21"/>
  <c r="AJ62" i="21"/>
  <c r="AK62" i="21" s="1"/>
  <c r="AA62" i="21"/>
  <c r="AB62" i="21" s="1"/>
  <c r="AE62" i="21" s="1"/>
  <c r="X24" i="21"/>
  <c r="Y24" i="21" s="1"/>
  <c r="Z24" i="21" s="1"/>
  <c r="AM24" i="21"/>
  <c r="AQ24" i="21"/>
  <c r="AJ24" i="21"/>
  <c r="AK24" i="21" s="1"/>
  <c r="X14" i="21"/>
  <c r="Y14" i="21" s="1"/>
  <c r="Z14" i="21" s="1"/>
  <c r="AM14" i="21"/>
  <c r="AQ14" i="21"/>
  <c r="AA14" i="21"/>
  <c r="AB14" i="21" s="1"/>
  <c r="AE14" i="21" s="1"/>
  <c r="X49" i="21"/>
  <c r="Y49" i="21" s="1"/>
  <c r="Z49" i="21" s="1"/>
  <c r="AM49" i="21"/>
  <c r="X47" i="21"/>
  <c r="Y47" i="21" s="1"/>
  <c r="Z47" i="21" s="1"/>
  <c r="AM47" i="21"/>
  <c r="S47" i="21"/>
  <c r="AM55" i="21"/>
  <c r="AQ55" i="21"/>
  <c r="AJ55" i="21"/>
  <c r="AK55" i="21" s="1"/>
  <c r="AO45" i="21"/>
  <c r="AP45" i="21" s="1"/>
  <c r="AM45" i="21"/>
  <c r="AJ45" i="21"/>
  <c r="AK45" i="21" s="1"/>
  <c r="AO20" i="21"/>
  <c r="AP20" i="21" s="1"/>
  <c r="AJ20" i="21"/>
  <c r="AK20" i="21" s="1"/>
  <c r="AO75" i="21"/>
  <c r="AP75" i="21" s="1"/>
  <c r="X75" i="21"/>
  <c r="Y75" i="21" s="1"/>
  <c r="Z75" i="21" s="1"/>
  <c r="AO83" i="21"/>
  <c r="AP83" i="21" s="1"/>
  <c r="U83" i="21"/>
  <c r="V83" i="21" s="1"/>
  <c r="W83" i="21" s="1"/>
  <c r="X83" i="21"/>
  <c r="Y83" i="21" s="1"/>
  <c r="Z83" i="21" s="1"/>
  <c r="AO93" i="21"/>
  <c r="AP93" i="21" s="1"/>
  <c r="U93" i="21"/>
  <c r="V93" i="21" s="1"/>
  <c r="W93" i="21" s="1"/>
  <c r="X93" i="21"/>
  <c r="Y93" i="21" s="1"/>
  <c r="Z93" i="21" s="1"/>
  <c r="AJ93" i="21"/>
  <c r="AK93" i="21" s="1"/>
  <c r="Q93" i="21"/>
  <c r="AO97" i="21"/>
  <c r="AP97" i="21" s="1"/>
  <c r="U97" i="21"/>
  <c r="V97" i="21" s="1"/>
  <c r="W97" i="21" s="1"/>
  <c r="X97" i="21"/>
  <c r="Y97" i="21" s="1"/>
  <c r="Z97" i="21" s="1"/>
  <c r="U101" i="21"/>
  <c r="V101" i="21" s="1"/>
  <c r="W101" i="21" s="1"/>
  <c r="X101" i="21"/>
  <c r="Y101" i="21" s="1"/>
  <c r="Z101" i="21" s="1"/>
  <c r="AO105" i="21"/>
  <c r="AP105" i="21" s="1"/>
  <c r="U105" i="21"/>
  <c r="V105" i="21" s="1"/>
  <c r="W105" i="21" s="1"/>
  <c r="X105" i="21"/>
  <c r="Y105" i="21" s="1"/>
  <c r="Z105" i="21" s="1"/>
  <c r="S105" i="21"/>
  <c r="U109" i="21"/>
  <c r="V109" i="21" s="1"/>
  <c r="W109" i="21" s="1"/>
  <c r="X109" i="21"/>
  <c r="Y109" i="21" s="1"/>
  <c r="Z109" i="21" s="1"/>
  <c r="AJ109" i="21"/>
  <c r="AK109" i="21" s="1"/>
  <c r="AJ100" i="21"/>
  <c r="AK100" i="21" s="1"/>
  <c r="Q55" i="21"/>
  <c r="R55" i="21" s="1"/>
  <c r="S55" i="21"/>
  <c r="Q62" i="21"/>
  <c r="S62" i="21"/>
  <c r="S24" i="21"/>
  <c r="S14" i="21"/>
  <c r="Q47" i="21"/>
  <c r="R47" i="21" s="1"/>
  <c r="AO43" i="21"/>
  <c r="AP43" i="21" s="1"/>
  <c r="AM43" i="21"/>
  <c r="AO63" i="21"/>
  <c r="AP63" i="21" s="1"/>
  <c r="AM63" i="21"/>
  <c r="AJ63" i="21"/>
  <c r="AK63" i="21" s="1"/>
  <c r="AQ63" i="21"/>
  <c r="S63" i="21"/>
  <c r="Q63" i="21"/>
  <c r="AS63" i="21" s="1"/>
  <c r="AA63" i="21"/>
  <c r="AB63" i="21" s="1"/>
  <c r="AE63" i="21" s="1"/>
  <c r="AO30" i="21"/>
  <c r="AP30" i="21" s="1"/>
  <c r="S30" i="21"/>
  <c r="Q30" i="21"/>
  <c r="R30" i="21" s="1"/>
  <c r="AJ30" i="21"/>
  <c r="AK30" i="21" s="1"/>
  <c r="AO15" i="21"/>
  <c r="AP15" i="21" s="1"/>
  <c r="S15" i="21"/>
  <c r="Q15" i="21"/>
  <c r="R15" i="21" s="1"/>
  <c r="AA15" i="21"/>
  <c r="AB15" i="21" s="1"/>
  <c r="AE15" i="21" s="1"/>
  <c r="AO18" i="21"/>
  <c r="AP18" i="21" s="1"/>
  <c r="AJ18" i="21"/>
  <c r="AK18" i="21" s="1"/>
  <c r="AO106" i="21"/>
  <c r="AP106" i="21" s="1"/>
  <c r="Q106" i="21"/>
  <c r="R106" i="21" s="1"/>
  <c r="AM76" i="21"/>
  <c r="S76" i="21"/>
  <c r="Q76" i="21"/>
  <c r="AS76" i="21" s="1"/>
  <c r="AO54" i="21"/>
  <c r="AP54" i="21" s="1"/>
  <c r="AM54" i="21"/>
  <c r="AO22" i="21"/>
  <c r="AP22" i="21" s="1"/>
  <c r="AM22" i="21"/>
  <c r="AQ22" i="21"/>
  <c r="AJ22" i="21"/>
  <c r="AK22" i="21" s="1"/>
  <c r="AO85" i="21"/>
  <c r="AP85" i="21" s="1"/>
  <c r="AO101" i="21"/>
  <c r="AP101" i="21" s="1"/>
  <c r="AO10" i="21"/>
  <c r="AP10" i="21" s="1"/>
  <c r="AO44" i="21"/>
  <c r="AP44" i="21" s="1"/>
  <c r="AO76" i="21"/>
  <c r="AP76" i="21" s="1"/>
  <c r="AO58" i="21"/>
  <c r="AP58" i="21" s="1"/>
  <c r="AO53" i="21"/>
  <c r="AP53" i="21" s="1"/>
  <c r="AO9" i="21"/>
  <c r="AP9" i="21" s="1"/>
  <c r="AR9" i="21" s="1"/>
  <c r="AO92" i="21"/>
  <c r="AP92" i="21" s="1"/>
  <c r="AO96" i="21"/>
  <c r="AP96" i="21" s="1"/>
  <c r="AO100" i="21"/>
  <c r="AP100" i="21" s="1"/>
  <c r="AO104" i="21"/>
  <c r="AP104" i="21" s="1"/>
  <c r="AO108" i="21"/>
  <c r="AP108" i="21" s="1"/>
  <c r="AO84" i="21"/>
  <c r="AP84" i="21" s="1"/>
  <c r="AO49" i="21"/>
  <c r="AP49" i="21" s="1"/>
  <c r="AO47" i="21"/>
  <c r="AP47" i="21" s="1"/>
  <c r="AO87" i="21"/>
  <c r="AP87" i="21" s="1"/>
  <c r="AO66" i="21"/>
  <c r="AP66" i="21" s="1"/>
  <c r="AO62" i="21"/>
  <c r="AP62" i="21" s="1"/>
  <c r="AO24" i="21"/>
  <c r="AP24" i="21" s="1"/>
  <c r="AO48" i="21"/>
  <c r="AP48" i="21" s="1"/>
  <c r="AO14" i="21"/>
  <c r="AP14" i="21" s="1"/>
  <c r="AO70" i="21"/>
  <c r="AP70" i="21" s="1"/>
  <c r="AO28" i="21"/>
  <c r="AP28" i="21" s="1"/>
  <c r="AO78" i="21"/>
  <c r="AP78" i="21" s="1"/>
  <c r="AO55" i="21"/>
  <c r="AP55" i="21" s="1"/>
  <c r="AO57" i="21"/>
  <c r="AP57" i="21" s="1"/>
  <c r="AO33" i="21"/>
  <c r="AP33" i="21" s="1"/>
  <c r="AO21" i="21"/>
  <c r="AP21" i="21" s="1"/>
  <c r="AO73" i="21"/>
  <c r="AP73" i="21" s="1"/>
  <c r="AO27" i="21"/>
  <c r="AP27" i="21" s="1"/>
  <c r="AO67" i="21"/>
  <c r="AP67" i="21" s="1"/>
  <c r="AL86" i="21"/>
  <c r="AL82" i="21"/>
  <c r="AL75" i="21"/>
  <c r="AL64" i="21"/>
  <c r="AL62" i="21"/>
  <c r="AL92" i="21"/>
  <c r="AL94" i="21"/>
  <c r="AL96" i="21"/>
  <c r="AL98" i="21"/>
  <c r="AL108" i="21"/>
  <c r="AL70" i="21"/>
  <c r="AL79" i="21"/>
  <c r="AL88" i="21"/>
  <c r="AL84" i="21"/>
  <c r="AL87" i="21"/>
  <c r="AL83" i="21"/>
  <c r="AL67" i="21"/>
  <c r="AL65" i="21"/>
  <c r="AL63" i="21"/>
  <c r="AL61" i="21"/>
  <c r="AL68" i="21"/>
  <c r="AL91" i="21"/>
  <c r="AL93" i="21"/>
  <c r="AL95" i="21"/>
  <c r="AL97" i="21"/>
  <c r="AL99" i="21"/>
  <c r="AL101" i="21"/>
  <c r="AL103" i="21"/>
  <c r="AL105" i="21"/>
  <c r="AL107" i="21"/>
  <c r="AL109" i="21"/>
  <c r="AL71" i="21"/>
  <c r="AL74" i="21"/>
  <c r="AL78" i="21"/>
  <c r="AL90" i="21"/>
  <c r="AL89" i="21"/>
  <c r="AL85" i="21"/>
  <c r="AL81" i="21"/>
  <c r="AL69" i="21"/>
  <c r="AL66" i="21"/>
  <c r="AL60" i="21"/>
  <c r="AL100" i="21"/>
  <c r="AL102" i="21"/>
  <c r="AL104" i="21"/>
  <c r="AL106" i="21"/>
  <c r="AL73" i="21"/>
  <c r="AL76" i="21"/>
  <c r="AL80" i="21"/>
  <c r="AL77" i="21"/>
  <c r="AL72" i="21"/>
  <c r="AL59" i="21"/>
  <c r="X66" i="21"/>
  <c r="Y66" i="21" s="1"/>
  <c r="Z66" i="21" s="1"/>
  <c r="X62" i="21"/>
  <c r="Y62" i="21" s="1"/>
  <c r="Z62" i="21" s="1"/>
  <c r="X53" i="21"/>
  <c r="Y53" i="21" s="1"/>
  <c r="Z53" i="21" s="1"/>
  <c r="X44" i="21"/>
  <c r="Y44" i="21" s="1"/>
  <c r="Z44" i="21" s="1"/>
  <c r="X76" i="21"/>
  <c r="Y76" i="21" s="1"/>
  <c r="Z76" i="21" s="1"/>
  <c r="U90" i="21"/>
  <c r="V90" i="21" s="1"/>
  <c r="W90" i="21" s="1"/>
  <c r="U82" i="21"/>
  <c r="V82" i="21" s="1"/>
  <c r="W82" i="21" s="1"/>
  <c r="U40" i="21"/>
  <c r="V40" i="21" s="1"/>
  <c r="W40" i="21" s="1"/>
  <c r="U57" i="21"/>
  <c r="V57" i="21" s="1"/>
  <c r="W57" i="21" s="1"/>
  <c r="U43" i="21"/>
  <c r="V43" i="21" s="1"/>
  <c r="W43" i="21" s="1"/>
  <c r="U26" i="21"/>
  <c r="V26" i="21" s="1"/>
  <c r="W26" i="21" s="1"/>
  <c r="AH26" i="21"/>
  <c r="AF26" i="21"/>
  <c r="AG26" i="21" s="1"/>
  <c r="U79" i="21"/>
  <c r="V79" i="21" s="1"/>
  <c r="W79" i="21" s="1"/>
  <c r="U67" i="21"/>
  <c r="V67" i="21" s="1"/>
  <c r="W67" i="21" s="1"/>
  <c r="U63" i="21"/>
  <c r="V63" i="21" s="1"/>
  <c r="W63" i="21" s="1"/>
  <c r="U58" i="21"/>
  <c r="V58" i="21" s="1"/>
  <c r="W58" i="21" s="1"/>
  <c r="U30" i="21"/>
  <c r="V30" i="21" s="1"/>
  <c r="W30" i="21" s="1"/>
  <c r="AF30" i="21"/>
  <c r="AG30" i="21" s="1"/>
  <c r="AH30" i="21"/>
  <c r="U52" i="21"/>
  <c r="V52" i="21" s="1"/>
  <c r="W52" i="21" s="1"/>
  <c r="U37" i="21"/>
  <c r="V37" i="21" s="1"/>
  <c r="W37" i="21" s="1"/>
  <c r="U23" i="21"/>
  <c r="V23" i="21" s="1"/>
  <c r="W23" i="21" s="1"/>
  <c r="AF23" i="21"/>
  <c r="AG23" i="21" s="1"/>
  <c r="AH23" i="21"/>
  <c r="U15" i="21"/>
  <c r="V15" i="21" s="1"/>
  <c r="W15" i="21" s="1"/>
  <c r="AH15" i="21"/>
  <c r="AF15" i="21"/>
  <c r="AG15" i="21" s="1"/>
  <c r="U11" i="21"/>
  <c r="V11" i="21" s="1"/>
  <c r="W11" i="21" s="1"/>
  <c r="AH11" i="21"/>
  <c r="AF11" i="21"/>
  <c r="AG11" i="21" s="1"/>
  <c r="U17" i="21"/>
  <c r="V17" i="21" s="1"/>
  <c r="W17" i="21" s="1"/>
  <c r="AF17" i="21"/>
  <c r="AG17" i="21" s="1"/>
  <c r="AH17" i="21"/>
  <c r="U42" i="21"/>
  <c r="V42" i="21" s="1"/>
  <c r="W42" i="21" s="1"/>
  <c r="U91" i="21"/>
  <c r="V91" i="21" s="1"/>
  <c r="W91" i="21" s="1"/>
  <c r="U95" i="21"/>
  <c r="V95" i="21" s="1"/>
  <c r="W95" i="21" s="1"/>
  <c r="U99" i="21"/>
  <c r="V99" i="21" s="1"/>
  <c r="W99" i="21" s="1"/>
  <c r="U103" i="21"/>
  <c r="V103" i="21" s="1"/>
  <c r="W103" i="21" s="1"/>
  <c r="U107" i="21"/>
  <c r="V107" i="21" s="1"/>
  <c r="W107" i="21" s="1"/>
  <c r="U71" i="21"/>
  <c r="V71" i="21" s="1"/>
  <c r="W71" i="21" s="1"/>
  <c r="U86" i="21"/>
  <c r="V86" i="21" s="1"/>
  <c r="W86" i="21" s="1"/>
  <c r="U55" i="21"/>
  <c r="V55" i="21" s="1"/>
  <c r="W55" i="21" s="1"/>
  <c r="U35" i="21"/>
  <c r="V35" i="21" s="1"/>
  <c r="W35" i="21" s="1"/>
  <c r="U50" i="21"/>
  <c r="V50" i="21" s="1"/>
  <c r="W50" i="21" s="1"/>
  <c r="U34" i="21"/>
  <c r="V34" i="21" s="1"/>
  <c r="W34" i="21" s="1"/>
  <c r="AH34" i="21"/>
  <c r="AF34" i="21"/>
  <c r="AG34" i="21" s="1"/>
  <c r="U64" i="21"/>
  <c r="V64" i="21" s="1"/>
  <c r="W64" i="21" s="1"/>
  <c r="U60" i="21"/>
  <c r="V60" i="21" s="1"/>
  <c r="W60" i="21" s="1"/>
  <c r="U31" i="21"/>
  <c r="V31" i="21" s="1"/>
  <c r="W31" i="21" s="1"/>
  <c r="AF31" i="21"/>
  <c r="AG31" i="21" s="1"/>
  <c r="AH31" i="21"/>
  <c r="U56" i="21"/>
  <c r="V56" i="21" s="1"/>
  <c r="W56" i="21" s="1"/>
  <c r="U41" i="21"/>
  <c r="V41" i="21" s="1"/>
  <c r="W41" i="21" s="1"/>
  <c r="U25" i="21"/>
  <c r="V25" i="21" s="1"/>
  <c r="W25" i="21" s="1"/>
  <c r="AH25" i="21"/>
  <c r="AF25" i="21"/>
  <c r="AG25" i="21" s="1"/>
  <c r="U16" i="21"/>
  <c r="V16" i="21" s="1"/>
  <c r="W16" i="21" s="1"/>
  <c r="AH16" i="21"/>
  <c r="AF16" i="21"/>
  <c r="AG16" i="21" s="1"/>
  <c r="U12" i="21"/>
  <c r="V12" i="21" s="1"/>
  <c r="W12" i="21" s="1"/>
  <c r="AH12" i="21"/>
  <c r="AF12" i="21"/>
  <c r="AG12" i="21" s="1"/>
  <c r="U18" i="21"/>
  <c r="V18" i="21" s="1"/>
  <c r="W18" i="21" s="1"/>
  <c r="AF18" i="21"/>
  <c r="AG18" i="21" s="1"/>
  <c r="AH18" i="21"/>
  <c r="U32" i="21"/>
  <c r="V32" i="21" s="1"/>
  <c r="W32" i="21" s="1"/>
  <c r="AH32" i="21"/>
  <c r="AF32" i="21"/>
  <c r="AG32" i="21" s="1"/>
  <c r="U51" i="21"/>
  <c r="V51" i="21" s="1"/>
  <c r="W51" i="21" s="1"/>
  <c r="U94" i="21"/>
  <c r="V94" i="21" s="1"/>
  <c r="W94" i="21" s="1"/>
  <c r="U98" i="21"/>
  <c r="V98" i="21" s="1"/>
  <c r="W98" i="21" s="1"/>
  <c r="U102" i="21"/>
  <c r="V102" i="21" s="1"/>
  <c r="W102" i="21" s="1"/>
  <c r="U106" i="21"/>
  <c r="V106" i="21" s="1"/>
  <c r="W106" i="21" s="1"/>
  <c r="U70" i="21"/>
  <c r="V70" i="21" s="1"/>
  <c r="W70" i="21" s="1"/>
  <c r="U88" i="21"/>
  <c r="V88" i="21" s="1"/>
  <c r="W88" i="21" s="1"/>
  <c r="U80" i="21"/>
  <c r="V80" i="21" s="1"/>
  <c r="W80" i="21" s="1"/>
  <c r="U36" i="21"/>
  <c r="V36" i="21" s="1"/>
  <c r="W36" i="21" s="1"/>
  <c r="U54" i="21"/>
  <c r="V54" i="21" s="1"/>
  <c r="W54" i="21" s="1"/>
  <c r="U39" i="21"/>
  <c r="V39" i="21" s="1"/>
  <c r="W39" i="21" s="1"/>
  <c r="U22" i="21"/>
  <c r="V22" i="21" s="1"/>
  <c r="W22" i="21" s="1"/>
  <c r="AF22" i="21"/>
  <c r="AG22" i="21" s="1"/>
  <c r="AH22" i="21"/>
  <c r="U72" i="21"/>
  <c r="V72" i="21" s="1"/>
  <c r="W72" i="21" s="1"/>
  <c r="U65" i="21"/>
  <c r="V65" i="21" s="1"/>
  <c r="W65" i="21" s="1"/>
  <c r="U61" i="21"/>
  <c r="V61" i="21" s="1"/>
  <c r="W61" i="21" s="1"/>
  <c r="U38" i="21"/>
  <c r="V38" i="21" s="1"/>
  <c r="W38" i="21" s="1"/>
  <c r="U68" i="21"/>
  <c r="V68" i="21" s="1"/>
  <c r="W68" i="21" s="1"/>
  <c r="U45" i="21"/>
  <c r="V45" i="21" s="1"/>
  <c r="W45" i="21" s="1"/>
  <c r="U29" i="21"/>
  <c r="V29" i="21" s="1"/>
  <c r="W29" i="21" s="1"/>
  <c r="AF29" i="21"/>
  <c r="AG29" i="21" s="1"/>
  <c r="AH29" i="21"/>
  <c r="U19" i="21"/>
  <c r="V19" i="21" s="1"/>
  <c r="W19" i="21" s="1"/>
  <c r="AH19" i="21"/>
  <c r="AF19" i="21"/>
  <c r="AG19" i="21" s="1"/>
  <c r="U13" i="21"/>
  <c r="V13" i="21" s="1"/>
  <c r="W13" i="21" s="1"/>
  <c r="AH13" i="21"/>
  <c r="AF13" i="21"/>
  <c r="AG13" i="21" s="1"/>
  <c r="U20" i="21"/>
  <c r="V20" i="21" s="1"/>
  <c r="W20" i="21" s="1"/>
  <c r="AF20" i="21"/>
  <c r="AG20" i="21" s="1"/>
  <c r="AH20" i="21"/>
  <c r="U59" i="21"/>
  <c r="V59" i="21" s="1"/>
  <c r="W59" i="21" s="1"/>
  <c r="U46" i="21"/>
  <c r="V46" i="21" s="1"/>
  <c r="W46" i="21" s="1"/>
  <c r="X91" i="21"/>
  <c r="Y91" i="21" s="1"/>
  <c r="Z91" i="21" s="1"/>
  <c r="X99" i="21"/>
  <c r="Y99" i="21" s="1"/>
  <c r="Z99" i="21" s="1"/>
  <c r="X107" i="21"/>
  <c r="Y107" i="21" s="1"/>
  <c r="Z107" i="21" s="1"/>
  <c r="U74" i="21"/>
  <c r="V74" i="21" s="1"/>
  <c r="W74" i="21" s="1"/>
  <c r="X90" i="21"/>
  <c r="Y90" i="21" s="1"/>
  <c r="Z90" i="21" s="1"/>
  <c r="X82" i="21"/>
  <c r="Y82" i="21" s="1"/>
  <c r="Z82" i="21" s="1"/>
  <c r="X40" i="21"/>
  <c r="Y40" i="21" s="1"/>
  <c r="Z40" i="21" s="1"/>
  <c r="X57" i="21"/>
  <c r="Y57" i="21" s="1"/>
  <c r="Z57" i="21" s="1"/>
  <c r="X43" i="21"/>
  <c r="Y43" i="21" s="1"/>
  <c r="Z43" i="21" s="1"/>
  <c r="X26" i="21"/>
  <c r="Y26" i="21" s="1"/>
  <c r="Z26" i="21" s="1"/>
  <c r="U66" i="21"/>
  <c r="V66" i="21" s="1"/>
  <c r="W66" i="21" s="1"/>
  <c r="U62" i="21"/>
  <c r="V62" i="21" s="1"/>
  <c r="W62" i="21" s="1"/>
  <c r="U53" i="21"/>
  <c r="V53" i="21" s="1"/>
  <c r="W53" i="21" s="1"/>
  <c r="U24" i="21"/>
  <c r="V24" i="21" s="1"/>
  <c r="W24" i="21" s="1"/>
  <c r="AF24" i="21"/>
  <c r="AG24" i="21" s="1"/>
  <c r="AH24" i="21"/>
  <c r="U48" i="21"/>
  <c r="V48" i="21" s="1"/>
  <c r="W48" i="21" s="1"/>
  <c r="U33" i="21"/>
  <c r="V33" i="21" s="1"/>
  <c r="W33" i="21" s="1"/>
  <c r="AH33" i="21"/>
  <c r="AF33" i="21"/>
  <c r="AG33" i="21" s="1"/>
  <c r="U21" i="21"/>
  <c r="V21" i="21" s="1"/>
  <c r="W21" i="21" s="1"/>
  <c r="AF21" i="21"/>
  <c r="AG21" i="21" s="1"/>
  <c r="AH21" i="21"/>
  <c r="Q21" i="21"/>
  <c r="U14" i="21"/>
  <c r="V14" i="21" s="1"/>
  <c r="W14" i="21" s="1"/>
  <c r="AH14" i="21"/>
  <c r="AF14" i="21"/>
  <c r="U9" i="21"/>
  <c r="V9" i="21" s="1"/>
  <c r="W9" i="21" s="1"/>
  <c r="AH9" i="21"/>
  <c r="AF9" i="21"/>
  <c r="U10" i="21"/>
  <c r="V10" i="21" s="1"/>
  <c r="W10" i="21" s="1"/>
  <c r="AF10" i="21"/>
  <c r="AG10" i="21" s="1"/>
  <c r="AH10" i="21"/>
  <c r="U44" i="21"/>
  <c r="V44" i="21" s="1"/>
  <c r="W44" i="21" s="1"/>
  <c r="U92" i="21"/>
  <c r="V92" i="21" s="1"/>
  <c r="W92" i="21" s="1"/>
  <c r="U96" i="21"/>
  <c r="V96" i="21" s="1"/>
  <c r="W96" i="21" s="1"/>
  <c r="U100" i="21"/>
  <c r="V100" i="21" s="1"/>
  <c r="W100" i="21" s="1"/>
  <c r="U104" i="21"/>
  <c r="V104" i="21" s="1"/>
  <c r="W104" i="21" s="1"/>
  <c r="U108" i="21"/>
  <c r="V108" i="21" s="1"/>
  <c r="W108" i="21" s="1"/>
  <c r="U73" i="21"/>
  <c r="V73" i="21" s="1"/>
  <c r="W73" i="21" s="1"/>
  <c r="U84" i="21"/>
  <c r="V84" i="21" s="1"/>
  <c r="W84" i="21" s="1"/>
  <c r="U49" i="21"/>
  <c r="V49" i="21" s="1"/>
  <c r="W49" i="21" s="1"/>
  <c r="U27" i="21"/>
  <c r="V27" i="21" s="1"/>
  <c r="W27" i="21" s="1"/>
  <c r="AF27" i="21"/>
  <c r="AG27" i="21" s="1"/>
  <c r="AH27" i="21"/>
  <c r="U47" i="21"/>
  <c r="V47" i="21" s="1"/>
  <c r="W47" i="21" s="1"/>
  <c r="U28" i="21"/>
  <c r="V28" i="21" s="1"/>
  <c r="W28" i="21" s="1"/>
  <c r="AH28" i="21"/>
  <c r="AF28" i="21"/>
  <c r="AG28" i="21" s="1"/>
  <c r="U87" i="21"/>
  <c r="V87" i="21" s="1"/>
  <c r="W87" i="21" s="1"/>
  <c r="U77" i="21"/>
  <c r="V77" i="21" s="1"/>
  <c r="W77" i="21" s="1"/>
  <c r="X67" i="21"/>
  <c r="Y67" i="21" s="1"/>
  <c r="Z67" i="21" s="1"/>
  <c r="X63" i="21"/>
  <c r="Y63" i="21" s="1"/>
  <c r="Z63" i="21" s="1"/>
  <c r="X58" i="21"/>
  <c r="Y58" i="21" s="1"/>
  <c r="Z58" i="21" s="1"/>
  <c r="X30" i="21"/>
  <c r="Y30" i="21" s="1"/>
  <c r="Z30" i="21" s="1"/>
  <c r="X52" i="21"/>
  <c r="Y52" i="21" s="1"/>
  <c r="Z52" i="21" s="1"/>
  <c r="X37" i="21"/>
  <c r="Y37" i="21" s="1"/>
  <c r="Z37" i="21" s="1"/>
  <c r="X23" i="21"/>
  <c r="Y23" i="21" s="1"/>
  <c r="Z23" i="21" s="1"/>
  <c r="X15" i="21"/>
  <c r="Y15" i="21" s="1"/>
  <c r="Z15" i="21" s="1"/>
  <c r="X11" i="21"/>
  <c r="Y11" i="21" s="1"/>
  <c r="Z11" i="21" s="1"/>
  <c r="X17" i="21"/>
  <c r="Y17" i="21" s="1"/>
  <c r="Z17" i="21" s="1"/>
  <c r="X42" i="21"/>
  <c r="Y42" i="21" s="1"/>
  <c r="Z42" i="21" s="1"/>
  <c r="U78" i="21"/>
  <c r="V78" i="21" s="1"/>
  <c r="W78" i="21" s="1"/>
  <c r="X86" i="21"/>
  <c r="Y86" i="21" s="1"/>
  <c r="Z86" i="21" s="1"/>
  <c r="X55" i="21"/>
  <c r="Y55" i="21" s="1"/>
  <c r="Z55" i="21" s="1"/>
  <c r="X35" i="21"/>
  <c r="Y35" i="21" s="1"/>
  <c r="Z35" i="21" s="1"/>
  <c r="X50" i="21"/>
  <c r="Y50" i="21" s="1"/>
  <c r="Z50" i="21" s="1"/>
  <c r="X34" i="21"/>
  <c r="Y34" i="21" s="1"/>
  <c r="Z34" i="21" s="1"/>
  <c r="X64" i="21"/>
  <c r="Y64" i="21" s="1"/>
  <c r="Z64" i="21" s="1"/>
  <c r="X60" i="21"/>
  <c r="Y60" i="21" s="1"/>
  <c r="Z60" i="21" s="1"/>
  <c r="X31" i="21"/>
  <c r="Y31" i="21" s="1"/>
  <c r="Z31" i="21" s="1"/>
  <c r="X56" i="21"/>
  <c r="Y56" i="21" s="1"/>
  <c r="Z56" i="21" s="1"/>
  <c r="X41" i="21"/>
  <c r="Y41" i="21" s="1"/>
  <c r="Z41" i="21" s="1"/>
  <c r="X25" i="21"/>
  <c r="Y25" i="21" s="1"/>
  <c r="Z25" i="21" s="1"/>
  <c r="X16" i="21"/>
  <c r="Y16" i="21" s="1"/>
  <c r="Z16" i="21" s="1"/>
  <c r="X12" i="21"/>
  <c r="Y12" i="21" s="1"/>
  <c r="Z12" i="21" s="1"/>
  <c r="X18" i="21"/>
  <c r="Y18" i="21" s="1"/>
  <c r="Z18" i="21" s="1"/>
  <c r="X32" i="21"/>
  <c r="Y32" i="21" s="1"/>
  <c r="Z32" i="21" s="1"/>
  <c r="X51" i="21"/>
  <c r="Y51" i="21" s="1"/>
  <c r="Z51" i="21" s="1"/>
  <c r="X94" i="21"/>
  <c r="Y94" i="21" s="1"/>
  <c r="Z94" i="21" s="1"/>
  <c r="X98" i="21"/>
  <c r="Y98" i="21" s="1"/>
  <c r="Z98" i="21" s="1"/>
  <c r="X102" i="21"/>
  <c r="Y102" i="21" s="1"/>
  <c r="Z102" i="21" s="1"/>
  <c r="X106" i="21"/>
  <c r="Y106" i="21" s="1"/>
  <c r="Z106" i="21" s="1"/>
  <c r="X70" i="21"/>
  <c r="Y70" i="21" s="1"/>
  <c r="Z70" i="21" s="1"/>
  <c r="U76" i="21"/>
  <c r="V76" i="21" s="1"/>
  <c r="W76" i="21" s="1"/>
  <c r="X79" i="21"/>
  <c r="Y79" i="21" s="1"/>
  <c r="Z79" i="21" s="1"/>
  <c r="X88" i="21"/>
  <c r="Y88" i="21" s="1"/>
  <c r="Z88" i="21" s="1"/>
  <c r="X80" i="21"/>
  <c r="Y80" i="21" s="1"/>
  <c r="Z80" i="21" s="1"/>
  <c r="X36" i="21"/>
  <c r="Y36" i="21" s="1"/>
  <c r="Z36" i="21" s="1"/>
  <c r="X54" i="21"/>
  <c r="Y54" i="21" s="1"/>
  <c r="Z54" i="21" s="1"/>
  <c r="X39" i="21"/>
  <c r="Y39" i="21" s="1"/>
  <c r="Z39" i="21" s="1"/>
  <c r="X22" i="21"/>
  <c r="Y22" i="21" s="1"/>
  <c r="Z22" i="21" s="1"/>
  <c r="X77" i="21"/>
  <c r="Y77" i="21" s="1"/>
  <c r="Z77" i="21" s="1"/>
  <c r="X72" i="21"/>
  <c r="Y72" i="21" s="1"/>
  <c r="Z72" i="21" s="1"/>
  <c r="X65" i="21"/>
  <c r="Y65" i="21" s="1"/>
  <c r="Z65" i="21" s="1"/>
  <c r="X61" i="21"/>
  <c r="Y61" i="21" s="1"/>
  <c r="Z61" i="21" s="1"/>
  <c r="X38" i="21"/>
  <c r="Y38" i="21" s="1"/>
  <c r="Z38" i="21" s="1"/>
  <c r="X68" i="21"/>
  <c r="Y68" i="21" s="1"/>
  <c r="Z68" i="21" s="1"/>
  <c r="X45" i="21"/>
  <c r="Y45" i="21" s="1"/>
  <c r="Z45" i="21" s="1"/>
  <c r="X29" i="21"/>
  <c r="Y29" i="21" s="1"/>
  <c r="Z29" i="21" s="1"/>
  <c r="X19" i="21"/>
  <c r="Y19" i="21" s="1"/>
  <c r="Z19" i="21" s="1"/>
  <c r="X13" i="21"/>
  <c r="Y13" i="21" s="1"/>
  <c r="Z13" i="21" s="1"/>
  <c r="X20" i="21"/>
  <c r="Y20" i="21" s="1"/>
  <c r="Z20" i="21" s="1"/>
  <c r="X59" i="21"/>
  <c r="Y59" i="21" s="1"/>
  <c r="Z59" i="21" s="1"/>
  <c r="X46" i="21"/>
  <c r="Y46" i="21" s="1"/>
  <c r="Z46" i="21" s="1"/>
  <c r="X95" i="21"/>
  <c r="Y95" i="21" s="1"/>
  <c r="Z95" i="21" s="1"/>
  <c r="X103" i="21"/>
  <c r="Y103" i="21" s="1"/>
  <c r="Z103" i="21" s="1"/>
  <c r="X71" i="21"/>
  <c r="Y71" i="21" s="1"/>
  <c r="Z71" i="21" s="1"/>
  <c r="X74" i="21"/>
  <c r="Y74" i="21" s="1"/>
  <c r="Z74" i="21" s="1"/>
  <c r="Q81" i="21"/>
  <c r="R81" i="21" s="1"/>
  <c r="AJ25" i="21"/>
  <c r="Q98" i="21"/>
  <c r="Q59" i="21"/>
  <c r="AS59" i="21" s="1"/>
  <c r="Q97" i="21"/>
  <c r="Q101" i="21"/>
  <c r="R101" i="21" s="1"/>
  <c r="S81" i="21"/>
  <c r="Q74" i="21"/>
  <c r="R74" i="21" s="1"/>
  <c r="AJ57" i="21"/>
  <c r="AK57" i="21" s="1"/>
  <c r="AQ43" i="21"/>
  <c r="Y81" i="21"/>
  <c r="Z81" i="21" s="1"/>
  <c r="Q83" i="21"/>
  <c r="AS83" i="21" s="1"/>
  <c r="AQ45" i="21"/>
  <c r="S90" i="21"/>
  <c r="S57" i="21"/>
  <c r="AA57" i="21"/>
  <c r="AB57" i="21" s="1"/>
  <c r="S106" i="21"/>
  <c r="S83" i="21"/>
  <c r="S45" i="21"/>
  <c r="AA45" i="21"/>
  <c r="AB45" i="21" s="1"/>
  <c r="S93" i="21"/>
  <c r="S109" i="21"/>
  <c r="Q45" i="21"/>
  <c r="AS45" i="21" s="1"/>
  <c r="Q57" i="21"/>
  <c r="R57" i="21" s="1"/>
  <c r="AM50" i="21"/>
  <c r="AF85" i="21"/>
  <c r="AG85" i="21" s="1"/>
  <c r="AM85" i="21"/>
  <c r="AQ85" i="21"/>
  <c r="AM75" i="21"/>
  <c r="AQ75" i="21"/>
  <c r="AM65" i="21"/>
  <c r="AQ65" i="21"/>
  <c r="AF61" i="21"/>
  <c r="AG61" i="21" s="1"/>
  <c r="AM61" i="21"/>
  <c r="AQ61" i="21"/>
  <c r="AJ61" i="21"/>
  <c r="AK61" i="21" s="1"/>
  <c r="AF46" i="21"/>
  <c r="AG46" i="21" s="1"/>
  <c r="AM46" i="21"/>
  <c r="AF91" i="21"/>
  <c r="AG91" i="21" s="1"/>
  <c r="AM91" i="21"/>
  <c r="AQ91" i="21"/>
  <c r="AM95" i="21"/>
  <c r="AQ95" i="21"/>
  <c r="AF99" i="21"/>
  <c r="AG99" i="21" s="1"/>
  <c r="AM99" i="21"/>
  <c r="AQ99" i="21"/>
  <c r="AM103" i="21"/>
  <c r="AQ103" i="21"/>
  <c r="AF107" i="21"/>
  <c r="AG107" i="21" s="1"/>
  <c r="AM107" i="21"/>
  <c r="AQ107" i="21"/>
  <c r="AM71" i="21"/>
  <c r="AQ71" i="21"/>
  <c r="AJ71" i="21"/>
  <c r="AK71" i="21" s="1"/>
  <c r="AM78" i="21"/>
  <c r="AQ78" i="21"/>
  <c r="AA40" i="21"/>
  <c r="AB40" i="21" s="1"/>
  <c r="AM89" i="21"/>
  <c r="AQ89" i="21"/>
  <c r="AJ89" i="21"/>
  <c r="AK89" i="21" s="1"/>
  <c r="AA89" i="21"/>
  <c r="AB89" i="21" s="1"/>
  <c r="AE89" i="21" s="1"/>
  <c r="AM102" i="21"/>
  <c r="AQ102" i="21"/>
  <c r="AJ102" i="21"/>
  <c r="AK102" i="21" s="1"/>
  <c r="AA102" i="21"/>
  <c r="AB102" i="21" s="1"/>
  <c r="AJ95" i="21"/>
  <c r="AK95" i="21" s="1"/>
  <c r="AM97" i="21"/>
  <c r="AQ97" i="21"/>
  <c r="AJ97" i="21"/>
  <c r="AK97" i="21" s="1"/>
  <c r="AA97" i="21"/>
  <c r="AB97" i="21" s="1"/>
  <c r="AE97" i="21" s="1"/>
  <c r="AM59" i="21"/>
  <c r="AA59" i="21"/>
  <c r="AB59" i="21" s="1"/>
  <c r="AQ59" i="21"/>
  <c r="AJ99" i="21"/>
  <c r="AK99" i="21" s="1"/>
  <c r="AM101" i="21"/>
  <c r="AA101" i="21"/>
  <c r="AB101" i="21" s="1"/>
  <c r="AE101" i="21" s="1"/>
  <c r="AQ101" i="21"/>
  <c r="AM86" i="21"/>
  <c r="AQ86" i="21"/>
  <c r="AJ43" i="21"/>
  <c r="AK43" i="21" s="1"/>
  <c r="AA75" i="21"/>
  <c r="AB75" i="21" s="1"/>
  <c r="AE75" i="21" s="1"/>
  <c r="AM69" i="21"/>
  <c r="AQ69" i="21"/>
  <c r="AF64" i="21"/>
  <c r="AG64" i="21" s="1"/>
  <c r="AM64" i="21"/>
  <c r="AQ64" i="21"/>
  <c r="AJ64" i="21"/>
  <c r="AK64" i="21" s="1"/>
  <c r="AM60" i="21"/>
  <c r="AQ60" i="21"/>
  <c r="AQ56" i="21"/>
  <c r="AJ41" i="21"/>
  <c r="AK41" i="21" s="1"/>
  <c r="Q51" i="21"/>
  <c r="AM51" i="21"/>
  <c r="AM92" i="21"/>
  <c r="AQ92" i="21"/>
  <c r="AM96" i="21"/>
  <c r="AQ96" i="21"/>
  <c r="AM100" i="21"/>
  <c r="AQ100" i="21"/>
  <c r="Q102" i="21"/>
  <c r="AS102" i="21" s="1"/>
  <c r="AM104" i="21"/>
  <c r="AQ104" i="21"/>
  <c r="AM108" i="21"/>
  <c r="AQ108" i="21"/>
  <c r="AM73" i="21"/>
  <c r="AQ73" i="21"/>
  <c r="AM79" i="21"/>
  <c r="AQ79" i="21"/>
  <c r="AJ79" i="21"/>
  <c r="AK79" i="21" s="1"/>
  <c r="AM88" i="21"/>
  <c r="AQ88" i="21"/>
  <c r="AM80" i="21"/>
  <c r="AQ80" i="21"/>
  <c r="AF87" i="21"/>
  <c r="AG87" i="21" s="1"/>
  <c r="AM87" i="21"/>
  <c r="AQ87" i="21"/>
  <c r="AM77" i="21"/>
  <c r="AQ77" i="21"/>
  <c r="S43" i="21"/>
  <c r="AA43" i="21"/>
  <c r="AB43" i="21" s="1"/>
  <c r="S89" i="21"/>
  <c r="S56" i="21"/>
  <c r="AA56" i="21"/>
  <c r="AB56" i="21" s="1"/>
  <c r="S59" i="21"/>
  <c r="S97" i="21"/>
  <c r="S101" i="21"/>
  <c r="AJ86" i="21"/>
  <c r="AK86" i="21" s="1"/>
  <c r="AM82" i="21"/>
  <c r="AQ82" i="21"/>
  <c r="AJ82" i="21"/>
  <c r="AK82" i="21" s="1"/>
  <c r="AA82" i="21"/>
  <c r="AB82" i="21" s="1"/>
  <c r="Q43" i="21"/>
  <c r="AJ75" i="21"/>
  <c r="AK75" i="21" s="1"/>
  <c r="Q56" i="21"/>
  <c r="AJ92" i="21"/>
  <c r="AK92" i="21" s="1"/>
  <c r="AM94" i="21"/>
  <c r="AQ94" i="21"/>
  <c r="AJ94" i="21"/>
  <c r="AK94" i="21" s="1"/>
  <c r="AA94" i="21"/>
  <c r="AB94" i="21" s="1"/>
  <c r="AJ108" i="21"/>
  <c r="AK108" i="21" s="1"/>
  <c r="AJ77" i="21"/>
  <c r="AK77" i="21" s="1"/>
  <c r="AM72" i="21"/>
  <c r="AQ72" i="21"/>
  <c r="AJ72" i="21"/>
  <c r="AK72" i="21" s="1"/>
  <c r="AA72" i="21"/>
  <c r="AB72" i="21" s="1"/>
  <c r="AM90" i="21"/>
  <c r="AA90" i="21"/>
  <c r="AB90" i="21" s="1"/>
  <c r="AQ90" i="21"/>
  <c r="AJ90" i="21"/>
  <c r="AK90" i="21" s="1"/>
  <c r="AJ85" i="21"/>
  <c r="AK85" i="21" s="1"/>
  <c r="AJ96" i="21"/>
  <c r="AK96" i="21" s="1"/>
  <c r="AM106" i="21"/>
  <c r="AA106" i="21"/>
  <c r="AB106" i="21" s="1"/>
  <c r="AQ106" i="21"/>
  <c r="AJ106" i="21"/>
  <c r="AK106" i="21" s="1"/>
  <c r="AJ88" i="21"/>
  <c r="AK88" i="21" s="1"/>
  <c r="AM83" i="21"/>
  <c r="AA83" i="21"/>
  <c r="AB83" i="21" s="1"/>
  <c r="AE83" i="21" s="1"/>
  <c r="AQ83" i="21"/>
  <c r="AJ83" i="21"/>
  <c r="AK83" i="21" s="1"/>
  <c r="AJ101" i="21"/>
  <c r="AK101" i="21" s="1"/>
  <c r="AJ103" i="21"/>
  <c r="AK103" i="21" s="1"/>
  <c r="AM105" i="21"/>
  <c r="AQ105" i="21"/>
  <c r="AJ105" i="21"/>
  <c r="AK105" i="21" s="1"/>
  <c r="AA105" i="21"/>
  <c r="AB105" i="21" s="1"/>
  <c r="AE105" i="21" s="1"/>
  <c r="AJ78" i="21"/>
  <c r="AK78" i="21" s="1"/>
  <c r="AM81" i="21"/>
  <c r="AA81" i="21"/>
  <c r="AB81" i="21" s="1"/>
  <c r="AQ81" i="21"/>
  <c r="AJ81" i="21"/>
  <c r="AK81" i="21" s="1"/>
  <c r="AJ69" i="21"/>
  <c r="AK69" i="21" s="1"/>
  <c r="AJ60" i="21"/>
  <c r="AK60" i="21" s="1"/>
  <c r="AM98" i="21"/>
  <c r="AA98" i="21"/>
  <c r="AB98" i="21" s="1"/>
  <c r="AQ98" i="21"/>
  <c r="AJ98" i="21"/>
  <c r="AK98" i="21" s="1"/>
  <c r="AJ104" i="21"/>
  <c r="AK104" i="21" s="1"/>
  <c r="AJ73" i="21"/>
  <c r="AK73" i="21" s="1"/>
  <c r="AM84" i="21"/>
  <c r="AA84" i="21"/>
  <c r="AB84" i="21" s="1"/>
  <c r="AQ84" i="21"/>
  <c r="AJ84" i="21"/>
  <c r="AK84" i="21" s="1"/>
  <c r="AJ87" i="21"/>
  <c r="AK87" i="21" s="1"/>
  <c r="AJ65" i="21"/>
  <c r="AK65" i="21" s="1"/>
  <c r="AM68" i="21"/>
  <c r="AQ68" i="21"/>
  <c r="AA68" i="21"/>
  <c r="AB68" i="21" s="1"/>
  <c r="AJ91" i="21"/>
  <c r="AK91" i="21" s="1"/>
  <c r="AM93" i="21"/>
  <c r="AA93" i="21"/>
  <c r="AB93" i="21" s="1"/>
  <c r="AE93" i="21" s="1"/>
  <c r="AQ93" i="21"/>
  <c r="AJ107" i="21"/>
  <c r="AK107" i="21" s="1"/>
  <c r="AM109" i="21"/>
  <c r="AA109" i="21"/>
  <c r="AB109" i="21" s="1"/>
  <c r="AE109" i="21" s="1"/>
  <c r="AQ109" i="21"/>
  <c r="AL53" i="20"/>
  <c r="AL40" i="21"/>
  <c r="AL50" i="21"/>
  <c r="AL34" i="21"/>
  <c r="AL31" i="21"/>
  <c r="AL48" i="21"/>
  <c r="AL33" i="21"/>
  <c r="AL16" i="21"/>
  <c r="AL12" i="21"/>
  <c r="AL10" i="21"/>
  <c r="AL32" i="21"/>
  <c r="AL51" i="21"/>
  <c r="AL49" i="21"/>
  <c r="AL27" i="21"/>
  <c r="AL54" i="21"/>
  <c r="AL39" i="21"/>
  <c r="AL38" i="21"/>
  <c r="AL52" i="21"/>
  <c r="AL37" i="21"/>
  <c r="AL23" i="21"/>
  <c r="AL19" i="21"/>
  <c r="AL13" i="21"/>
  <c r="AL17" i="21"/>
  <c r="AL46" i="21"/>
  <c r="AL55" i="21"/>
  <c r="AL35" i="21"/>
  <c r="AL57" i="21"/>
  <c r="AL43" i="21"/>
  <c r="AL26" i="21"/>
  <c r="AL53" i="21"/>
  <c r="AL24" i="21"/>
  <c r="AL56" i="21"/>
  <c r="AL41" i="21"/>
  <c r="AL25" i="21"/>
  <c r="AL21" i="21"/>
  <c r="AL14" i="21"/>
  <c r="AL9" i="21"/>
  <c r="AL18" i="21"/>
  <c r="AL44" i="21"/>
  <c r="AL36" i="21"/>
  <c r="AL47" i="21"/>
  <c r="AL28" i="21"/>
  <c r="AL22" i="21"/>
  <c r="AL58" i="21"/>
  <c r="AL30" i="21"/>
  <c r="AL45" i="21"/>
  <c r="AL29" i="21"/>
  <c r="AL15" i="21"/>
  <c r="AL11" i="21"/>
  <c r="AL20" i="21"/>
  <c r="AL42" i="21"/>
  <c r="R90" i="21"/>
  <c r="AS90" i="21"/>
  <c r="S86" i="21"/>
  <c r="AH86" i="21"/>
  <c r="Q86" i="21"/>
  <c r="S40" i="21"/>
  <c r="AM40" i="21"/>
  <c r="AQ40" i="21"/>
  <c r="AH40" i="21"/>
  <c r="AA85" i="21"/>
  <c r="AB85" i="21" s="1"/>
  <c r="S75" i="21"/>
  <c r="AH75" i="21"/>
  <c r="Q75" i="21"/>
  <c r="S69" i="21"/>
  <c r="Q69" i="21"/>
  <c r="AH69" i="21"/>
  <c r="S60" i="21"/>
  <c r="Q60" i="21"/>
  <c r="AH60" i="21"/>
  <c r="S31" i="21"/>
  <c r="AM31" i="21"/>
  <c r="AQ31" i="21"/>
  <c r="Q31" i="21"/>
  <c r="AA31" i="21"/>
  <c r="AB31" i="21" s="1"/>
  <c r="AJ31" i="21"/>
  <c r="S48" i="21"/>
  <c r="AH48" i="21"/>
  <c r="AJ48" i="21"/>
  <c r="AK48" i="21" s="1"/>
  <c r="AQ48" i="21"/>
  <c r="Q48" i="21"/>
  <c r="AA48" i="21"/>
  <c r="AB48" i="21" s="1"/>
  <c r="S33" i="21"/>
  <c r="AM33" i="21"/>
  <c r="AA33" i="21"/>
  <c r="AB33" i="21" s="1"/>
  <c r="AJ33" i="21"/>
  <c r="AQ33" i="21"/>
  <c r="Q33" i="21"/>
  <c r="S16" i="21"/>
  <c r="AM16" i="21"/>
  <c r="AQ16" i="21"/>
  <c r="Q16" i="21"/>
  <c r="AA16" i="21"/>
  <c r="AB16" i="21" s="1"/>
  <c r="AJ16" i="21"/>
  <c r="S12" i="21"/>
  <c r="AM12" i="21"/>
  <c r="AQ12" i="21"/>
  <c r="Q12" i="21"/>
  <c r="AA12" i="21"/>
  <c r="AB12" i="21" s="1"/>
  <c r="AJ12" i="21"/>
  <c r="AA92" i="21"/>
  <c r="AB92" i="21" s="1"/>
  <c r="S96" i="21"/>
  <c r="AH96" i="21"/>
  <c r="Q96" i="21"/>
  <c r="AA100" i="21"/>
  <c r="AB100" i="21" s="1"/>
  <c r="S104" i="21"/>
  <c r="AH104" i="21"/>
  <c r="Q104" i="21"/>
  <c r="AA108" i="21"/>
  <c r="AB108" i="21" s="1"/>
  <c r="S79" i="21"/>
  <c r="Q79" i="21"/>
  <c r="AH79" i="21"/>
  <c r="AA88" i="21"/>
  <c r="AB88" i="21" s="1"/>
  <c r="S80" i="21"/>
  <c r="AH80" i="21"/>
  <c r="Q80" i="21"/>
  <c r="S49" i="21"/>
  <c r="AQ49" i="21"/>
  <c r="AH49" i="21"/>
  <c r="AJ49" i="21"/>
  <c r="AK49" i="21" s="1"/>
  <c r="AF36" i="21"/>
  <c r="S54" i="21"/>
  <c r="AH54" i="21"/>
  <c r="AJ54" i="21"/>
  <c r="AK54" i="21" s="1"/>
  <c r="AQ54" i="21"/>
  <c r="Q54" i="21"/>
  <c r="AA54" i="21"/>
  <c r="AB54" i="21" s="1"/>
  <c r="AJ39" i="21"/>
  <c r="AK39" i="21" s="1"/>
  <c r="Q39" i="21"/>
  <c r="AA87" i="21"/>
  <c r="AB87" i="21" s="1"/>
  <c r="S77" i="21"/>
  <c r="AH77" i="21"/>
  <c r="Q77" i="21"/>
  <c r="S65" i="21"/>
  <c r="Q65" i="21"/>
  <c r="AH65" i="21"/>
  <c r="S38" i="21"/>
  <c r="AM38" i="21"/>
  <c r="AQ38" i="21"/>
  <c r="AH38" i="21"/>
  <c r="S52" i="21"/>
  <c r="AH52" i="21"/>
  <c r="AJ52" i="21"/>
  <c r="AK52" i="21" s="1"/>
  <c r="AQ52" i="21"/>
  <c r="Q52" i="21"/>
  <c r="AA52" i="21"/>
  <c r="AB52" i="21" s="1"/>
  <c r="AJ37" i="21"/>
  <c r="AK37" i="21" s="1"/>
  <c r="Q37" i="21"/>
  <c r="S23" i="21"/>
  <c r="AM23" i="21"/>
  <c r="AA23" i="21"/>
  <c r="AB23" i="21" s="1"/>
  <c r="AJ23" i="21"/>
  <c r="AQ23" i="21"/>
  <c r="Q23" i="21"/>
  <c r="S19" i="21"/>
  <c r="AM19" i="21"/>
  <c r="AQ19" i="21"/>
  <c r="Q19" i="21"/>
  <c r="AA19" i="21"/>
  <c r="AB19" i="21" s="1"/>
  <c r="AJ19" i="21"/>
  <c r="S13" i="21"/>
  <c r="AM13" i="21"/>
  <c r="AQ13" i="21"/>
  <c r="Q13" i="21"/>
  <c r="AA13" i="21"/>
  <c r="AB13" i="21" s="1"/>
  <c r="AJ13" i="21"/>
  <c r="AA91" i="21"/>
  <c r="AB91" i="21" s="1"/>
  <c r="S95" i="21"/>
  <c r="AH95" i="21"/>
  <c r="Q95" i="21"/>
  <c r="AA99" i="21"/>
  <c r="AB99" i="21" s="1"/>
  <c r="S103" i="21"/>
  <c r="AH103" i="21"/>
  <c r="Q103" i="21"/>
  <c r="AA107" i="21"/>
  <c r="AB107" i="21" s="1"/>
  <c r="S78" i="21"/>
  <c r="Q78" i="21"/>
  <c r="AH78" i="21"/>
  <c r="R183" i="20"/>
  <c r="T183" i="20" s="1"/>
  <c r="BI183" i="20" s="1"/>
  <c r="AS183" i="20"/>
  <c r="AG116" i="20"/>
  <c r="AI116" i="20" s="1"/>
  <c r="AV116" i="20"/>
  <c r="BL116" i="20" s="1"/>
  <c r="AF86" i="21"/>
  <c r="AF40" i="21"/>
  <c r="S26" i="21"/>
  <c r="AM26" i="21"/>
  <c r="AQ26" i="21"/>
  <c r="Q26" i="21"/>
  <c r="AA26" i="21"/>
  <c r="AB26" i="21" s="1"/>
  <c r="AA69" i="21"/>
  <c r="AB69" i="21" s="1"/>
  <c r="AE69" i="21" s="1"/>
  <c r="AA60" i="21"/>
  <c r="AB60" i="21" s="1"/>
  <c r="AF48" i="21"/>
  <c r="S41" i="21"/>
  <c r="AM41" i="21"/>
  <c r="AQ41" i="21"/>
  <c r="AH41" i="21"/>
  <c r="AA51" i="21"/>
  <c r="AB51" i="21" s="1"/>
  <c r="AF96" i="21"/>
  <c r="AF104" i="21"/>
  <c r="AA73" i="21"/>
  <c r="AB73" i="21" s="1"/>
  <c r="AF79" i="21"/>
  <c r="AF80" i="21"/>
  <c r="AA49" i="21"/>
  <c r="AB49" i="21" s="1"/>
  <c r="AF54" i="21"/>
  <c r="AF39" i="21"/>
  <c r="S28" i="21"/>
  <c r="AM28" i="21"/>
  <c r="AQ28" i="21"/>
  <c r="Q28" i="21"/>
  <c r="AA28" i="21"/>
  <c r="AB28" i="21" s="1"/>
  <c r="AA65" i="21"/>
  <c r="AB65" i="21" s="1"/>
  <c r="Q38" i="21"/>
  <c r="AJ38" i="21"/>
  <c r="AK38" i="21" s="1"/>
  <c r="AF52" i="21"/>
  <c r="AF37" i="21"/>
  <c r="S29" i="21"/>
  <c r="AM29" i="21"/>
  <c r="AQ29" i="21"/>
  <c r="Q29" i="21"/>
  <c r="AA29" i="21"/>
  <c r="AB29" i="21" s="1"/>
  <c r="AA71" i="21"/>
  <c r="AB71" i="21" s="1"/>
  <c r="AF78" i="21"/>
  <c r="AA38" i="21"/>
  <c r="AB38" i="21" s="1"/>
  <c r="AA37" i="21"/>
  <c r="AB37" i="21" s="1"/>
  <c r="C79" i="21"/>
  <c r="B79" i="21" s="1"/>
  <c r="B80" i="21" s="1"/>
  <c r="B70" i="21"/>
  <c r="AJ35" i="21"/>
  <c r="AK35" i="21" s="1"/>
  <c r="Q35" i="21"/>
  <c r="S50" i="21"/>
  <c r="AH50" i="21"/>
  <c r="AJ50" i="21"/>
  <c r="AK50" i="21" s="1"/>
  <c r="AQ50" i="21"/>
  <c r="Q50" i="21"/>
  <c r="AA50" i="21"/>
  <c r="AB50" i="21" s="1"/>
  <c r="S34" i="21"/>
  <c r="AM34" i="21"/>
  <c r="AA34" i="21"/>
  <c r="AB34" i="21" s="1"/>
  <c r="AJ34" i="21"/>
  <c r="AQ34" i="21"/>
  <c r="Q34" i="21"/>
  <c r="AK26" i="21"/>
  <c r="S85" i="21"/>
  <c r="AH85" i="21"/>
  <c r="Q85" i="21"/>
  <c r="S64" i="21"/>
  <c r="Q64" i="21"/>
  <c r="AH64" i="21"/>
  <c r="AG56" i="21"/>
  <c r="S10" i="21"/>
  <c r="AM10" i="21"/>
  <c r="AA10" i="21"/>
  <c r="AB10" i="21" s="1"/>
  <c r="AJ10" i="21"/>
  <c r="AQ10" i="21"/>
  <c r="Q10" i="21"/>
  <c r="S32" i="21"/>
  <c r="AM32" i="21"/>
  <c r="AQ32" i="21"/>
  <c r="Q32" i="21"/>
  <c r="AA32" i="21"/>
  <c r="AB32" i="21" s="1"/>
  <c r="AJ32" i="21"/>
  <c r="S51" i="21"/>
  <c r="AQ51" i="21"/>
  <c r="AH51" i="21"/>
  <c r="AJ51" i="21"/>
  <c r="AK51" i="21" s="1"/>
  <c r="S92" i="21"/>
  <c r="AH92" i="21"/>
  <c r="Q92" i="21"/>
  <c r="AA96" i="21"/>
  <c r="AB96" i="21" s="1"/>
  <c r="S100" i="21"/>
  <c r="AH100" i="21"/>
  <c r="Q100" i="21"/>
  <c r="AA104" i="21"/>
  <c r="AB104" i="21" s="1"/>
  <c r="S108" i="21"/>
  <c r="AH108" i="21"/>
  <c r="Q108" i="21"/>
  <c r="S73" i="21"/>
  <c r="Q73" i="21"/>
  <c r="AH73" i="21"/>
  <c r="S88" i="21"/>
  <c r="AH88" i="21"/>
  <c r="Q88" i="21"/>
  <c r="AA80" i="21"/>
  <c r="AB80" i="21" s="1"/>
  <c r="AJ36" i="21"/>
  <c r="AK36" i="21" s="1"/>
  <c r="Q36" i="21"/>
  <c r="S27" i="21"/>
  <c r="AM27" i="21"/>
  <c r="AQ27" i="21"/>
  <c r="Q27" i="21"/>
  <c r="AA27" i="21"/>
  <c r="AB27" i="21" s="1"/>
  <c r="AJ27" i="21"/>
  <c r="S39" i="21"/>
  <c r="AM39" i="21"/>
  <c r="AH39" i="21"/>
  <c r="AQ39" i="21"/>
  <c r="AK28" i="21"/>
  <c r="S87" i="21"/>
  <c r="AH87" i="21"/>
  <c r="Q87" i="21"/>
  <c r="S61" i="21"/>
  <c r="Q61" i="21"/>
  <c r="AH61" i="21"/>
  <c r="S37" i="21"/>
  <c r="AM37" i="21"/>
  <c r="AH37" i="21"/>
  <c r="AQ37" i="21"/>
  <c r="AK29" i="21"/>
  <c r="S17" i="21"/>
  <c r="AM17" i="21"/>
  <c r="AA17" i="21"/>
  <c r="AB17" i="21" s="1"/>
  <c r="AJ17" i="21"/>
  <c r="AQ17" i="21"/>
  <c r="Q17" i="21"/>
  <c r="AJ42" i="21"/>
  <c r="AK42" i="21" s="1"/>
  <c r="Q42" i="21"/>
  <c r="S46" i="21"/>
  <c r="AQ46" i="21"/>
  <c r="AH46" i="21"/>
  <c r="AJ46" i="21"/>
  <c r="AK46" i="21" s="1"/>
  <c r="S91" i="21"/>
  <c r="AH91" i="21"/>
  <c r="Q91" i="21"/>
  <c r="AA95" i="21"/>
  <c r="AB95" i="21" s="1"/>
  <c r="S99" i="21"/>
  <c r="AH99" i="21"/>
  <c r="Q99" i="21"/>
  <c r="AA103" i="21"/>
  <c r="AB103" i="21" s="1"/>
  <c r="S107" i="21"/>
  <c r="AH107" i="21"/>
  <c r="Q107" i="21"/>
  <c r="S71" i="21"/>
  <c r="Q71" i="21"/>
  <c r="AH71" i="21"/>
  <c r="Q40" i="21"/>
  <c r="AJ40" i="21"/>
  <c r="AK40" i="21" s="1"/>
  <c r="AF50" i="21"/>
  <c r="Y85" i="21"/>
  <c r="Z85" i="21" s="1"/>
  <c r="AF75" i="21"/>
  <c r="AF69" i="21"/>
  <c r="AA64" i="21"/>
  <c r="AB64" i="21" s="1"/>
  <c r="AF60" i="21"/>
  <c r="Q41" i="21"/>
  <c r="AA41" i="21"/>
  <c r="AB41" i="21" s="1"/>
  <c r="S25" i="21"/>
  <c r="AM25" i="21"/>
  <c r="AQ25" i="21"/>
  <c r="Q25" i="21"/>
  <c r="AA25" i="21"/>
  <c r="AB25" i="21" s="1"/>
  <c r="S18" i="21"/>
  <c r="AM18" i="21"/>
  <c r="AQ18" i="21"/>
  <c r="Q18" i="21"/>
  <c r="AA18" i="21"/>
  <c r="AB18" i="21" s="1"/>
  <c r="AF51" i="21"/>
  <c r="AF92" i="21"/>
  <c r="AF100" i="21"/>
  <c r="AF108" i="21"/>
  <c r="AF73" i="21"/>
  <c r="AA79" i="21"/>
  <c r="AB79" i="21" s="1"/>
  <c r="AF88" i="21"/>
  <c r="AF49" i="21"/>
  <c r="AF77" i="21"/>
  <c r="AF65" i="21"/>
  <c r="AA61" i="21"/>
  <c r="AB61" i="21" s="1"/>
  <c r="AF38" i="21"/>
  <c r="S20" i="21"/>
  <c r="AM20" i="21"/>
  <c r="AQ20" i="21"/>
  <c r="Q20" i="21"/>
  <c r="AA20" i="21"/>
  <c r="AB20" i="21" s="1"/>
  <c r="AA46" i="21"/>
  <c r="AB46" i="21" s="1"/>
  <c r="AF95" i="21"/>
  <c r="AF103" i="21"/>
  <c r="AF71" i="21"/>
  <c r="AA78" i="21"/>
  <c r="AB78" i="21" s="1"/>
  <c r="AA35" i="21"/>
  <c r="AB35" i="21" s="1"/>
  <c r="AA39" i="21"/>
  <c r="AB39" i="21" s="1"/>
  <c r="Q46" i="21"/>
  <c r="AF41" i="21"/>
  <c r="Q49" i="21"/>
  <c r="AA42" i="21"/>
  <c r="AB42" i="21" s="1"/>
  <c r="AF203" i="20"/>
  <c r="AG203" i="20" s="1"/>
  <c r="AA161" i="20"/>
  <c r="AB161" i="20" s="1"/>
  <c r="AF134" i="20"/>
  <c r="AG134" i="20" s="1"/>
  <c r="AF208" i="20"/>
  <c r="AG208" i="20" s="1"/>
  <c r="AF150" i="20"/>
  <c r="AG150" i="20" s="1"/>
  <c r="AF117" i="20"/>
  <c r="AG117" i="20" s="1"/>
  <c r="AG183" i="20"/>
  <c r="AV183" i="20"/>
  <c r="BL183" i="20" s="1"/>
  <c r="R143" i="20"/>
  <c r="T143" i="20" s="1"/>
  <c r="AS143" i="20"/>
  <c r="AG167" i="20"/>
  <c r="R139" i="20"/>
  <c r="AS139" i="20"/>
  <c r="P61" i="20"/>
  <c r="AM61" i="20" s="1"/>
  <c r="AO83" i="20"/>
  <c r="AP83" i="20" s="1"/>
  <c r="AQ83" i="20"/>
  <c r="AO163" i="20"/>
  <c r="AP163" i="20" s="1"/>
  <c r="S163" i="20"/>
  <c r="U163" i="20"/>
  <c r="V163" i="20" s="1"/>
  <c r="W163" i="20" s="1"/>
  <c r="AD163" i="20"/>
  <c r="AF163" i="20"/>
  <c r="AA163" i="20"/>
  <c r="AB163" i="20" s="1"/>
  <c r="AH163" i="20"/>
  <c r="Q163" i="20"/>
  <c r="AF168" i="20"/>
  <c r="S202" i="20"/>
  <c r="U202" i="20"/>
  <c r="V202" i="20" s="1"/>
  <c r="W202" i="20" s="1"/>
  <c r="AD202" i="20"/>
  <c r="AH202" i="20"/>
  <c r="Q202" i="20"/>
  <c r="AO202" i="20"/>
  <c r="AP202" i="20" s="1"/>
  <c r="AF202" i="20"/>
  <c r="R118" i="20"/>
  <c r="T118" i="20" s="1"/>
  <c r="AS118" i="20"/>
  <c r="AH174" i="20"/>
  <c r="S174" i="20"/>
  <c r="AD174" i="20"/>
  <c r="U174" i="20"/>
  <c r="V174" i="20" s="1"/>
  <c r="W174" i="20" s="1"/>
  <c r="AA174" i="20"/>
  <c r="AB174" i="20" s="1"/>
  <c r="Q174" i="20"/>
  <c r="AO174" i="20"/>
  <c r="AP174" i="20" s="1"/>
  <c r="AF174" i="20"/>
  <c r="S141" i="20"/>
  <c r="AD141" i="20"/>
  <c r="U141" i="20"/>
  <c r="V141" i="20" s="1"/>
  <c r="W141" i="20" s="1"/>
  <c r="Q141" i="20"/>
  <c r="AA141" i="20"/>
  <c r="AB141" i="20" s="1"/>
  <c r="AH141" i="20"/>
  <c r="AF141" i="20"/>
  <c r="AO141" i="20"/>
  <c r="AP141" i="20" s="1"/>
  <c r="S157" i="20"/>
  <c r="U157" i="20"/>
  <c r="V157" i="20" s="1"/>
  <c r="W157" i="20" s="1"/>
  <c r="AD157" i="20"/>
  <c r="AA157" i="20"/>
  <c r="AB157" i="20" s="1"/>
  <c r="AO157" i="20"/>
  <c r="AP157" i="20" s="1"/>
  <c r="AH157" i="20"/>
  <c r="Q157" i="20"/>
  <c r="AF157" i="20"/>
  <c r="S140" i="20"/>
  <c r="AD140" i="20"/>
  <c r="U140" i="20"/>
  <c r="V140" i="20" s="1"/>
  <c r="W140" i="20" s="1"/>
  <c r="AH140" i="20"/>
  <c r="AF140" i="20"/>
  <c r="AA140" i="20"/>
  <c r="AB140" i="20" s="1"/>
  <c r="AO140" i="20"/>
  <c r="AP140" i="20" s="1"/>
  <c r="Q140" i="20"/>
  <c r="AG155" i="20"/>
  <c r="AI155" i="20" s="1"/>
  <c r="BF155" i="20" s="1"/>
  <c r="AV155" i="20"/>
  <c r="BL155" i="20" s="1"/>
  <c r="Q165" i="20"/>
  <c r="S165" i="20"/>
  <c r="AD165" i="20"/>
  <c r="U165" i="20"/>
  <c r="V165" i="20" s="1"/>
  <c r="W165" i="20" s="1"/>
  <c r="AO165" i="20"/>
  <c r="AP165" i="20" s="1"/>
  <c r="AA165" i="20"/>
  <c r="AB165" i="20" s="1"/>
  <c r="AH165" i="20"/>
  <c r="S113" i="20"/>
  <c r="U113" i="20"/>
  <c r="V113" i="20" s="1"/>
  <c r="W113" i="20" s="1"/>
  <c r="AD113" i="20"/>
  <c r="AO113" i="20"/>
  <c r="AP113" i="20" s="1"/>
  <c r="AF113" i="20"/>
  <c r="AH113" i="20"/>
  <c r="Q113" i="20"/>
  <c r="AA113" i="20"/>
  <c r="AB113" i="20" s="1"/>
  <c r="S187" i="20"/>
  <c r="U187" i="20"/>
  <c r="V187" i="20" s="1"/>
  <c r="W187" i="20" s="1"/>
  <c r="AD187" i="20"/>
  <c r="AF187" i="20"/>
  <c r="AH187" i="20"/>
  <c r="Q187" i="20"/>
  <c r="AA187" i="20"/>
  <c r="AB187" i="20" s="1"/>
  <c r="AO187" i="20"/>
  <c r="AP187" i="20" s="1"/>
  <c r="Q176" i="20"/>
  <c r="S176" i="20"/>
  <c r="AD176" i="20"/>
  <c r="U176" i="20"/>
  <c r="V176" i="20" s="1"/>
  <c r="W176" i="20" s="1"/>
  <c r="AH176" i="20"/>
  <c r="AA176" i="20"/>
  <c r="AB176" i="20" s="1"/>
  <c r="AO176" i="20"/>
  <c r="AP176" i="20" s="1"/>
  <c r="AH184" i="20"/>
  <c r="S184" i="20"/>
  <c r="U184" i="20"/>
  <c r="V184" i="20" s="1"/>
  <c r="W184" i="20" s="1"/>
  <c r="AD184" i="20"/>
  <c r="AO184" i="20"/>
  <c r="AP184" i="20" s="1"/>
  <c r="Q184" i="20"/>
  <c r="AF184" i="20"/>
  <c r="AA184" i="20"/>
  <c r="AB184" i="20" s="1"/>
  <c r="S110" i="20"/>
  <c r="U110" i="20"/>
  <c r="V110" i="20" s="1"/>
  <c r="W110" i="20" s="1"/>
  <c r="AD110" i="20"/>
  <c r="AF110" i="20"/>
  <c r="Q110" i="20"/>
  <c r="AO110" i="20"/>
  <c r="AP110" i="20" s="1"/>
  <c r="AA110" i="20"/>
  <c r="AB110" i="20" s="1"/>
  <c r="AH110" i="20"/>
  <c r="S126" i="20"/>
  <c r="U126" i="20"/>
  <c r="V126" i="20" s="1"/>
  <c r="W126" i="20" s="1"/>
  <c r="AD126" i="20"/>
  <c r="AH126" i="20"/>
  <c r="AO126" i="20"/>
  <c r="AP126" i="20" s="1"/>
  <c r="AA126" i="20"/>
  <c r="AB126" i="20" s="1"/>
  <c r="Q126" i="20"/>
  <c r="AF126" i="20"/>
  <c r="S125" i="20"/>
  <c r="AD125" i="20"/>
  <c r="U125" i="20"/>
  <c r="V125" i="20" s="1"/>
  <c r="W125" i="20" s="1"/>
  <c r="AA125" i="20"/>
  <c r="AB125" i="20" s="1"/>
  <c r="AO125" i="20"/>
  <c r="AP125" i="20" s="1"/>
  <c r="AF125" i="20"/>
  <c r="AH125" i="20"/>
  <c r="Q125" i="20"/>
  <c r="S133" i="20"/>
  <c r="U133" i="20"/>
  <c r="V133" i="20" s="1"/>
  <c r="W133" i="20" s="1"/>
  <c r="AD133" i="20"/>
  <c r="AF133" i="20"/>
  <c r="AO133" i="20"/>
  <c r="AP133" i="20" s="1"/>
  <c r="AH133" i="20"/>
  <c r="AA133" i="20"/>
  <c r="AB133" i="20" s="1"/>
  <c r="Q133" i="20"/>
  <c r="S149" i="20"/>
  <c r="U149" i="20"/>
  <c r="V149" i="20" s="1"/>
  <c r="W149" i="20" s="1"/>
  <c r="AD149" i="20"/>
  <c r="AA149" i="20"/>
  <c r="AB149" i="20" s="1"/>
  <c r="AO149" i="20"/>
  <c r="AP149" i="20" s="1"/>
  <c r="AH149" i="20"/>
  <c r="AF149" i="20"/>
  <c r="Q149" i="20"/>
  <c r="S119" i="20"/>
  <c r="U119" i="20"/>
  <c r="V119" i="20" s="1"/>
  <c r="W119" i="20" s="1"/>
  <c r="AD119" i="20"/>
  <c r="AO119" i="20"/>
  <c r="AP119" i="20" s="1"/>
  <c r="Q119" i="20"/>
  <c r="AH119" i="20"/>
  <c r="S209" i="20"/>
  <c r="U209" i="20"/>
  <c r="V209" i="20" s="1"/>
  <c r="W209" i="20" s="1"/>
  <c r="AD209" i="20"/>
  <c r="AH209" i="20"/>
  <c r="AO209" i="20"/>
  <c r="AP209" i="20" s="1"/>
  <c r="AF209" i="20"/>
  <c r="Q209" i="20"/>
  <c r="R173" i="20"/>
  <c r="AS173" i="20"/>
  <c r="S200" i="20"/>
  <c r="U200" i="20"/>
  <c r="V200" i="20" s="1"/>
  <c r="W200" i="20" s="1"/>
  <c r="AD200" i="20"/>
  <c r="AH200" i="20"/>
  <c r="AO200" i="20"/>
  <c r="AP200" i="20" s="1"/>
  <c r="Q200" i="20"/>
  <c r="S177" i="20"/>
  <c r="U177" i="20"/>
  <c r="V177" i="20" s="1"/>
  <c r="W177" i="20" s="1"/>
  <c r="AD177" i="20"/>
  <c r="AH177" i="20"/>
  <c r="AO177" i="20"/>
  <c r="AP177" i="20" s="1"/>
  <c r="AF177" i="20"/>
  <c r="Q177" i="20"/>
  <c r="S186" i="20"/>
  <c r="AD186" i="20"/>
  <c r="U186" i="20"/>
  <c r="V186" i="20" s="1"/>
  <c r="W186" i="20" s="1"/>
  <c r="Q186" i="20"/>
  <c r="AH186" i="20"/>
  <c r="AO186" i="20"/>
  <c r="AP186" i="20" s="1"/>
  <c r="AF186" i="20"/>
  <c r="S194" i="20"/>
  <c r="AD194" i="20"/>
  <c r="U194" i="20"/>
  <c r="V194" i="20" s="1"/>
  <c r="W194" i="20" s="1"/>
  <c r="Q194" i="20"/>
  <c r="AO194" i="20"/>
  <c r="AP194" i="20" s="1"/>
  <c r="AH194" i="20"/>
  <c r="AA194" i="20"/>
  <c r="AB194" i="20" s="1"/>
  <c r="S132" i="20"/>
  <c r="AD132" i="20"/>
  <c r="U132" i="20"/>
  <c r="V132" i="20" s="1"/>
  <c r="W132" i="20" s="1"/>
  <c r="Q132" i="20"/>
  <c r="AO132" i="20"/>
  <c r="AP132" i="20" s="1"/>
  <c r="AF132" i="20"/>
  <c r="AH132" i="20"/>
  <c r="X165" i="20"/>
  <c r="Y165" i="20" s="1"/>
  <c r="Z165" i="20" s="1"/>
  <c r="S198" i="20"/>
  <c r="AD198" i="20"/>
  <c r="U198" i="20"/>
  <c r="V198" i="20" s="1"/>
  <c r="W198" i="20" s="1"/>
  <c r="AO198" i="20"/>
  <c r="AP198" i="20" s="1"/>
  <c r="AH198" i="20"/>
  <c r="Q198" i="20"/>
  <c r="S122" i="20"/>
  <c r="U122" i="20"/>
  <c r="V122" i="20" s="1"/>
  <c r="W122" i="20" s="1"/>
  <c r="AD122" i="20"/>
  <c r="AO122" i="20"/>
  <c r="AP122" i="20" s="1"/>
  <c r="AF122" i="20"/>
  <c r="AH122" i="20"/>
  <c r="Q122" i="20"/>
  <c r="S130" i="20"/>
  <c r="AD130" i="20"/>
  <c r="U130" i="20"/>
  <c r="V130" i="20" s="1"/>
  <c r="W130" i="20" s="1"/>
  <c r="Q130" i="20"/>
  <c r="AH130" i="20"/>
  <c r="AO130" i="20"/>
  <c r="AP130" i="20" s="1"/>
  <c r="AA130" i="20"/>
  <c r="AB130" i="20" s="1"/>
  <c r="S146" i="20"/>
  <c r="AD146" i="20"/>
  <c r="U146" i="20"/>
  <c r="V146" i="20" s="1"/>
  <c r="W146" i="20" s="1"/>
  <c r="Q146" i="20"/>
  <c r="AO146" i="20"/>
  <c r="AP146" i="20" s="1"/>
  <c r="AH146" i="20"/>
  <c r="S162" i="20"/>
  <c r="AD162" i="20"/>
  <c r="U162" i="20"/>
  <c r="V162" i="20" s="1"/>
  <c r="W162" i="20" s="1"/>
  <c r="AO162" i="20"/>
  <c r="AP162" i="20" s="1"/>
  <c r="Q162" i="20"/>
  <c r="AH162" i="20"/>
  <c r="S178" i="20"/>
  <c r="AD178" i="20"/>
  <c r="U178" i="20"/>
  <c r="V178" i="20" s="1"/>
  <c r="W178" i="20" s="1"/>
  <c r="Q178" i="20"/>
  <c r="AA178" i="20"/>
  <c r="AB178" i="20" s="1"/>
  <c r="AH178" i="20"/>
  <c r="AO178" i="20"/>
  <c r="AP178" i="20" s="1"/>
  <c r="S137" i="20"/>
  <c r="U137" i="20"/>
  <c r="V137" i="20" s="1"/>
  <c r="W137" i="20" s="1"/>
  <c r="AD137" i="20"/>
  <c r="Q137" i="20"/>
  <c r="AH137" i="20"/>
  <c r="AF137" i="20"/>
  <c r="AO137" i="20"/>
  <c r="AP137" i="20" s="1"/>
  <c r="S120" i="20"/>
  <c r="U120" i="20"/>
  <c r="V120" i="20" s="1"/>
  <c r="W120" i="20" s="1"/>
  <c r="AD120" i="20"/>
  <c r="AH120" i="20"/>
  <c r="AO120" i="20"/>
  <c r="AP120" i="20" s="1"/>
  <c r="AA120" i="20"/>
  <c r="AB120" i="20" s="1"/>
  <c r="Q120" i="20"/>
  <c r="S136" i="20"/>
  <c r="AD136" i="20"/>
  <c r="U136" i="20"/>
  <c r="V136" i="20" s="1"/>
  <c r="W136" i="20" s="1"/>
  <c r="AO136" i="20"/>
  <c r="AP136" i="20" s="1"/>
  <c r="Q136" i="20"/>
  <c r="AH136" i="20"/>
  <c r="AA136" i="20"/>
  <c r="AB136" i="20" s="1"/>
  <c r="X176" i="20"/>
  <c r="Y176" i="20" s="1"/>
  <c r="Z176" i="20" s="1"/>
  <c r="S127" i="20"/>
  <c r="U127" i="20"/>
  <c r="V127" i="20" s="1"/>
  <c r="W127" i="20" s="1"/>
  <c r="AD127" i="20"/>
  <c r="AO127" i="20"/>
  <c r="AP127" i="20" s="1"/>
  <c r="AH127" i="20"/>
  <c r="AF127" i="20"/>
  <c r="AA127" i="20"/>
  <c r="AB127" i="20" s="1"/>
  <c r="Q127" i="20"/>
  <c r="S201" i="20"/>
  <c r="AD201" i="20"/>
  <c r="U201" i="20"/>
  <c r="V201" i="20" s="1"/>
  <c r="W201" i="20" s="1"/>
  <c r="AH201" i="20"/>
  <c r="AO201" i="20"/>
  <c r="AP201" i="20" s="1"/>
  <c r="Q201" i="20"/>
  <c r="AA201" i="20"/>
  <c r="AB201" i="20" s="1"/>
  <c r="AH148" i="20"/>
  <c r="S148" i="20"/>
  <c r="U148" i="20"/>
  <c r="V148" i="20" s="1"/>
  <c r="W148" i="20" s="1"/>
  <c r="AD148" i="20"/>
  <c r="AO148" i="20"/>
  <c r="AP148" i="20" s="1"/>
  <c r="AF148" i="20"/>
  <c r="AA148" i="20"/>
  <c r="AB148" i="20" s="1"/>
  <c r="Q148" i="20"/>
  <c r="S123" i="20"/>
  <c r="AD123" i="20"/>
  <c r="U123" i="20"/>
  <c r="V123" i="20" s="1"/>
  <c r="W123" i="20" s="1"/>
  <c r="AF123" i="20"/>
  <c r="Q123" i="20"/>
  <c r="AO123" i="20"/>
  <c r="AP123" i="20" s="1"/>
  <c r="AA123" i="20"/>
  <c r="AB123" i="20" s="1"/>
  <c r="AH123" i="20"/>
  <c r="S131" i="20"/>
  <c r="AD131" i="20"/>
  <c r="U131" i="20"/>
  <c r="V131" i="20" s="1"/>
  <c r="W131" i="20" s="1"/>
  <c r="AH131" i="20"/>
  <c r="AO131" i="20"/>
  <c r="AP131" i="20" s="1"/>
  <c r="Q131" i="20"/>
  <c r="AF131" i="20"/>
  <c r="AA131" i="20"/>
  <c r="AB131" i="20" s="1"/>
  <c r="S147" i="20"/>
  <c r="AD147" i="20"/>
  <c r="U147" i="20"/>
  <c r="V147" i="20" s="1"/>
  <c r="W147" i="20" s="1"/>
  <c r="AO147" i="20"/>
  <c r="AP147" i="20" s="1"/>
  <c r="AF147" i="20"/>
  <c r="Q147" i="20"/>
  <c r="AH147" i="20"/>
  <c r="AA147" i="20"/>
  <c r="AB147" i="20" s="1"/>
  <c r="S197" i="20"/>
  <c r="U197" i="20"/>
  <c r="V197" i="20" s="1"/>
  <c r="W197" i="20" s="1"/>
  <c r="AD197" i="20"/>
  <c r="AA197" i="20"/>
  <c r="AB197" i="20" s="1"/>
  <c r="AF197" i="20"/>
  <c r="AH197" i="20"/>
  <c r="AO197" i="20"/>
  <c r="AP197" i="20" s="1"/>
  <c r="Q197" i="20"/>
  <c r="S205" i="20"/>
  <c r="AD205" i="20"/>
  <c r="U205" i="20"/>
  <c r="V205" i="20" s="1"/>
  <c r="W205" i="20" s="1"/>
  <c r="AH205" i="20"/>
  <c r="Q205" i="20"/>
  <c r="AA205" i="20"/>
  <c r="AB205" i="20" s="1"/>
  <c r="AF205" i="20"/>
  <c r="AO205" i="20"/>
  <c r="AP205" i="20" s="1"/>
  <c r="S207" i="20"/>
  <c r="AD207" i="20"/>
  <c r="U207" i="20"/>
  <c r="V207" i="20" s="1"/>
  <c r="W207" i="20" s="1"/>
  <c r="AA207" i="20"/>
  <c r="AB207" i="20" s="1"/>
  <c r="AF207" i="20"/>
  <c r="Q207" i="20"/>
  <c r="AH207" i="20"/>
  <c r="AO207" i="20"/>
  <c r="AP207" i="20" s="1"/>
  <c r="S203" i="20"/>
  <c r="U203" i="20"/>
  <c r="V203" i="20" s="1"/>
  <c r="W203" i="20" s="1"/>
  <c r="AD203" i="20"/>
  <c r="Q203" i="20"/>
  <c r="AH203" i="20"/>
  <c r="AO203" i="20"/>
  <c r="AP203" i="20" s="1"/>
  <c r="AA134" i="20"/>
  <c r="AB134" i="20" s="1"/>
  <c r="R171" i="20"/>
  <c r="T171" i="20" s="1"/>
  <c r="AS171" i="20"/>
  <c r="AJ83" i="20"/>
  <c r="AK83" i="20" s="1"/>
  <c r="S128" i="20"/>
  <c r="AD128" i="20"/>
  <c r="U128" i="20"/>
  <c r="V128" i="20" s="1"/>
  <c r="W128" i="20" s="1"/>
  <c r="AO128" i="20"/>
  <c r="AP128" i="20" s="1"/>
  <c r="Q128" i="20"/>
  <c r="AA128" i="20"/>
  <c r="AB128" i="20" s="1"/>
  <c r="AH128" i="20"/>
  <c r="AF128" i="20"/>
  <c r="S144" i="20"/>
  <c r="AD144" i="20"/>
  <c r="U144" i="20"/>
  <c r="V144" i="20" s="1"/>
  <c r="W144" i="20" s="1"/>
  <c r="AH144" i="20"/>
  <c r="AF144" i="20"/>
  <c r="AA144" i="20"/>
  <c r="AB144" i="20" s="1"/>
  <c r="AO144" i="20"/>
  <c r="AP144" i="20" s="1"/>
  <c r="Q144" i="20"/>
  <c r="Q168" i="20"/>
  <c r="S168" i="20"/>
  <c r="U168" i="20"/>
  <c r="V168" i="20" s="1"/>
  <c r="W168" i="20" s="1"/>
  <c r="AD168" i="20"/>
  <c r="AH168" i="20"/>
  <c r="AO168" i="20"/>
  <c r="AP168" i="20" s="1"/>
  <c r="AA168" i="20"/>
  <c r="AB168" i="20" s="1"/>
  <c r="S192" i="20"/>
  <c r="AD192" i="20"/>
  <c r="U192" i="20"/>
  <c r="V192" i="20" s="1"/>
  <c r="W192" i="20" s="1"/>
  <c r="AA192" i="20"/>
  <c r="AB192" i="20" s="1"/>
  <c r="AH192" i="20"/>
  <c r="AO192" i="20"/>
  <c r="AP192" i="20" s="1"/>
  <c r="AF192" i="20"/>
  <c r="Q192" i="20"/>
  <c r="S195" i="20"/>
  <c r="U195" i="20"/>
  <c r="V195" i="20" s="1"/>
  <c r="W195" i="20" s="1"/>
  <c r="AD195" i="20"/>
  <c r="AA195" i="20"/>
  <c r="AB195" i="20" s="1"/>
  <c r="AH195" i="20"/>
  <c r="AF195" i="20"/>
  <c r="Q195" i="20"/>
  <c r="AO195" i="20"/>
  <c r="AP195" i="20" s="1"/>
  <c r="S169" i="20"/>
  <c r="U169" i="20"/>
  <c r="V169" i="20" s="1"/>
  <c r="W169" i="20" s="1"/>
  <c r="AD169" i="20"/>
  <c r="AF169" i="20"/>
  <c r="Q169" i="20"/>
  <c r="AA169" i="20"/>
  <c r="AB169" i="20" s="1"/>
  <c r="AO169" i="20"/>
  <c r="AP169" i="20" s="1"/>
  <c r="AH169" i="20"/>
  <c r="S190" i="20"/>
  <c r="AD190" i="20"/>
  <c r="U190" i="20"/>
  <c r="V190" i="20" s="1"/>
  <c r="W190" i="20" s="1"/>
  <c r="AH190" i="20"/>
  <c r="Q190" i="20"/>
  <c r="AA190" i="20"/>
  <c r="AB190" i="20" s="1"/>
  <c r="AF190" i="20"/>
  <c r="AO190" i="20"/>
  <c r="AP190" i="20" s="1"/>
  <c r="S153" i="20"/>
  <c r="U153" i="20"/>
  <c r="V153" i="20" s="1"/>
  <c r="W153" i="20" s="1"/>
  <c r="AD153" i="20"/>
  <c r="AO153" i="20"/>
  <c r="AP153" i="20" s="1"/>
  <c r="AH153" i="20"/>
  <c r="Q153" i="20"/>
  <c r="AF153" i="20"/>
  <c r="AA153" i="20"/>
  <c r="AB153" i="20" s="1"/>
  <c r="Q160" i="20"/>
  <c r="S160" i="20"/>
  <c r="AD160" i="20"/>
  <c r="U160" i="20"/>
  <c r="V160" i="20" s="1"/>
  <c r="W160" i="20" s="1"/>
  <c r="AH160" i="20"/>
  <c r="AO160" i="20"/>
  <c r="AP160" i="20" s="1"/>
  <c r="AF160" i="20"/>
  <c r="S111" i="20"/>
  <c r="AD111" i="20"/>
  <c r="U111" i="20"/>
  <c r="V111" i="20" s="1"/>
  <c r="W111" i="20" s="1"/>
  <c r="AF111" i="20"/>
  <c r="AH111" i="20"/>
  <c r="AO111" i="20"/>
  <c r="AP111" i="20" s="1"/>
  <c r="AA111" i="20"/>
  <c r="AB111" i="20" s="1"/>
  <c r="Q111" i="20"/>
  <c r="S135" i="20"/>
  <c r="U135" i="20"/>
  <c r="V135" i="20" s="1"/>
  <c r="W135" i="20" s="1"/>
  <c r="AD135" i="20"/>
  <c r="Q135" i="20"/>
  <c r="AO135" i="20"/>
  <c r="AP135" i="20" s="1"/>
  <c r="AF135" i="20"/>
  <c r="AH135" i="20"/>
  <c r="AA135" i="20"/>
  <c r="AB135" i="20" s="1"/>
  <c r="S175" i="20"/>
  <c r="AD175" i="20"/>
  <c r="U175" i="20"/>
  <c r="V175" i="20" s="1"/>
  <c r="W175" i="20" s="1"/>
  <c r="Q175" i="20"/>
  <c r="AH175" i="20"/>
  <c r="AO175" i="20"/>
  <c r="AP175" i="20" s="1"/>
  <c r="AF175" i="20"/>
  <c r="S114" i="20"/>
  <c r="AD114" i="20"/>
  <c r="U114" i="20"/>
  <c r="V114" i="20" s="1"/>
  <c r="W114" i="20" s="1"/>
  <c r="Q114" i="20"/>
  <c r="AF114" i="20"/>
  <c r="AH114" i="20"/>
  <c r="AA114" i="20"/>
  <c r="AB114" i="20" s="1"/>
  <c r="AO114" i="20"/>
  <c r="AP114" i="20" s="1"/>
  <c r="S138" i="20"/>
  <c r="AD138" i="20"/>
  <c r="U138" i="20"/>
  <c r="V138" i="20" s="1"/>
  <c r="W138" i="20" s="1"/>
  <c r="AF138" i="20"/>
  <c r="AH138" i="20"/>
  <c r="Q138" i="20"/>
  <c r="AA138" i="20"/>
  <c r="AB138" i="20" s="1"/>
  <c r="AO138" i="20"/>
  <c r="AP138" i="20" s="1"/>
  <c r="S154" i="20"/>
  <c r="AD154" i="20"/>
  <c r="U154" i="20"/>
  <c r="V154" i="20" s="1"/>
  <c r="W154" i="20" s="1"/>
  <c r="AO154" i="20"/>
  <c r="AP154" i="20" s="1"/>
  <c r="AA154" i="20"/>
  <c r="AB154" i="20" s="1"/>
  <c r="AF154" i="20"/>
  <c r="Q154" i="20"/>
  <c r="AH154" i="20"/>
  <c r="S170" i="20"/>
  <c r="AD170" i="20"/>
  <c r="U170" i="20"/>
  <c r="V170" i="20" s="1"/>
  <c r="W170" i="20" s="1"/>
  <c r="AO170" i="20"/>
  <c r="AP170" i="20" s="1"/>
  <c r="AA170" i="20"/>
  <c r="AB170" i="20" s="1"/>
  <c r="AF170" i="20"/>
  <c r="Q170" i="20"/>
  <c r="AH170" i="20"/>
  <c r="S121" i="20"/>
  <c r="U121" i="20"/>
  <c r="V121" i="20" s="1"/>
  <c r="W121" i="20" s="1"/>
  <c r="AD121" i="20"/>
  <c r="AO121" i="20"/>
  <c r="AP121" i="20" s="1"/>
  <c r="AH121" i="20"/>
  <c r="AF121" i="20"/>
  <c r="AA121" i="20"/>
  <c r="AB121" i="20" s="1"/>
  <c r="Q121" i="20"/>
  <c r="S129" i="20"/>
  <c r="U129" i="20"/>
  <c r="V129" i="20" s="1"/>
  <c r="W129" i="20" s="1"/>
  <c r="AD129" i="20"/>
  <c r="AF129" i="20"/>
  <c r="Q129" i="20"/>
  <c r="AH129" i="20"/>
  <c r="AO129" i="20"/>
  <c r="AP129" i="20" s="1"/>
  <c r="AA129" i="20"/>
  <c r="AB129" i="20" s="1"/>
  <c r="S145" i="20"/>
  <c r="U145" i="20"/>
  <c r="V145" i="20" s="1"/>
  <c r="W145" i="20" s="1"/>
  <c r="AD145" i="20"/>
  <c r="AH145" i="20"/>
  <c r="AO145" i="20"/>
  <c r="AP145" i="20" s="1"/>
  <c r="Q145" i="20"/>
  <c r="AA145" i="20"/>
  <c r="AB145" i="20" s="1"/>
  <c r="AF145" i="20"/>
  <c r="S112" i="20"/>
  <c r="AD112" i="20"/>
  <c r="U112" i="20"/>
  <c r="V112" i="20" s="1"/>
  <c r="W112" i="20" s="1"/>
  <c r="AO112" i="20"/>
  <c r="AP112" i="20" s="1"/>
  <c r="AF112" i="20"/>
  <c r="AH112" i="20"/>
  <c r="Q112" i="20"/>
  <c r="X202" i="20"/>
  <c r="Y202" i="20" s="1"/>
  <c r="Z202" i="20" s="1"/>
  <c r="AG118" i="20"/>
  <c r="AV118" i="20"/>
  <c r="BL118" i="20" s="1"/>
  <c r="S142" i="20"/>
  <c r="U142" i="20"/>
  <c r="V142" i="20" s="1"/>
  <c r="W142" i="20" s="1"/>
  <c r="AD142" i="20"/>
  <c r="AH142" i="20"/>
  <c r="AO142" i="20"/>
  <c r="AP142" i="20" s="1"/>
  <c r="AA142" i="20"/>
  <c r="AB142" i="20" s="1"/>
  <c r="Q142" i="20"/>
  <c r="AH158" i="20"/>
  <c r="S158" i="20"/>
  <c r="AD158" i="20"/>
  <c r="U158" i="20"/>
  <c r="V158" i="20" s="1"/>
  <c r="W158" i="20" s="1"/>
  <c r="AO158" i="20"/>
  <c r="AP158" i="20" s="1"/>
  <c r="Q158" i="20"/>
  <c r="AA158" i="20"/>
  <c r="AB158" i="20" s="1"/>
  <c r="S189" i="20"/>
  <c r="AD189" i="20"/>
  <c r="U189" i="20"/>
  <c r="V189" i="20" s="1"/>
  <c r="W189" i="20" s="1"/>
  <c r="AH189" i="20"/>
  <c r="Q189" i="20"/>
  <c r="AO189" i="20"/>
  <c r="AP189" i="20" s="1"/>
  <c r="AF189" i="20"/>
  <c r="X160" i="20"/>
  <c r="Y160" i="20" s="1"/>
  <c r="Z160" i="20" s="1"/>
  <c r="X175" i="20"/>
  <c r="Y175" i="20" s="1"/>
  <c r="Z175" i="20" s="1"/>
  <c r="S185" i="20"/>
  <c r="U185" i="20"/>
  <c r="V185" i="20" s="1"/>
  <c r="W185" i="20" s="1"/>
  <c r="AD185" i="20"/>
  <c r="AH185" i="20"/>
  <c r="AO185" i="20"/>
  <c r="AP185" i="20" s="1"/>
  <c r="Q185" i="20"/>
  <c r="AG193" i="20"/>
  <c r="AI193" i="20" s="1"/>
  <c r="BF193" i="20" s="1"/>
  <c r="AV193" i="20"/>
  <c r="BL193" i="20" s="1"/>
  <c r="S124" i="20"/>
  <c r="U124" i="20"/>
  <c r="V124" i="20" s="1"/>
  <c r="W124" i="20" s="1"/>
  <c r="AD124" i="20"/>
  <c r="Q124" i="20"/>
  <c r="AA124" i="20"/>
  <c r="AB124" i="20" s="1"/>
  <c r="AO124" i="20"/>
  <c r="AP124" i="20" s="1"/>
  <c r="AH124" i="20"/>
  <c r="AF124" i="20"/>
  <c r="AH164" i="20"/>
  <c r="S164" i="20"/>
  <c r="U164" i="20"/>
  <c r="V164" i="20" s="1"/>
  <c r="W164" i="20" s="1"/>
  <c r="AD164" i="20"/>
  <c r="AO164" i="20"/>
  <c r="AP164" i="20" s="1"/>
  <c r="Q164" i="20"/>
  <c r="AF164" i="20"/>
  <c r="AA164" i="20"/>
  <c r="AB164" i="20" s="1"/>
  <c r="S180" i="20"/>
  <c r="AD180" i="20"/>
  <c r="U180" i="20"/>
  <c r="V180" i="20" s="1"/>
  <c r="W180" i="20" s="1"/>
  <c r="AF180" i="20"/>
  <c r="AH180" i="20"/>
  <c r="AO180" i="20"/>
  <c r="AP180" i="20" s="1"/>
  <c r="AA180" i="20"/>
  <c r="AB180" i="20" s="1"/>
  <c r="Q180" i="20"/>
  <c r="AH182" i="20"/>
  <c r="S182" i="20"/>
  <c r="AD182" i="20"/>
  <c r="U182" i="20"/>
  <c r="V182" i="20" s="1"/>
  <c r="W182" i="20" s="1"/>
  <c r="AO182" i="20"/>
  <c r="AP182" i="20" s="1"/>
  <c r="AF182" i="20"/>
  <c r="AA182" i="20"/>
  <c r="AB182" i="20" s="1"/>
  <c r="Q182" i="20"/>
  <c r="X184" i="20"/>
  <c r="Y184" i="20" s="1"/>
  <c r="Z184" i="20" s="1"/>
  <c r="S208" i="20"/>
  <c r="AD208" i="20"/>
  <c r="U208" i="20"/>
  <c r="V208" i="20" s="1"/>
  <c r="W208" i="20" s="1"/>
  <c r="Q208" i="20"/>
  <c r="AH208" i="20"/>
  <c r="AO208" i="20"/>
  <c r="AP208" i="20" s="1"/>
  <c r="S161" i="20"/>
  <c r="AD161" i="20"/>
  <c r="U161" i="20"/>
  <c r="V161" i="20" s="1"/>
  <c r="W161" i="20" s="1"/>
  <c r="AO161" i="20"/>
  <c r="AP161" i="20" s="1"/>
  <c r="AH161" i="20"/>
  <c r="Q161" i="20"/>
  <c r="S134" i="20"/>
  <c r="U134" i="20"/>
  <c r="V134" i="20" s="1"/>
  <c r="W134" i="20" s="1"/>
  <c r="AD134" i="20"/>
  <c r="Q134" i="20"/>
  <c r="AH134" i="20"/>
  <c r="AO134" i="20"/>
  <c r="AP134" i="20" s="1"/>
  <c r="S150" i="20"/>
  <c r="AD150" i="20"/>
  <c r="U150" i="20"/>
  <c r="V150" i="20" s="1"/>
  <c r="W150" i="20" s="1"/>
  <c r="AH150" i="20"/>
  <c r="AO150" i="20"/>
  <c r="AP150" i="20" s="1"/>
  <c r="Q150" i="20"/>
  <c r="AH166" i="20"/>
  <c r="S166" i="20"/>
  <c r="AD166" i="20"/>
  <c r="U166" i="20"/>
  <c r="V166" i="20" s="1"/>
  <c r="W166" i="20" s="1"/>
  <c r="Q166" i="20"/>
  <c r="AO166" i="20"/>
  <c r="AP166" i="20" s="1"/>
  <c r="S117" i="20"/>
  <c r="U117" i="20"/>
  <c r="V117" i="20" s="1"/>
  <c r="W117" i="20" s="1"/>
  <c r="AD117" i="20"/>
  <c r="AH117" i="20"/>
  <c r="AO117" i="20"/>
  <c r="AP117" i="20" s="1"/>
  <c r="Q117" i="20"/>
  <c r="AG171" i="20"/>
  <c r="AI171" i="20" s="1"/>
  <c r="AV171" i="20"/>
  <c r="BL171" i="20" s="1"/>
  <c r="X148" i="20"/>
  <c r="Y148" i="20" s="1"/>
  <c r="Z148" i="20" s="1"/>
  <c r="X164" i="20"/>
  <c r="Y164" i="20" s="1"/>
  <c r="Z164" i="20" s="1"/>
  <c r="S115" i="20"/>
  <c r="U115" i="20"/>
  <c r="V115" i="20" s="1"/>
  <c r="W115" i="20" s="1"/>
  <c r="AD115" i="20"/>
  <c r="AH115" i="20"/>
  <c r="AO115" i="20"/>
  <c r="AP115" i="20" s="1"/>
  <c r="Q115" i="20"/>
  <c r="AF115" i="20"/>
  <c r="S188" i="20"/>
  <c r="U188" i="20"/>
  <c r="V188" i="20" s="1"/>
  <c r="W188" i="20" s="1"/>
  <c r="AD188" i="20"/>
  <c r="AO188" i="20"/>
  <c r="AP188" i="20" s="1"/>
  <c r="Q188" i="20"/>
  <c r="AH188" i="20"/>
  <c r="R191" i="20"/>
  <c r="AS191" i="20"/>
  <c r="Q199" i="20"/>
  <c r="S199" i="20"/>
  <c r="U199" i="20"/>
  <c r="V199" i="20" s="1"/>
  <c r="W199" i="20" s="1"/>
  <c r="AD199" i="20"/>
  <c r="AO199" i="20"/>
  <c r="AP199" i="20" s="1"/>
  <c r="AH199" i="20"/>
  <c r="AF199" i="20"/>
  <c r="P37" i="20"/>
  <c r="AO37" i="20" s="1"/>
  <c r="AP37" i="20" s="1"/>
  <c r="P54" i="20"/>
  <c r="AQ54" i="20" s="1"/>
  <c r="P49" i="20"/>
  <c r="AM49" i="20" s="1"/>
  <c r="P57" i="20"/>
  <c r="AM57" i="20" s="1"/>
  <c r="P41" i="20"/>
  <c r="AM41" i="20" s="1"/>
  <c r="P38" i="20"/>
  <c r="AO38" i="20" s="1"/>
  <c r="AP38" i="20" s="1"/>
  <c r="P50" i="20"/>
  <c r="AQ50" i="20" s="1"/>
  <c r="P34" i="20"/>
  <c r="AF34" i="20" s="1"/>
  <c r="AG34" i="20" s="1"/>
  <c r="P42" i="20"/>
  <c r="AM42" i="20" s="1"/>
  <c r="P45" i="20"/>
  <c r="AM45" i="20" s="1"/>
  <c r="P46" i="20"/>
  <c r="AJ46" i="20" s="1"/>
  <c r="AK46" i="20" s="1"/>
  <c r="P58" i="20"/>
  <c r="AM58" i="20" s="1"/>
  <c r="P53" i="20"/>
  <c r="AO53" i="20" s="1"/>
  <c r="AP53" i="20" s="1"/>
  <c r="AD67" i="20"/>
  <c r="AH76" i="20"/>
  <c r="S60" i="20"/>
  <c r="AD84" i="20"/>
  <c r="X100" i="20"/>
  <c r="Y100" i="20" s="1"/>
  <c r="Z100" i="20" s="1"/>
  <c r="AA60" i="20"/>
  <c r="AB60" i="20" s="1"/>
  <c r="AA76" i="20"/>
  <c r="AB76" i="20" s="1"/>
  <c r="AA92" i="20"/>
  <c r="AB92" i="20" s="1"/>
  <c r="AA108" i="20"/>
  <c r="AB108" i="20" s="1"/>
  <c r="Q60" i="20"/>
  <c r="AS60" i="20" s="1"/>
  <c r="AF68" i="20"/>
  <c r="Q76" i="20"/>
  <c r="AS76" i="20" s="1"/>
  <c r="AF84" i="20"/>
  <c r="AG84" i="20" s="1"/>
  <c r="Q92" i="20"/>
  <c r="AS92" i="20" s="1"/>
  <c r="AF100" i="20"/>
  <c r="AV100" i="20" s="1"/>
  <c r="BL100" i="20" s="1"/>
  <c r="Q108" i="20"/>
  <c r="AS108" i="20" s="1"/>
  <c r="AJ80" i="20"/>
  <c r="AK80" i="20" s="1"/>
  <c r="AO80" i="20"/>
  <c r="AP80" i="20" s="1"/>
  <c r="AJ68" i="20"/>
  <c r="AK68" i="20" s="1"/>
  <c r="AJ76" i="20"/>
  <c r="AK76" i="20" s="1"/>
  <c r="AO68" i="20"/>
  <c r="AP68" i="20" s="1"/>
  <c r="AO76" i="20"/>
  <c r="AP76" i="20" s="1"/>
  <c r="AL54" i="20"/>
  <c r="AL57" i="20"/>
  <c r="AL58" i="20"/>
  <c r="AL46" i="20"/>
  <c r="AL43" i="20"/>
  <c r="AL39" i="20"/>
  <c r="AL40" i="20"/>
  <c r="AL48" i="20"/>
  <c r="AL56" i="20"/>
  <c r="AL51" i="20"/>
  <c r="AL49" i="20"/>
  <c r="AL44" i="20"/>
  <c r="AL52" i="20"/>
  <c r="AL47" i="20"/>
  <c r="AL55" i="20"/>
  <c r="AL45" i="20"/>
  <c r="AL41" i="20"/>
  <c r="AL42" i="20"/>
  <c r="AL50" i="20"/>
  <c r="S28" i="20"/>
  <c r="AM28" i="20"/>
  <c r="X28" i="20"/>
  <c r="Y28" i="20" s="1"/>
  <c r="Z28" i="20" s="1"/>
  <c r="AJ28" i="20"/>
  <c r="AK28" i="20" s="1"/>
  <c r="AO22" i="20"/>
  <c r="AP22" i="20" s="1"/>
  <c r="AQ32" i="20"/>
  <c r="S32" i="20"/>
  <c r="AM32" i="20"/>
  <c r="AO40" i="20"/>
  <c r="AP40" i="20" s="1"/>
  <c r="AM40" i="20"/>
  <c r="AQ40" i="20"/>
  <c r="AJ40" i="20"/>
  <c r="AK40" i="20" s="1"/>
  <c r="AJ109" i="20"/>
  <c r="AF22" i="20"/>
  <c r="AG22" i="20" s="1"/>
  <c r="AA22" i="20"/>
  <c r="AB22" i="20" s="1"/>
  <c r="M21" i="20"/>
  <c r="AC21" i="20" s="1"/>
  <c r="M13" i="20"/>
  <c r="AC13" i="20" s="1"/>
  <c r="M26" i="20"/>
  <c r="AA11" i="20"/>
  <c r="AB11" i="20" s="1"/>
  <c r="AE11" i="20" s="1"/>
  <c r="AQ11" i="20"/>
  <c r="Q11" i="20"/>
  <c r="AS11" i="20" s="1"/>
  <c r="AA16" i="20"/>
  <c r="AB16" i="20" s="1"/>
  <c r="Q16" i="20"/>
  <c r="AS16" i="20" s="1"/>
  <c r="Q20" i="20"/>
  <c r="AS20" i="20" s="1"/>
  <c r="AQ20" i="20"/>
  <c r="AA20" i="20"/>
  <c r="AB20" i="20" s="1"/>
  <c r="AO11" i="20"/>
  <c r="AP11" i="20" s="1"/>
  <c r="M10" i="20"/>
  <c r="AC10" i="20" s="1"/>
  <c r="M14" i="20"/>
  <c r="AC14" i="20" s="1"/>
  <c r="M31" i="20"/>
  <c r="AC31" i="20" s="1"/>
  <c r="M33" i="20"/>
  <c r="AC33" i="20" s="1"/>
  <c r="M18" i="20"/>
  <c r="AC18" i="20" s="1"/>
  <c r="M17" i="20"/>
  <c r="AC17" i="20" s="1"/>
  <c r="M25" i="20"/>
  <c r="AC25" i="20" s="1"/>
  <c r="M29" i="20"/>
  <c r="AC29" i="20" s="1"/>
  <c r="M30" i="20"/>
  <c r="AQ9" i="20"/>
  <c r="AA9" i="20"/>
  <c r="AB9" i="20" s="1"/>
  <c r="AE9" i="20" s="1"/>
  <c r="AJ11" i="20"/>
  <c r="Q22" i="20"/>
  <c r="AS22" i="20" s="1"/>
  <c r="AJ9" i="20"/>
  <c r="AK9" i="20" s="1"/>
  <c r="AF23" i="20"/>
  <c r="AG23" i="20" s="1"/>
  <c r="Q9" i="20"/>
  <c r="B68" i="20"/>
  <c r="B69" i="20" s="1"/>
  <c r="AD73" i="20"/>
  <c r="S51" i="20"/>
  <c r="S100" i="20"/>
  <c r="AD95" i="20"/>
  <c r="AD91" i="20"/>
  <c r="AD36" i="20"/>
  <c r="AD100" i="20"/>
  <c r="AD87" i="20"/>
  <c r="U92" i="20"/>
  <c r="V92" i="20" s="1"/>
  <c r="W92" i="20" s="1"/>
  <c r="X92" i="20"/>
  <c r="Y92" i="20" s="1"/>
  <c r="Z92" i="20" s="1"/>
  <c r="S92" i="20"/>
  <c r="AD92" i="20"/>
  <c r="U108" i="20"/>
  <c r="V108" i="20" s="1"/>
  <c r="W108" i="20" s="1"/>
  <c r="S108" i="20"/>
  <c r="X68" i="20"/>
  <c r="Y68" i="20" s="1"/>
  <c r="Z68" i="20" s="1"/>
  <c r="S68" i="20"/>
  <c r="S99" i="20"/>
  <c r="AD68" i="20"/>
  <c r="AH92" i="20"/>
  <c r="AH108" i="20"/>
  <c r="S27" i="20"/>
  <c r="U76" i="20"/>
  <c r="V76" i="20" s="1"/>
  <c r="W76" i="20" s="1"/>
  <c r="S76" i="20"/>
  <c r="S95" i="20"/>
  <c r="AD56" i="20"/>
  <c r="AD99" i="20"/>
  <c r="AH99" i="20"/>
  <c r="AD75" i="20"/>
  <c r="AG40" i="20"/>
  <c r="U40" i="20"/>
  <c r="V40" i="20" s="1"/>
  <c r="W40" i="20" s="1"/>
  <c r="AH40" i="20"/>
  <c r="U60" i="20"/>
  <c r="V60" i="20" s="1"/>
  <c r="W60" i="20" s="1"/>
  <c r="AH60" i="20"/>
  <c r="AD60" i="20"/>
  <c r="AH71" i="20"/>
  <c r="AD71" i="20"/>
  <c r="S91" i="20"/>
  <c r="S87" i="20"/>
  <c r="S84" i="20"/>
  <c r="AD35" i="20"/>
  <c r="AD40" i="20"/>
  <c r="S40" i="20"/>
  <c r="AH35" i="20"/>
  <c r="U22" i="20"/>
  <c r="V22" i="20" s="1"/>
  <c r="W22" i="20" s="1"/>
  <c r="AH22" i="20"/>
  <c r="AD51" i="20"/>
  <c r="U51" i="20"/>
  <c r="V51" i="20" s="1"/>
  <c r="W51" i="20" s="1"/>
  <c r="AD79" i="20"/>
  <c r="U91" i="20"/>
  <c r="V91" i="20" s="1"/>
  <c r="W91" i="20" s="1"/>
  <c r="AH27" i="20"/>
  <c r="U27" i="20"/>
  <c r="V27" i="20" s="1"/>
  <c r="W27" i="20" s="1"/>
  <c r="X40" i="20"/>
  <c r="Y40" i="20" s="1"/>
  <c r="Z40" i="20" s="1"/>
  <c r="X60" i="20"/>
  <c r="Y60" i="20" s="1"/>
  <c r="Z60" i="20" s="1"/>
  <c r="X76" i="20"/>
  <c r="Y76" i="20" s="1"/>
  <c r="Z76" i="20" s="1"/>
  <c r="AH84" i="20"/>
  <c r="U84" i="20"/>
  <c r="V84" i="20" s="1"/>
  <c r="W84" i="20" s="1"/>
  <c r="X108" i="20"/>
  <c r="Y108" i="20" s="1"/>
  <c r="Z108" i="20" s="1"/>
  <c r="U55" i="20"/>
  <c r="V55" i="20" s="1"/>
  <c r="W55" i="20" s="1"/>
  <c r="X22" i="20"/>
  <c r="Y22" i="20" s="1"/>
  <c r="Z22" i="20" s="1"/>
  <c r="AH13" i="20"/>
  <c r="X27" i="20"/>
  <c r="Y27" i="20" s="1"/>
  <c r="Z27" i="20" s="1"/>
  <c r="X84" i="20"/>
  <c r="Y84" i="20" s="1"/>
  <c r="Z84" i="20" s="1"/>
  <c r="AH100" i="20"/>
  <c r="U100" i="20"/>
  <c r="V100" i="20" s="1"/>
  <c r="W100" i="20" s="1"/>
  <c r="U16" i="20"/>
  <c r="V16" i="20" s="1"/>
  <c r="W16" i="20" s="1"/>
  <c r="X51" i="20"/>
  <c r="Y51" i="20" s="1"/>
  <c r="Z51" i="20" s="1"/>
  <c r="X91" i="20"/>
  <c r="Y91" i="20" s="1"/>
  <c r="Z91" i="20" s="1"/>
  <c r="AD37" i="20"/>
  <c r="U103" i="20"/>
  <c r="V103" i="20" s="1"/>
  <c r="W103" i="20" s="1"/>
  <c r="AH10" i="20"/>
  <c r="AH17" i="20"/>
  <c r="X16" i="20"/>
  <c r="Y16" i="20" s="1"/>
  <c r="Z16" i="20" s="1"/>
  <c r="AH16" i="20"/>
  <c r="U87" i="20"/>
  <c r="V87" i="20" s="1"/>
  <c r="W87" i="20" s="1"/>
  <c r="X11" i="20"/>
  <c r="Y11" i="20" s="1"/>
  <c r="Z11" i="20" s="1"/>
  <c r="AH11" i="20"/>
  <c r="AH19" i="20"/>
  <c r="U99" i="20"/>
  <c r="V99" i="20" s="1"/>
  <c r="W99" i="20" s="1"/>
  <c r="AH56" i="20"/>
  <c r="AH12" i="20"/>
  <c r="X103" i="20"/>
  <c r="Y103" i="20" s="1"/>
  <c r="Z103" i="20" s="1"/>
  <c r="AH15" i="20"/>
  <c r="AH33" i="20"/>
  <c r="U9" i="20"/>
  <c r="V9" i="20" s="1"/>
  <c r="W9" i="20" s="1"/>
  <c r="AH68" i="20"/>
  <c r="U68" i="20"/>
  <c r="V68" i="20" s="1"/>
  <c r="W68" i="20" s="1"/>
  <c r="X55" i="20"/>
  <c r="Y55" i="20" s="1"/>
  <c r="Z55" i="20" s="1"/>
  <c r="X87" i="20"/>
  <c r="Y87" i="20" s="1"/>
  <c r="Z87" i="20" s="1"/>
  <c r="X95" i="20"/>
  <c r="Y95" i="20" s="1"/>
  <c r="Z95" i="20" s="1"/>
  <c r="U11" i="20"/>
  <c r="V11" i="20" s="1"/>
  <c r="W11" i="20" s="1"/>
  <c r="AD59" i="20"/>
  <c r="AH9" i="20"/>
  <c r="AH91" i="20"/>
  <c r="AH51" i="20"/>
  <c r="AH67" i="20"/>
  <c r="AH95" i="20"/>
  <c r="AB95" i="20"/>
  <c r="AH103" i="20"/>
  <c r="AH59" i="20"/>
  <c r="AH87" i="20"/>
  <c r="AH31" i="20"/>
  <c r="AL11" i="20"/>
  <c r="AL13" i="20"/>
  <c r="AL15" i="20"/>
  <c r="AL17" i="20"/>
  <c r="AL19" i="20"/>
  <c r="AL21" i="20"/>
  <c r="AL23" i="20"/>
  <c r="AL25" i="20"/>
  <c r="AL27" i="20"/>
  <c r="AL29" i="20"/>
  <c r="AL31" i="20"/>
  <c r="AL33" i="20"/>
  <c r="AL35" i="20"/>
  <c r="AL37" i="20"/>
  <c r="AL10" i="20"/>
  <c r="AL12" i="20"/>
  <c r="AL14" i="20"/>
  <c r="AL16" i="20"/>
  <c r="AL18" i="20"/>
  <c r="AL20" i="20"/>
  <c r="AL22" i="20"/>
  <c r="AL24" i="20"/>
  <c r="AL26" i="20"/>
  <c r="AL28" i="20"/>
  <c r="AL30" i="20"/>
  <c r="AL32" i="20"/>
  <c r="AL34" i="20"/>
  <c r="AL36" i="20"/>
  <c r="AL38" i="20"/>
  <c r="AL9" i="20"/>
  <c r="S20" i="20"/>
  <c r="AM20" i="20"/>
  <c r="S9" i="20"/>
  <c r="AM9" i="20"/>
  <c r="S16" i="20"/>
  <c r="AM16" i="20"/>
  <c r="S22" i="20"/>
  <c r="AM22" i="20"/>
  <c r="AM11" i="20"/>
  <c r="S11" i="20"/>
  <c r="R95" i="20"/>
  <c r="E84" i="2"/>
  <c r="B70" i="20"/>
  <c r="C79" i="20"/>
  <c r="B79" i="20" s="1"/>
  <c r="B80" i="20" s="1"/>
  <c r="G594" i="17"/>
  <c r="E316" i="2"/>
  <c r="B192" i="2"/>
  <c r="B193" i="2" s="1"/>
  <c r="B187" i="2"/>
  <c r="B188" i="2" s="1"/>
  <c r="E50" i="1" s="1"/>
  <c r="B83" i="2"/>
  <c r="D30" i="1" s="1"/>
  <c r="B84" i="2"/>
  <c r="F83" i="2"/>
  <c r="F84" i="2"/>
  <c r="E83" i="2"/>
  <c r="B133" i="2"/>
  <c r="B179" i="2"/>
  <c r="F267" i="2"/>
  <c r="F178" i="2"/>
  <c r="B128" i="2"/>
  <c r="H133" i="2" s="1"/>
  <c r="B269" i="2"/>
  <c r="J78" i="1" s="1"/>
  <c r="N104" i="2"/>
  <c r="H44" i="17"/>
  <c r="B267" i="2"/>
  <c r="B270" i="2" s="1"/>
  <c r="J79" i="1" s="1"/>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H132" i="2"/>
  <c r="E35" i="1"/>
  <c r="H134" i="2"/>
  <c r="B127" i="2"/>
  <c r="K132" i="2" s="1"/>
  <c r="M132" i="2" s="1"/>
  <c r="E18"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B317" i="2"/>
  <c r="B318" i="2" s="1"/>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K185" i="2"/>
  <c r="E19" i="1"/>
  <c r="B284" i="2"/>
  <c r="B307" i="2" s="1"/>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279" i="2"/>
  <c r="B295" i="2" s="1"/>
  <c r="B132" i="2"/>
  <c r="B150" i="2"/>
  <c r="L102" i="2"/>
  <c r="B102" i="2"/>
  <c r="B116" i="2" s="1"/>
  <c r="B103" i="2"/>
  <c r="B117" i="2" s="1"/>
  <c r="L103" i="2"/>
  <c r="P103" i="2" s="1"/>
  <c r="B90" i="2"/>
  <c r="E21" i="1" s="1"/>
  <c r="B161" i="2"/>
  <c r="B91" i="2"/>
  <c r="E22" i="1" s="1"/>
  <c r="K103" i="2"/>
  <c r="K102" i="2"/>
  <c r="F90" i="2"/>
  <c r="F91" i="2"/>
  <c r="B88" i="2"/>
  <c r="H78" i="2"/>
  <c r="E15" i="1"/>
  <c r="AM24" i="20" l="1"/>
  <c r="S24" i="20"/>
  <c r="AQ16" i="20"/>
  <c r="AJ24" i="20"/>
  <c r="AK24" i="20" s="1"/>
  <c r="Q24" i="20"/>
  <c r="AS24" i="20" s="1"/>
  <c r="AA24" i="20"/>
  <c r="AB24" i="20" s="1"/>
  <c r="AQ24" i="20"/>
  <c r="R103" i="20"/>
  <c r="T103" i="20" s="1"/>
  <c r="BI103" i="20" s="1"/>
  <c r="X24" i="20"/>
  <c r="Y24" i="20" s="1"/>
  <c r="Z24" i="20" s="1"/>
  <c r="AJ35" i="20"/>
  <c r="AK35" i="20" s="1"/>
  <c r="AO24" i="20"/>
  <c r="AP24" i="20" s="1"/>
  <c r="AR24" i="20" s="1"/>
  <c r="BF24" i="20" s="1"/>
  <c r="U24" i="20"/>
  <c r="V24" i="20" s="1"/>
  <c r="W24" i="20" s="1"/>
  <c r="AS196" i="20"/>
  <c r="AJ79" i="20"/>
  <c r="AK79" i="20" s="1"/>
  <c r="AN79" i="20" s="1"/>
  <c r="AF79" i="20"/>
  <c r="AH79" i="20"/>
  <c r="U79" i="20"/>
  <c r="V79" i="20" s="1"/>
  <c r="W79" i="20" s="1"/>
  <c r="AQ79" i="20"/>
  <c r="X79" i="20"/>
  <c r="Y79" i="20" s="1"/>
  <c r="Z79" i="20" s="1"/>
  <c r="X43" i="20"/>
  <c r="Y43" i="20" s="1"/>
  <c r="Z43" i="20" s="1"/>
  <c r="AM75" i="20"/>
  <c r="AA79" i="20"/>
  <c r="AB79" i="20" s="1"/>
  <c r="AR16" i="20"/>
  <c r="BF16" i="20" s="1"/>
  <c r="AO79" i="20"/>
  <c r="AP79" i="20" s="1"/>
  <c r="Q43" i="20"/>
  <c r="AS43" i="20" s="1"/>
  <c r="AA43" i="20"/>
  <c r="AB43" i="20" s="1"/>
  <c r="AE43" i="20" s="1"/>
  <c r="S79" i="20"/>
  <c r="AJ43" i="20"/>
  <c r="AK43" i="20" s="1"/>
  <c r="Q79" i="20"/>
  <c r="AS79" i="20" s="1"/>
  <c r="U43" i="20"/>
  <c r="V43" i="20" s="1"/>
  <c r="W43" i="20" s="1"/>
  <c r="AH75" i="20"/>
  <c r="AF105" i="20"/>
  <c r="AG105" i="20" s="1"/>
  <c r="AO43" i="20"/>
  <c r="AP43" i="20" s="1"/>
  <c r="AR43" i="20" s="1"/>
  <c r="AM43" i="20"/>
  <c r="S43" i="20"/>
  <c r="AF75" i="20"/>
  <c r="AG75" i="20" s="1"/>
  <c r="AI75" i="20" s="1"/>
  <c r="S12" i="20"/>
  <c r="AO71" i="20"/>
  <c r="AP71" i="20" s="1"/>
  <c r="AO48" i="20"/>
  <c r="AP48" i="20" s="1"/>
  <c r="AR48" i="20" s="1"/>
  <c r="AQ71" i="20"/>
  <c r="X71" i="20"/>
  <c r="Y71" i="20" s="1"/>
  <c r="Z71" i="20" s="1"/>
  <c r="S71" i="20"/>
  <c r="AR64" i="20"/>
  <c r="U71" i="20"/>
  <c r="V71" i="20" s="1"/>
  <c r="W71" i="20" s="1"/>
  <c r="AJ71" i="20"/>
  <c r="AK71" i="20" s="1"/>
  <c r="AN71" i="20" s="1"/>
  <c r="BE71" i="20" s="1"/>
  <c r="X35" i="20"/>
  <c r="Y35" i="20" s="1"/>
  <c r="Z35" i="20" s="1"/>
  <c r="U12" i="20"/>
  <c r="V12" i="20" s="1"/>
  <c r="W12" i="20" s="1"/>
  <c r="AQ35" i="20"/>
  <c r="AR35" i="20" s="1"/>
  <c r="U35" i="20"/>
  <c r="V35" i="20" s="1"/>
  <c r="W35" i="20" s="1"/>
  <c r="AM35" i="20"/>
  <c r="AA71" i="20"/>
  <c r="AB71" i="20" s="1"/>
  <c r="AE71" i="20" s="1"/>
  <c r="AM67" i="20"/>
  <c r="AN67" i="20" s="1"/>
  <c r="AA35" i="20"/>
  <c r="AB35" i="20" s="1"/>
  <c r="AE35" i="20" s="1"/>
  <c r="R64" i="20"/>
  <c r="S35" i="20"/>
  <c r="AR103" i="20"/>
  <c r="Q35" i="20"/>
  <c r="AS35" i="20" s="1"/>
  <c r="AN64" i="20"/>
  <c r="AV64" i="20"/>
  <c r="BL64" i="20" s="1"/>
  <c r="AV146" i="20"/>
  <c r="BL146" i="20" s="1"/>
  <c r="X56" i="20"/>
  <c r="Y56" i="20" s="1"/>
  <c r="Z56" i="20" s="1"/>
  <c r="AR162" i="20"/>
  <c r="S93" i="20"/>
  <c r="AQ93" i="20"/>
  <c r="AR93" i="20" s="1"/>
  <c r="AQ73" i="20"/>
  <c r="AJ93" i="20"/>
  <c r="AK93" i="20" s="1"/>
  <c r="AI173" i="20"/>
  <c r="BF173" i="20" s="1"/>
  <c r="AF90" i="20"/>
  <c r="AG90" i="20" s="1"/>
  <c r="AJ102" i="20"/>
  <c r="AK102" i="20" s="1"/>
  <c r="AN108" i="20"/>
  <c r="AR55" i="20"/>
  <c r="R87" i="20"/>
  <c r="T87" i="20" s="1"/>
  <c r="BI87" i="20" s="1"/>
  <c r="AE159" i="20"/>
  <c r="S17" i="20"/>
  <c r="X47" i="20"/>
  <c r="Y47" i="20" s="1"/>
  <c r="Z47" i="20" s="1"/>
  <c r="U73" i="20"/>
  <c r="V73" i="20" s="1"/>
  <c r="W73" i="20" s="1"/>
  <c r="AA73" i="20"/>
  <c r="AB73" i="20" s="1"/>
  <c r="AE73" i="20" s="1"/>
  <c r="Q59" i="20"/>
  <c r="AS59" i="20" s="1"/>
  <c r="AN95" i="20"/>
  <c r="U47" i="20"/>
  <c r="V47" i="20" s="1"/>
  <c r="W47" i="20" s="1"/>
  <c r="U90" i="20"/>
  <c r="V90" i="20" s="1"/>
  <c r="W90" i="20" s="1"/>
  <c r="AN60" i="20"/>
  <c r="AO59" i="20"/>
  <c r="AP59" i="20" s="1"/>
  <c r="X59" i="20"/>
  <c r="Y59" i="20" s="1"/>
  <c r="Z59" i="20" s="1"/>
  <c r="AJ72" i="20"/>
  <c r="AK72" i="20" s="1"/>
  <c r="S47" i="20"/>
  <c r="AM47" i="20"/>
  <c r="AJ47" i="20"/>
  <c r="AK47" i="20" s="1"/>
  <c r="AQ59" i="20"/>
  <c r="Q71" i="20"/>
  <c r="AS71" i="20" s="1"/>
  <c r="AV87" i="20"/>
  <c r="BL87" i="20" s="1"/>
  <c r="U59" i="20"/>
  <c r="V59" i="20" s="1"/>
  <c r="W59" i="20" s="1"/>
  <c r="AR68" i="20"/>
  <c r="AA59" i="20"/>
  <c r="AB59" i="20" s="1"/>
  <c r="AE59" i="20" s="1"/>
  <c r="S59" i="20"/>
  <c r="AV191" i="20"/>
  <c r="BL191" i="20" s="1"/>
  <c r="Q47" i="20"/>
  <c r="AS47" i="20" s="1"/>
  <c r="AH94" i="20"/>
  <c r="X15" i="20"/>
  <c r="Y15" i="20" s="1"/>
  <c r="Z15" i="20" s="1"/>
  <c r="Q77" i="20"/>
  <c r="AS77" i="20" s="1"/>
  <c r="AR80" i="20"/>
  <c r="BF80" i="20" s="1"/>
  <c r="S77" i="20"/>
  <c r="AE179" i="20"/>
  <c r="BE179" i="20" s="1"/>
  <c r="AV196" i="20"/>
  <c r="BL196" i="20" s="1"/>
  <c r="AJ23" i="20"/>
  <c r="AK23" i="20" s="1"/>
  <c r="S75" i="20"/>
  <c r="AO75" i="20"/>
  <c r="AP75" i="20" s="1"/>
  <c r="AR75" i="20" s="1"/>
  <c r="S23" i="20"/>
  <c r="U75" i="20"/>
  <c r="V75" i="20" s="1"/>
  <c r="W75" i="20" s="1"/>
  <c r="X23" i="20"/>
  <c r="Y23" i="20" s="1"/>
  <c r="Z23" i="20" s="1"/>
  <c r="AJ75" i="20"/>
  <c r="AK75" i="20" s="1"/>
  <c r="X75" i="20"/>
  <c r="Y75" i="20" s="1"/>
  <c r="Z75" i="20" s="1"/>
  <c r="AA75" i="20"/>
  <c r="AB75" i="20" s="1"/>
  <c r="AE75" i="20" s="1"/>
  <c r="Q75" i="20"/>
  <c r="Q15" i="20"/>
  <c r="AS15" i="20" s="1"/>
  <c r="S15" i="20"/>
  <c r="U67" i="20"/>
  <c r="V67" i="20" s="1"/>
  <c r="W67" i="20" s="1"/>
  <c r="AM48" i="20"/>
  <c r="S48" i="20"/>
  <c r="AJ89" i="20"/>
  <c r="AK89" i="20" s="1"/>
  <c r="AG87" i="20"/>
  <c r="AI87" i="20" s="1"/>
  <c r="BF87" i="20" s="1"/>
  <c r="U15" i="20"/>
  <c r="V15" i="20" s="1"/>
  <c r="W15" i="20" s="1"/>
  <c r="AA15" i="20"/>
  <c r="AB15" i="20" s="1"/>
  <c r="AE15" i="20" s="1"/>
  <c r="AA48" i="20"/>
  <c r="AB48" i="20" s="1"/>
  <c r="AE48" i="20" s="1"/>
  <c r="X48" i="20"/>
  <c r="Y48" i="20" s="1"/>
  <c r="Z48" i="20" s="1"/>
  <c r="AO67" i="20"/>
  <c r="AP67" i="20" s="1"/>
  <c r="AJ48" i="20"/>
  <c r="AK48" i="20" s="1"/>
  <c r="AQ15" i="20"/>
  <c r="Q48" i="20"/>
  <c r="AS48" i="20" s="1"/>
  <c r="AE172" i="20"/>
  <c r="AJ59" i="20"/>
  <c r="AK59" i="20" s="1"/>
  <c r="AN59" i="20" s="1"/>
  <c r="AA77" i="20"/>
  <c r="AB77" i="20" s="1"/>
  <c r="AQ77" i="20"/>
  <c r="AQ67" i="20"/>
  <c r="Q67" i="20"/>
  <c r="AS67" i="20" s="1"/>
  <c r="U48" i="20"/>
  <c r="V48" i="20" s="1"/>
  <c r="W48" i="20" s="1"/>
  <c r="AO15" i="20"/>
  <c r="AP15" i="20" s="1"/>
  <c r="X67" i="20"/>
  <c r="Y67" i="20" s="1"/>
  <c r="Z67" i="20" s="1"/>
  <c r="Q89" i="20"/>
  <c r="AS89" i="20" s="1"/>
  <c r="S67" i="20"/>
  <c r="AO77" i="20"/>
  <c r="AP77" i="20" s="1"/>
  <c r="T64" i="20"/>
  <c r="BI64" i="20" s="1"/>
  <c r="AM15" i="20"/>
  <c r="X77" i="20"/>
  <c r="Y77" i="20" s="1"/>
  <c r="Z77" i="20" s="1"/>
  <c r="AJ15" i="20"/>
  <c r="AK15" i="20" s="1"/>
  <c r="AA67" i="20"/>
  <c r="AB67" i="20" s="1"/>
  <c r="AE67" i="20" s="1"/>
  <c r="AN92" i="20"/>
  <c r="AJ63" i="20"/>
  <c r="AK63" i="20" s="1"/>
  <c r="AN63" i="20" s="1"/>
  <c r="AJ85" i="20"/>
  <c r="AK85" i="20" s="1"/>
  <c r="AR87" i="20"/>
  <c r="AE32" i="20"/>
  <c r="Q63" i="20"/>
  <c r="AS63" i="20" s="1"/>
  <c r="AO63" i="20"/>
  <c r="AP63" i="20" s="1"/>
  <c r="AA63" i="20"/>
  <c r="AB63" i="20" s="1"/>
  <c r="AE63" i="20" s="1"/>
  <c r="X63" i="20"/>
  <c r="Y63" i="20" s="1"/>
  <c r="Z63" i="20" s="1"/>
  <c r="AR95" i="20"/>
  <c r="AR60" i="20"/>
  <c r="AQ63" i="20"/>
  <c r="U36" i="20"/>
  <c r="V36" i="20" s="1"/>
  <c r="W36" i="20" s="1"/>
  <c r="S63" i="20"/>
  <c r="U63" i="20"/>
  <c r="V63" i="20" s="1"/>
  <c r="W63" i="20" s="1"/>
  <c r="AJ90" i="20"/>
  <c r="AK90" i="20" s="1"/>
  <c r="AN90" i="20" s="1"/>
  <c r="S56" i="20"/>
  <c r="U56" i="20"/>
  <c r="V56" i="20" s="1"/>
  <c r="W56" i="20" s="1"/>
  <c r="AJ56" i="20"/>
  <c r="AK56" i="20" s="1"/>
  <c r="AN56" i="20" s="1"/>
  <c r="Q56" i="20"/>
  <c r="AS56" i="20" s="1"/>
  <c r="AQ56" i="20"/>
  <c r="AO56" i="20"/>
  <c r="AP56" i="20" s="1"/>
  <c r="AJ94" i="20"/>
  <c r="AK94" i="20" s="1"/>
  <c r="T179" i="20"/>
  <c r="BI179" i="20" s="1"/>
  <c r="T66" i="21"/>
  <c r="BI66" i="21" s="1"/>
  <c r="AQ98" i="20"/>
  <c r="AA56" i="20"/>
  <c r="AB56" i="20" s="1"/>
  <c r="AE56" i="20" s="1"/>
  <c r="AQ90" i="20"/>
  <c r="AQ78" i="20"/>
  <c r="AE103" i="20"/>
  <c r="BE103" i="20" s="1"/>
  <c r="AQ107" i="20"/>
  <c r="AA47" i="20"/>
  <c r="AB47" i="20" s="1"/>
  <c r="AE47" i="20" s="1"/>
  <c r="AQ47" i="20"/>
  <c r="AR47" i="20" s="1"/>
  <c r="AJ78" i="20"/>
  <c r="AK78" i="20" s="1"/>
  <c r="AN78" i="20" s="1"/>
  <c r="AJ82" i="20"/>
  <c r="AK82" i="20" s="1"/>
  <c r="AN82" i="20" s="1"/>
  <c r="AJ105" i="20"/>
  <c r="AK105" i="20" s="1"/>
  <c r="AN139" i="20"/>
  <c r="U39" i="20"/>
  <c r="V39" i="20" s="1"/>
  <c r="W39" i="20" s="1"/>
  <c r="X39" i="20"/>
  <c r="Y39" i="20" s="1"/>
  <c r="Z39" i="20" s="1"/>
  <c r="AQ62" i="20"/>
  <c r="AJ62" i="20"/>
  <c r="AK62" i="20" s="1"/>
  <c r="AN62" i="20" s="1"/>
  <c r="AQ36" i="20"/>
  <c r="AI191" i="20"/>
  <c r="BF191" i="20" s="1"/>
  <c r="AH36" i="20"/>
  <c r="AF109" i="20"/>
  <c r="AV109" i="20" s="1"/>
  <c r="BL109" i="20" s="1"/>
  <c r="AA36" i="20"/>
  <c r="AB36" i="20" s="1"/>
  <c r="AE36" i="20" s="1"/>
  <c r="U105" i="20"/>
  <c r="V105" i="20" s="1"/>
  <c r="W105" i="20" s="1"/>
  <c r="AR134" i="20"/>
  <c r="AR158" i="20"/>
  <c r="AS179" i="20"/>
  <c r="AF36" i="20"/>
  <c r="AG36" i="20" s="1"/>
  <c r="AE191" i="20"/>
  <c r="BE191" i="20" s="1"/>
  <c r="S109" i="20"/>
  <c r="AR192" i="20"/>
  <c r="AR66" i="21"/>
  <c r="X109" i="20"/>
  <c r="Y109" i="20" s="1"/>
  <c r="Z109" i="20" s="1"/>
  <c r="AE181" i="20"/>
  <c r="BE181" i="20" s="1"/>
  <c r="S105" i="20"/>
  <c r="S36" i="20"/>
  <c r="AI43" i="20"/>
  <c r="AR70" i="21"/>
  <c r="BL70" i="21" s="1"/>
  <c r="BF70" i="21" s="1"/>
  <c r="AE196" i="20"/>
  <c r="R96" i="20"/>
  <c r="T96" i="20" s="1"/>
  <c r="BI96" i="20" s="1"/>
  <c r="AQ12" i="20"/>
  <c r="AR12" i="20" s="1"/>
  <c r="AE76" i="20"/>
  <c r="AA39" i="20"/>
  <c r="AB39" i="20" s="1"/>
  <c r="AE39" i="20" s="1"/>
  <c r="AI179" i="20"/>
  <c r="BF179" i="20" s="1"/>
  <c r="R80" i="20"/>
  <c r="T80" i="20" s="1"/>
  <c r="BI80" i="20" s="1"/>
  <c r="T173" i="20"/>
  <c r="BI173" i="20" s="1"/>
  <c r="AI80" i="20"/>
  <c r="BK80" i="20" s="1"/>
  <c r="AR206" i="20"/>
  <c r="AI32" i="20"/>
  <c r="BK32" i="20" s="1"/>
  <c r="AE167" i="20"/>
  <c r="BE167" i="20" s="1"/>
  <c r="B181" i="2"/>
  <c r="E55" i="1" s="1"/>
  <c r="R100" i="20"/>
  <c r="T100" i="20" s="1"/>
  <c r="BI100" i="20" s="1"/>
  <c r="B86" i="2"/>
  <c r="E30" i="1" s="1"/>
  <c r="X10" i="20"/>
  <c r="Y10" i="20" s="1"/>
  <c r="Z10" i="20" s="1"/>
  <c r="U19" i="20"/>
  <c r="V19" i="20" s="1"/>
  <c r="W19" i="20" s="1"/>
  <c r="S39" i="20"/>
  <c r="AJ39" i="20"/>
  <c r="AK39" i="20" s="1"/>
  <c r="AN39" i="20" s="1"/>
  <c r="BE39" i="20" s="1"/>
  <c r="AQ44" i="20"/>
  <c r="AA19" i="20"/>
  <c r="AB19" i="20" s="1"/>
  <c r="AE19" i="20" s="1"/>
  <c r="U62" i="20"/>
  <c r="V62" i="20" s="1"/>
  <c r="W62" i="20" s="1"/>
  <c r="AA93" i="20"/>
  <c r="AB93" i="20" s="1"/>
  <c r="AQ39" i="20"/>
  <c r="AR203" i="20"/>
  <c r="AR201" i="20"/>
  <c r="AR194" i="20"/>
  <c r="AE173" i="20"/>
  <c r="S94" i="20"/>
  <c r="X74" i="20"/>
  <c r="Y74" i="20" s="1"/>
  <c r="Z74" i="20" s="1"/>
  <c r="X93" i="20"/>
  <c r="Y93" i="20" s="1"/>
  <c r="Z93" i="20" s="1"/>
  <c r="AD74" i="20"/>
  <c r="Q62" i="20"/>
  <c r="AS62" i="20" s="1"/>
  <c r="AO62" i="20"/>
  <c r="AP62" i="20" s="1"/>
  <c r="AR166" i="20"/>
  <c r="AR161" i="20"/>
  <c r="AR208" i="20"/>
  <c r="AE28" i="20"/>
  <c r="AE204" i="20"/>
  <c r="BE204" i="20" s="1"/>
  <c r="AM19" i="20"/>
  <c r="AA62" i="20"/>
  <c r="AB62" i="20" s="1"/>
  <c r="AE160" i="20"/>
  <c r="AS181" i="20"/>
  <c r="AR163" i="20"/>
  <c r="AR139" i="20"/>
  <c r="AR181" i="20"/>
  <c r="X19" i="20"/>
  <c r="Y19" i="20" s="1"/>
  <c r="Z19" i="20" s="1"/>
  <c r="X13" i="20"/>
  <c r="Y13" i="20" s="1"/>
  <c r="Z13" i="20" s="1"/>
  <c r="X89" i="20"/>
  <c r="Y89" i="20" s="1"/>
  <c r="Z89" i="20" s="1"/>
  <c r="AD93" i="20"/>
  <c r="AJ19" i="20"/>
  <c r="AV19" i="20" s="1"/>
  <c r="BL19" i="20" s="1"/>
  <c r="Q19" i="20"/>
  <c r="AS19" i="20" s="1"/>
  <c r="S19" i="20"/>
  <c r="AH88" i="20"/>
  <c r="AH89" i="20"/>
  <c r="X106" i="20"/>
  <c r="Y106" i="20" s="1"/>
  <c r="Z106" i="20" s="1"/>
  <c r="R68" i="20"/>
  <c r="T68" i="20" s="1"/>
  <c r="BI68" i="20" s="1"/>
  <c r="X62" i="20"/>
  <c r="Y62" i="20" s="1"/>
  <c r="Z62" i="20" s="1"/>
  <c r="AO19" i="20"/>
  <c r="AP19" i="20" s="1"/>
  <c r="Q93" i="20"/>
  <c r="AS93" i="20" s="1"/>
  <c r="AQ19" i="20"/>
  <c r="AR187" i="20"/>
  <c r="AI83" i="20"/>
  <c r="BK83" i="20" s="1"/>
  <c r="AA107" i="20"/>
  <c r="AB107" i="20" s="1"/>
  <c r="AR191" i="20"/>
  <c r="R206" i="20"/>
  <c r="T206" i="20" s="1"/>
  <c r="BI206" i="20" s="1"/>
  <c r="AE206" i="20"/>
  <c r="AR40" i="20"/>
  <c r="AN167" i="20"/>
  <c r="AR22" i="21"/>
  <c r="AN179" i="20"/>
  <c r="T47" i="21"/>
  <c r="BI47" i="21" s="1"/>
  <c r="R84" i="20"/>
  <c r="T84" i="20" s="1"/>
  <c r="BI84" i="20" s="1"/>
  <c r="AM10" i="20"/>
  <c r="S82" i="20"/>
  <c r="AD70" i="20"/>
  <c r="X104" i="20"/>
  <c r="Y104" i="20" s="1"/>
  <c r="Z104" i="20" s="1"/>
  <c r="AH104" i="20"/>
  <c r="U52" i="20"/>
  <c r="V52" i="20" s="1"/>
  <c r="W52" i="20" s="1"/>
  <c r="AH44" i="20"/>
  <c r="AD82" i="20"/>
  <c r="AO14" i="20"/>
  <c r="AP14" i="20" s="1"/>
  <c r="AR117" i="20"/>
  <c r="AR150" i="20"/>
  <c r="AR142" i="20"/>
  <c r="AR129" i="20"/>
  <c r="AV176" i="20"/>
  <c r="BL176" i="20" s="1"/>
  <c r="AG206" i="20"/>
  <c r="AI206" i="20" s="1"/>
  <c r="BK206" i="20" s="1"/>
  <c r="AR169" i="20"/>
  <c r="AR147" i="20"/>
  <c r="AR137" i="20"/>
  <c r="AR122" i="20"/>
  <c r="AR113" i="20"/>
  <c r="AG204" i="20"/>
  <c r="AI204" i="20" s="1"/>
  <c r="BF204" i="20" s="1"/>
  <c r="AE80" i="20"/>
  <c r="AI96" i="20"/>
  <c r="BK96" i="20" s="1"/>
  <c r="AD23" i="20"/>
  <c r="U23" i="20"/>
  <c r="V23" i="20" s="1"/>
  <c r="W23" i="20" s="1"/>
  <c r="AO97" i="20"/>
  <c r="AP97" i="20" s="1"/>
  <c r="AF97" i="20"/>
  <c r="AV97" i="20" s="1"/>
  <c r="BL97" i="20" s="1"/>
  <c r="AD97" i="20"/>
  <c r="AH97" i="20"/>
  <c r="S97" i="20"/>
  <c r="AM81" i="20"/>
  <c r="S81" i="20"/>
  <c r="AA102" i="20"/>
  <c r="AB102" i="20" s="1"/>
  <c r="AF102" i="20"/>
  <c r="AG102" i="20" s="1"/>
  <c r="AD102" i="20"/>
  <c r="AJ86" i="20"/>
  <c r="AK86" i="20" s="1"/>
  <c r="AO86" i="20"/>
  <c r="AP86" i="20" s="1"/>
  <c r="AF86" i="20"/>
  <c r="AG86" i="20" s="1"/>
  <c r="AA86" i="20"/>
  <c r="AB86" i="20" s="1"/>
  <c r="AD86" i="20"/>
  <c r="AM44" i="20"/>
  <c r="X44" i="20"/>
  <c r="Y44" i="20" s="1"/>
  <c r="Z44" i="20" s="1"/>
  <c r="Q52" i="20"/>
  <c r="AS52" i="20" s="1"/>
  <c r="AO52" i="20"/>
  <c r="AP52" i="20" s="1"/>
  <c r="S52" i="20"/>
  <c r="AM101" i="20"/>
  <c r="Q101" i="20"/>
  <c r="AS101" i="20" s="1"/>
  <c r="AM85" i="20"/>
  <c r="AF85" i="20"/>
  <c r="AM69" i="20"/>
  <c r="AF69" i="20"/>
  <c r="AG69" i="20" s="1"/>
  <c r="AM98" i="20"/>
  <c r="AF98" i="20"/>
  <c r="S98" i="20"/>
  <c r="AK32" i="20"/>
  <c r="AN32" i="20" s="1"/>
  <c r="BE32" i="20" s="1"/>
  <c r="AV32" i="20"/>
  <c r="BL32" i="20" s="1"/>
  <c r="AI152" i="20"/>
  <c r="BK152" i="20" s="1"/>
  <c r="B163" i="2"/>
  <c r="E46" i="1" s="1"/>
  <c r="S10" i="20"/>
  <c r="AM23" i="20"/>
  <c r="AM14" i="20"/>
  <c r="AH86" i="20"/>
  <c r="X52" i="20"/>
  <c r="Y52" i="20" s="1"/>
  <c r="Z52" i="20" s="1"/>
  <c r="X70" i="20"/>
  <c r="Y70" i="20" s="1"/>
  <c r="Z70" i="20" s="1"/>
  <c r="U102" i="20"/>
  <c r="V102" i="20" s="1"/>
  <c r="W102" i="20" s="1"/>
  <c r="U104" i="20"/>
  <c r="V104" i="20" s="1"/>
  <c r="W104" i="20" s="1"/>
  <c r="AH81" i="20"/>
  <c r="U10" i="20"/>
  <c r="V10" i="20" s="1"/>
  <c r="W10" i="20" s="1"/>
  <c r="AD104" i="20"/>
  <c r="AD52" i="20"/>
  <c r="S104" i="20"/>
  <c r="AG64" i="20"/>
  <c r="AI64" i="20" s="1"/>
  <c r="BF64" i="20" s="1"/>
  <c r="AV96" i="20"/>
  <c r="BL96" i="20" s="1"/>
  <c r="S101" i="20"/>
  <c r="AA97" i="20"/>
  <c r="AB97" i="20" s="1"/>
  <c r="AO10" i="20"/>
  <c r="AP10" i="20" s="1"/>
  <c r="Q102" i="20"/>
  <c r="AS102" i="20" s="1"/>
  <c r="AO102" i="20"/>
  <c r="AP102" i="20" s="1"/>
  <c r="AG139" i="20"/>
  <c r="AI139" i="20" s="1"/>
  <c r="BF139" i="20" s="1"/>
  <c r="AG159" i="20"/>
  <c r="AI159" i="20" s="1"/>
  <c r="BK159" i="20" s="1"/>
  <c r="AV152" i="20"/>
  <c r="BL152" i="20" s="1"/>
  <c r="AO36" i="20"/>
  <c r="AP36" i="20" s="1"/>
  <c r="AM36" i="20"/>
  <c r="X36" i="20"/>
  <c r="Y36" i="20" s="1"/>
  <c r="Z36" i="20" s="1"/>
  <c r="Q36" i="20"/>
  <c r="AS36" i="20" s="1"/>
  <c r="AE16" i="20"/>
  <c r="AE108" i="20"/>
  <c r="BE108" i="20" s="1"/>
  <c r="AR199" i="20"/>
  <c r="T191" i="20"/>
  <c r="BI191" i="20" s="1"/>
  <c r="AR182" i="20"/>
  <c r="T196" i="20"/>
  <c r="BI196" i="20" s="1"/>
  <c r="AR121" i="20"/>
  <c r="AR114" i="20"/>
  <c r="AR135" i="20"/>
  <c r="AR128" i="20"/>
  <c r="AR127" i="20"/>
  <c r="AR136" i="20"/>
  <c r="AR120" i="20"/>
  <c r="AR178" i="20"/>
  <c r="AR132" i="20"/>
  <c r="AR149" i="20"/>
  <c r="AR125" i="20"/>
  <c r="AR184" i="20"/>
  <c r="AR176" i="20"/>
  <c r="AI167" i="20"/>
  <c r="BK167" i="20" s="1"/>
  <c r="AE24" i="20"/>
  <c r="AN106" i="20"/>
  <c r="AN110" i="20"/>
  <c r="AN117" i="20"/>
  <c r="AN140" i="20"/>
  <c r="AN103" i="20"/>
  <c r="AN100" i="20"/>
  <c r="AN84" i="20"/>
  <c r="AN136" i="20"/>
  <c r="AN121" i="20"/>
  <c r="AN135" i="20"/>
  <c r="AN133" i="20"/>
  <c r="AN141" i="20"/>
  <c r="AN147" i="20"/>
  <c r="AN137" i="20"/>
  <c r="AN129" i="20"/>
  <c r="AN128" i="20"/>
  <c r="AR196" i="20"/>
  <c r="AR173" i="20"/>
  <c r="AR152" i="20"/>
  <c r="AE139" i="20"/>
  <c r="BE139" i="20" s="1"/>
  <c r="AM12" i="20"/>
  <c r="X73" i="20"/>
  <c r="Y73" i="20" s="1"/>
  <c r="Z73" i="20" s="1"/>
  <c r="X107" i="20"/>
  <c r="Y107" i="20" s="1"/>
  <c r="Z107" i="20" s="1"/>
  <c r="X12" i="20"/>
  <c r="Y12" i="20" s="1"/>
  <c r="Z12" i="20" s="1"/>
  <c r="U93" i="20"/>
  <c r="V93" i="20" s="1"/>
  <c r="W93" i="20" s="1"/>
  <c r="U77" i="20"/>
  <c r="V77" i="20" s="1"/>
  <c r="W77" i="20" s="1"/>
  <c r="X78" i="20"/>
  <c r="Y78" i="20" s="1"/>
  <c r="Z78" i="20" s="1"/>
  <c r="S78" i="20"/>
  <c r="AD77" i="20"/>
  <c r="AH93" i="20"/>
  <c r="AH39" i="20"/>
  <c r="X105" i="20"/>
  <c r="Y105" i="20" s="1"/>
  <c r="Z105" i="20" s="1"/>
  <c r="AD106" i="20"/>
  <c r="AH62" i="20"/>
  <c r="AD62" i="20"/>
  <c r="AH77" i="20"/>
  <c r="S73" i="20"/>
  <c r="S89" i="20"/>
  <c r="AH105" i="20"/>
  <c r="AI105" i="20" s="1"/>
  <c r="Q73" i="20"/>
  <c r="AS73" i="20" s="1"/>
  <c r="AF94" i="20"/>
  <c r="AG94" i="20" s="1"/>
  <c r="Q78" i="20"/>
  <c r="AS78" i="20" s="1"/>
  <c r="AA12" i="20"/>
  <c r="AB12" i="20" s="1"/>
  <c r="AE12" i="20" s="1"/>
  <c r="Q12" i="20"/>
  <c r="AS12" i="20" s="1"/>
  <c r="AF93" i="20"/>
  <c r="AG93" i="20" s="1"/>
  <c r="AF77" i="20"/>
  <c r="AG77" i="20" s="1"/>
  <c r="AF74" i="20"/>
  <c r="AG74" i="20" s="1"/>
  <c r="AO39" i="20"/>
  <c r="AP39" i="20" s="1"/>
  <c r="AO89" i="20"/>
  <c r="AP89" i="20" s="1"/>
  <c r="Q39" i="20"/>
  <c r="AS39" i="20" s="1"/>
  <c r="AR188" i="20"/>
  <c r="AR180" i="20"/>
  <c r="AR145" i="20"/>
  <c r="AR175" i="20"/>
  <c r="AE175" i="20"/>
  <c r="BE175" i="20" s="1"/>
  <c r="AR160" i="20"/>
  <c r="AR168" i="20"/>
  <c r="AR197" i="20"/>
  <c r="AR131" i="20"/>
  <c r="AR148" i="20"/>
  <c r="AR146" i="20"/>
  <c r="AR130" i="20"/>
  <c r="AR209" i="20"/>
  <c r="AR133" i="20"/>
  <c r="AR126" i="20"/>
  <c r="AR165" i="20"/>
  <c r="AR157" i="20"/>
  <c r="BK143" i="20"/>
  <c r="T139" i="20"/>
  <c r="BI139" i="20" s="1"/>
  <c r="AF39" i="20"/>
  <c r="AD107" i="20"/>
  <c r="AN99" i="20"/>
  <c r="AN111" i="20"/>
  <c r="AJ12" i="20"/>
  <c r="AK12" i="20" s="1"/>
  <c r="AR84" i="20"/>
  <c r="AR167" i="20"/>
  <c r="AR172" i="20"/>
  <c r="AR204" i="20"/>
  <c r="AH107" i="20"/>
  <c r="AH98" i="20"/>
  <c r="AH82" i="20"/>
  <c r="AH52" i="20"/>
  <c r="AI52" i="20" s="1"/>
  <c r="U89" i="20"/>
  <c r="V89" i="20" s="1"/>
  <c r="W89" i="20" s="1"/>
  <c r="X94" i="20"/>
  <c r="Y94" i="20" s="1"/>
  <c r="Z94" i="20" s="1"/>
  <c r="U69" i="20"/>
  <c r="V69" i="20" s="1"/>
  <c r="W69" i="20" s="1"/>
  <c r="U44" i="20"/>
  <c r="V44" i="20" s="1"/>
  <c r="W44" i="20" s="1"/>
  <c r="X98" i="20"/>
  <c r="Y98" i="20" s="1"/>
  <c r="Z98" i="20" s="1"/>
  <c r="U78" i="20"/>
  <c r="V78" i="20" s="1"/>
  <c r="W78" i="20" s="1"/>
  <c r="U82" i="20"/>
  <c r="V82" i="20" s="1"/>
  <c r="W82" i="20" s="1"/>
  <c r="AD88" i="20"/>
  <c r="AD78" i="20"/>
  <c r="AD89" i="20"/>
  <c r="AE89" i="20" s="1"/>
  <c r="AH101" i="20"/>
  <c r="AD101" i="20"/>
  <c r="S62" i="20"/>
  <c r="U13" i="20"/>
  <c r="V13" i="20" s="1"/>
  <c r="W13" i="20" s="1"/>
  <c r="AD44" i="20"/>
  <c r="U94" i="20"/>
  <c r="V94" i="20" s="1"/>
  <c r="W94" i="20" s="1"/>
  <c r="AH69" i="20"/>
  <c r="AH73" i="20"/>
  <c r="AD94" i="20"/>
  <c r="AH78" i="20"/>
  <c r="AD98" i="20"/>
  <c r="AD105" i="20"/>
  <c r="AV83" i="20"/>
  <c r="BL83" i="20" s="1"/>
  <c r="Q105" i="20"/>
  <c r="AS105" i="20" s="1"/>
  <c r="AF89" i="20"/>
  <c r="AF73" i="20"/>
  <c r="AG73" i="20" s="1"/>
  <c r="Q94" i="20"/>
  <c r="AS94" i="20" s="1"/>
  <c r="AF78" i="20"/>
  <c r="AG78" i="20" s="1"/>
  <c r="AF62" i="20"/>
  <c r="AG62" i="20" s="1"/>
  <c r="AF101" i="20"/>
  <c r="AA82" i="20"/>
  <c r="AB82" i="20" s="1"/>
  <c r="AA105" i="20"/>
  <c r="AB105" i="20" s="1"/>
  <c r="AA94" i="20"/>
  <c r="AB94" i="20" s="1"/>
  <c r="AA78" i="20"/>
  <c r="AB78" i="20" s="1"/>
  <c r="AA69" i="20"/>
  <c r="AB69" i="20" s="1"/>
  <c r="Q98" i="20"/>
  <c r="AS98" i="20" s="1"/>
  <c r="AF82" i="20"/>
  <c r="AG82" i="20" s="1"/>
  <c r="AF66" i="20"/>
  <c r="AG66" i="20" s="1"/>
  <c r="AR76" i="20"/>
  <c r="AO73" i="20"/>
  <c r="AP73" i="20" s="1"/>
  <c r="AO78" i="20"/>
  <c r="AP78" i="20" s="1"/>
  <c r="AR124" i="20"/>
  <c r="AS204" i="20"/>
  <c r="AR189" i="20"/>
  <c r="AR195" i="20"/>
  <c r="AR207" i="20"/>
  <c r="AR200" i="20"/>
  <c r="T181" i="20"/>
  <c r="BI181" i="20" s="1"/>
  <c r="AR140" i="20"/>
  <c r="AR174" i="20"/>
  <c r="AR202" i="20"/>
  <c r="AO44" i="20"/>
  <c r="AP44" i="20" s="1"/>
  <c r="AF44" i="20"/>
  <c r="AG44" i="20" s="1"/>
  <c r="AA44" i="20"/>
  <c r="AB44" i="20" s="1"/>
  <c r="AF107" i="20"/>
  <c r="AG107" i="20" s="1"/>
  <c r="Q44" i="20"/>
  <c r="AS44" i="20" s="1"/>
  <c r="AJ44" i="20"/>
  <c r="AK44" i="20" s="1"/>
  <c r="AR179" i="20"/>
  <c r="AR159" i="20"/>
  <c r="AN174" i="20"/>
  <c r="AV56" i="21"/>
  <c r="BM56" i="21" s="1"/>
  <c r="AN115" i="20"/>
  <c r="AN120" i="20"/>
  <c r="AN87" i="20"/>
  <c r="AN114" i="20"/>
  <c r="AN123" i="20"/>
  <c r="AN127" i="20"/>
  <c r="AN113" i="20"/>
  <c r="AN152" i="20"/>
  <c r="AN83" i="20"/>
  <c r="AV76" i="21"/>
  <c r="BM76" i="21" s="1"/>
  <c r="AN93" i="20"/>
  <c r="AN112" i="20"/>
  <c r="AN131" i="20"/>
  <c r="AN122" i="20"/>
  <c r="AN142" i="20"/>
  <c r="AN146" i="20"/>
  <c r="AN144" i="20"/>
  <c r="AN150" i="20"/>
  <c r="AN138" i="20"/>
  <c r="AN126" i="20"/>
  <c r="AN191" i="20"/>
  <c r="B135" i="2"/>
  <c r="E29" i="1" s="1"/>
  <c r="AN91" i="20"/>
  <c r="AN192" i="20"/>
  <c r="AN204" i="20"/>
  <c r="AN162" i="20"/>
  <c r="AN158" i="20"/>
  <c r="AV179" i="20"/>
  <c r="BL179" i="20" s="1"/>
  <c r="AN178" i="20"/>
  <c r="AN208" i="20"/>
  <c r="AN186" i="20"/>
  <c r="BE143" i="20"/>
  <c r="BE183" i="20"/>
  <c r="AK173" i="20"/>
  <c r="AN173" i="20" s="1"/>
  <c r="AV173" i="20"/>
  <c r="BL173" i="20" s="1"/>
  <c r="AN194" i="20"/>
  <c r="AJ52" i="20"/>
  <c r="AK52" i="20" s="1"/>
  <c r="AM52" i="20"/>
  <c r="R151" i="20"/>
  <c r="T151" i="20" s="1"/>
  <c r="BI151" i="20" s="1"/>
  <c r="AS151" i="20"/>
  <c r="AN181" i="20"/>
  <c r="AN172" i="20"/>
  <c r="R159" i="20"/>
  <c r="T159" i="20" s="1"/>
  <c r="BI159" i="20" s="1"/>
  <c r="AS159" i="20"/>
  <c r="AN188" i="20"/>
  <c r="AN166" i="20"/>
  <c r="AN203" i="20"/>
  <c r="AN201" i="20"/>
  <c r="AN165" i="20"/>
  <c r="AN199" i="20"/>
  <c r="AN160" i="20"/>
  <c r="AN195" i="20"/>
  <c r="AN209" i="20"/>
  <c r="S88" i="20"/>
  <c r="X69" i="20"/>
  <c r="Y69" i="20" s="1"/>
  <c r="Z69" i="20" s="1"/>
  <c r="X82" i="20"/>
  <c r="Y82" i="20" s="1"/>
  <c r="Z82" i="20" s="1"/>
  <c r="U81" i="20"/>
  <c r="V81" i="20" s="1"/>
  <c r="W81" i="20" s="1"/>
  <c r="X86" i="20"/>
  <c r="Y86" i="20" s="1"/>
  <c r="Z86" i="20" s="1"/>
  <c r="X17" i="20"/>
  <c r="Y17" i="20" s="1"/>
  <c r="Z17" i="20" s="1"/>
  <c r="X72" i="20"/>
  <c r="Y72" i="20" s="1"/>
  <c r="Z72" i="20" s="1"/>
  <c r="U97" i="20"/>
  <c r="V97" i="20" s="1"/>
  <c r="W97" i="20" s="1"/>
  <c r="U65" i="20"/>
  <c r="V65" i="20" s="1"/>
  <c r="W65" i="20" s="1"/>
  <c r="U72" i="20"/>
  <c r="V72" i="20" s="1"/>
  <c r="W72" i="20" s="1"/>
  <c r="U101" i="20"/>
  <c r="V101" i="20" s="1"/>
  <c r="W101" i="20" s="1"/>
  <c r="U107" i="20"/>
  <c r="V107" i="20" s="1"/>
  <c r="W107" i="20" s="1"/>
  <c r="U70" i="20"/>
  <c r="V70" i="20" s="1"/>
  <c r="W70" i="20" s="1"/>
  <c r="X102" i="20"/>
  <c r="Y102" i="20" s="1"/>
  <c r="Z102" i="20" s="1"/>
  <c r="X97" i="20"/>
  <c r="Y97" i="20" s="1"/>
  <c r="Z97" i="20" s="1"/>
  <c r="S69" i="20"/>
  <c r="S102" i="20"/>
  <c r="X101" i="20"/>
  <c r="Y101" i="20" s="1"/>
  <c r="Z101" i="20" s="1"/>
  <c r="S107" i="20"/>
  <c r="U86" i="20"/>
  <c r="V86" i="20" s="1"/>
  <c r="W86" i="20" s="1"/>
  <c r="S66" i="20"/>
  <c r="AA81" i="20"/>
  <c r="AB81" i="20" s="1"/>
  <c r="AE81" i="20" s="1"/>
  <c r="AA98" i="20"/>
  <c r="AB98" i="20" s="1"/>
  <c r="AA66" i="20"/>
  <c r="AB66" i="20" s="1"/>
  <c r="AR9" i="20"/>
  <c r="Q97" i="20"/>
  <c r="AS97" i="20" s="1"/>
  <c r="Q81" i="20"/>
  <c r="AS81" i="20" s="1"/>
  <c r="Q86" i="20"/>
  <c r="AS86" i="20" s="1"/>
  <c r="Q70" i="20"/>
  <c r="AS70" i="20" s="1"/>
  <c r="AA101" i="20"/>
  <c r="AB101" i="20" s="1"/>
  <c r="Q82" i="20"/>
  <c r="AS82" i="20" s="1"/>
  <c r="AR32" i="20"/>
  <c r="BF32" i="20" s="1"/>
  <c r="AA65" i="20"/>
  <c r="AB65" i="20" s="1"/>
  <c r="AJ65" i="20"/>
  <c r="AK65" i="20" s="1"/>
  <c r="AN65" i="20" s="1"/>
  <c r="AQ61" i="20"/>
  <c r="AQ66" i="20"/>
  <c r="AO98" i="20"/>
  <c r="AP98" i="20" s="1"/>
  <c r="AJ70" i="20"/>
  <c r="AK70" i="20" s="1"/>
  <c r="AN70" i="20" s="1"/>
  <c r="AO101" i="20"/>
  <c r="AP101" i="20" s="1"/>
  <c r="AR101" i="20" s="1"/>
  <c r="AQ82" i="20"/>
  <c r="AN80" i="20"/>
  <c r="AQ52" i="20"/>
  <c r="AR115" i="20"/>
  <c r="BF171" i="20"/>
  <c r="AV188" i="20"/>
  <c r="BL188" i="20" s="1"/>
  <c r="AR164" i="20"/>
  <c r="AR185" i="20"/>
  <c r="AR170" i="20"/>
  <c r="AR154" i="20"/>
  <c r="AR138" i="20"/>
  <c r="AR153" i="20"/>
  <c r="AR190" i="20"/>
  <c r="AV165" i="20"/>
  <c r="BL165" i="20" s="1"/>
  <c r="AV181" i="20"/>
  <c r="BL181" i="20" s="1"/>
  <c r="AR144" i="20"/>
  <c r="AR205" i="20"/>
  <c r="AR123" i="20"/>
  <c r="AR198" i="20"/>
  <c r="AR186" i="20"/>
  <c r="AR177" i="20"/>
  <c r="AR119" i="20"/>
  <c r="AV151" i="20"/>
  <c r="BL151" i="20" s="1"/>
  <c r="AR141" i="20"/>
  <c r="AE202" i="20"/>
  <c r="BE202" i="20" s="1"/>
  <c r="BE171" i="20"/>
  <c r="AA52" i="20"/>
  <c r="AB52" i="20" s="1"/>
  <c r="BE152" i="20"/>
  <c r="AV194" i="20"/>
  <c r="BL194" i="20" s="1"/>
  <c r="AJ88" i="20"/>
  <c r="AK88" i="20" s="1"/>
  <c r="AJ101" i="20"/>
  <c r="AK101" i="20" s="1"/>
  <c r="AJ98" i="20"/>
  <c r="AK98" i="20" s="1"/>
  <c r="AR91" i="20"/>
  <c r="BE156" i="20"/>
  <c r="AR96" i="20"/>
  <c r="AN125" i="20"/>
  <c r="AN134" i="20"/>
  <c r="AN124" i="20"/>
  <c r="AN145" i="20"/>
  <c r="AN154" i="20"/>
  <c r="AN153" i="20"/>
  <c r="AN148" i="20"/>
  <c r="AN96" i="20"/>
  <c r="AN130" i="20"/>
  <c r="AN119" i="20"/>
  <c r="AN206" i="20"/>
  <c r="AN161" i="20"/>
  <c r="AN205" i="20"/>
  <c r="AN185" i="20"/>
  <c r="AN177" i="20"/>
  <c r="AN170" i="20"/>
  <c r="AN184" i="20"/>
  <c r="AN190" i="20"/>
  <c r="AN202" i="20"/>
  <c r="AN151" i="20"/>
  <c r="BE151" i="20" s="1"/>
  <c r="R172" i="20"/>
  <c r="T172" i="20" s="1"/>
  <c r="BI172" i="20" s="1"/>
  <c r="AS172" i="20"/>
  <c r="AN159" i="20"/>
  <c r="BE159" i="20" s="1"/>
  <c r="AN182" i="20"/>
  <c r="AN180" i="20"/>
  <c r="AN164" i="20"/>
  <c r="AN132" i="20"/>
  <c r="AN149" i="20"/>
  <c r="AN175" i="20"/>
  <c r="AN187" i="20"/>
  <c r="AN169" i="20"/>
  <c r="AN157" i="20"/>
  <c r="AN163" i="20"/>
  <c r="AN207" i="20"/>
  <c r="AN197" i="20"/>
  <c r="AN176" i="20"/>
  <c r="AN198" i="20"/>
  <c r="AN196" i="20"/>
  <c r="AN189" i="20"/>
  <c r="AN200" i="20"/>
  <c r="AN168" i="20"/>
  <c r="U88" i="20"/>
  <c r="V88" i="20" s="1"/>
  <c r="W88" i="20" s="1"/>
  <c r="AM88" i="20"/>
  <c r="AQ88" i="20"/>
  <c r="AO107" i="20"/>
  <c r="AP107" i="20" s="1"/>
  <c r="AM107" i="20"/>
  <c r="AQ97" i="20"/>
  <c r="AM97" i="20"/>
  <c r="AN97" i="20" s="1"/>
  <c r="AQ102" i="20"/>
  <c r="AM102" i="20"/>
  <c r="AQ86" i="20"/>
  <c r="AM86" i="20"/>
  <c r="BE96" i="20"/>
  <c r="AO104" i="20"/>
  <c r="AP104" i="20" s="1"/>
  <c r="AM104" i="20"/>
  <c r="AN104" i="20" s="1"/>
  <c r="AQ104" i="20"/>
  <c r="Q104" i="20"/>
  <c r="AA104" i="20"/>
  <c r="AB104" i="20" s="1"/>
  <c r="AJ107" i="20"/>
  <c r="AK107" i="20" s="1"/>
  <c r="AQ105" i="20"/>
  <c r="AR105" i="20" s="1"/>
  <c r="AM105" i="20"/>
  <c r="AQ89" i="20"/>
  <c r="AM89" i="20"/>
  <c r="AQ94" i="20"/>
  <c r="AR94" i="20" s="1"/>
  <c r="AM94" i="20"/>
  <c r="AR28" i="20"/>
  <c r="BF28" i="20" s="1"/>
  <c r="AE64" i="20"/>
  <c r="R82" i="21"/>
  <c r="T82" i="21" s="1"/>
  <c r="BI82" i="21" s="1"/>
  <c r="AI97" i="21"/>
  <c r="AJ13" i="20"/>
  <c r="AK13" i="20" s="1"/>
  <c r="AQ23" i="20"/>
  <c r="AA23" i="20"/>
  <c r="AB23" i="20" s="1"/>
  <c r="AO23" i="20"/>
  <c r="AP23" i="20" s="1"/>
  <c r="AH72" i="20"/>
  <c r="AD41" i="20"/>
  <c r="Q65" i="20"/>
  <c r="AS65" i="20" s="1"/>
  <c r="AO65" i="20"/>
  <c r="AP65" i="20" s="1"/>
  <c r="AO72" i="20"/>
  <c r="AP72" i="20" s="1"/>
  <c r="U31" i="20"/>
  <c r="V31" i="20" s="1"/>
  <c r="W31" i="20" s="1"/>
  <c r="AE199" i="20"/>
  <c r="BE199" i="20" s="1"/>
  <c r="AR111" i="20"/>
  <c r="AD72" i="20"/>
  <c r="AC20" i="20"/>
  <c r="AE20" i="20" s="1"/>
  <c r="AJ20" i="20"/>
  <c r="AK20" i="20" s="1"/>
  <c r="AN20" i="20" s="1"/>
  <c r="BE20" i="20" s="1"/>
  <c r="AO20" i="20"/>
  <c r="AP20" i="20" s="1"/>
  <c r="AR20" i="20" s="1"/>
  <c r="BF20" i="20" s="1"/>
  <c r="AR99" i="20"/>
  <c r="AV80" i="20"/>
  <c r="BL80" i="20" s="1"/>
  <c r="AM46" i="20"/>
  <c r="AN46" i="20" s="1"/>
  <c r="AJ61" i="20"/>
  <c r="AK61" i="20" s="1"/>
  <c r="AN61" i="20" s="1"/>
  <c r="AR112" i="20"/>
  <c r="AR110" i="20"/>
  <c r="AR27" i="20"/>
  <c r="Q72" i="20"/>
  <c r="AS72" i="20" s="1"/>
  <c r="AM72" i="20"/>
  <c r="AN72" i="20" s="1"/>
  <c r="AQ72" i="20"/>
  <c r="AF72" i="20"/>
  <c r="AA72" i="20"/>
  <c r="AB72" i="20" s="1"/>
  <c r="BF43" i="20"/>
  <c r="AC88" i="20"/>
  <c r="AO88" i="20"/>
  <c r="AP88" i="20" s="1"/>
  <c r="AF88" i="20"/>
  <c r="AG88" i="20" s="1"/>
  <c r="AA88" i="20"/>
  <c r="AB88" i="20" s="1"/>
  <c r="Q88" i="20"/>
  <c r="AA26" i="20"/>
  <c r="AB26" i="20" s="1"/>
  <c r="AM30" i="20"/>
  <c r="R11" i="21"/>
  <c r="T11" i="21" s="1"/>
  <c r="BI11" i="21" s="1"/>
  <c r="AM25" i="20"/>
  <c r="AM26" i="20"/>
  <c r="AN27" i="20"/>
  <c r="AI16" i="20"/>
  <c r="AO30" i="20"/>
  <c r="AP30" i="20" s="1"/>
  <c r="AQ26" i="20"/>
  <c r="AV117" i="20"/>
  <c r="BL117" i="20" s="1"/>
  <c r="AR67" i="21"/>
  <c r="AR58" i="21"/>
  <c r="BL58" i="21" s="1"/>
  <c r="BF58" i="21" s="1"/>
  <c r="AR42" i="21"/>
  <c r="AI83" i="21"/>
  <c r="AE27" i="20"/>
  <c r="AI48" i="20"/>
  <c r="S30" i="20"/>
  <c r="U30" i="20"/>
  <c r="V30" i="20" s="1"/>
  <c r="W30" i="20" s="1"/>
  <c r="AI23" i="20"/>
  <c r="BK23" i="20" s="1"/>
  <c r="AJ25" i="20"/>
  <c r="AK25" i="20" s="1"/>
  <c r="AO26" i="20"/>
  <c r="AP26" i="20" s="1"/>
  <c r="Q33" i="20"/>
  <c r="AS33" i="20" s="1"/>
  <c r="AJ26" i="20"/>
  <c r="AK26" i="20" s="1"/>
  <c r="AQ30" i="20"/>
  <c r="AE150" i="20"/>
  <c r="BE150" i="20" s="1"/>
  <c r="AE189" i="20"/>
  <c r="BE189" i="20" s="1"/>
  <c r="AG120" i="20"/>
  <c r="AI120" i="20" s="1"/>
  <c r="BF120" i="20" s="1"/>
  <c r="AE119" i="20"/>
  <c r="BE119" i="20" s="1"/>
  <c r="R22" i="21"/>
  <c r="T22" i="21" s="1"/>
  <c r="BI22" i="21" s="1"/>
  <c r="AI35" i="21"/>
  <c r="AI47" i="21"/>
  <c r="AR51" i="20"/>
  <c r="AV67" i="21"/>
  <c r="BM67" i="21" s="1"/>
  <c r="AG67" i="21"/>
  <c r="AI67" i="21" s="1"/>
  <c r="R32" i="20"/>
  <c r="T32" i="20" s="1"/>
  <c r="S29" i="20"/>
  <c r="AG24" i="20"/>
  <c r="AI24" i="20" s="1"/>
  <c r="S31" i="20"/>
  <c r="AJ31" i="20"/>
  <c r="AK31" i="20" s="1"/>
  <c r="AJ18" i="20"/>
  <c r="AK18" i="20" s="1"/>
  <c r="AR22" i="20"/>
  <c r="AE185" i="20"/>
  <c r="BE185" i="20" s="1"/>
  <c r="AG185" i="20"/>
  <c r="AI185" i="20" s="1"/>
  <c r="BF185" i="20" s="1"/>
  <c r="AG130" i="20"/>
  <c r="AI130" i="20" s="1"/>
  <c r="BF130" i="20" s="1"/>
  <c r="AE203" i="20"/>
  <c r="BE203" i="20" s="1"/>
  <c r="AG194" i="20"/>
  <c r="AI194" i="20" s="1"/>
  <c r="BF194" i="20" s="1"/>
  <c r="AI81" i="21"/>
  <c r="AI82" i="21"/>
  <c r="U53" i="20"/>
  <c r="V53" i="20" s="1"/>
  <c r="W53" i="20" s="1"/>
  <c r="R27" i="20"/>
  <c r="T27" i="20" s="1"/>
  <c r="BI27" i="20" s="1"/>
  <c r="AH50" i="20"/>
  <c r="AH49" i="20"/>
  <c r="AE99" i="20"/>
  <c r="BE99" i="20" s="1"/>
  <c r="AJ29" i="20"/>
  <c r="AK29" i="20" s="1"/>
  <c r="Q30" i="20"/>
  <c r="AS30" i="20" s="1"/>
  <c r="AC30" i="20"/>
  <c r="AI106" i="21"/>
  <c r="R47" i="20"/>
  <c r="T47" i="20" s="1"/>
  <c r="R92" i="20"/>
  <c r="T92" i="20" s="1"/>
  <c r="BI92" i="20" s="1"/>
  <c r="R76" i="20"/>
  <c r="T76" i="20" s="1"/>
  <c r="BI76" i="20" s="1"/>
  <c r="R28" i="20"/>
  <c r="T28" i="20" s="1"/>
  <c r="BI28" i="20" s="1"/>
  <c r="AH37" i="20"/>
  <c r="R91" i="20"/>
  <c r="T91" i="20" s="1"/>
  <c r="BI91" i="20" s="1"/>
  <c r="S50" i="20"/>
  <c r="AH18" i="20"/>
  <c r="U37" i="20"/>
  <c r="V37" i="20" s="1"/>
  <c r="W37" i="20" s="1"/>
  <c r="AH21" i="20"/>
  <c r="AD42" i="20"/>
  <c r="S49" i="20"/>
  <c r="AH42" i="20"/>
  <c r="R60" i="20"/>
  <c r="T60" i="20" s="1"/>
  <c r="BI60" i="20" s="1"/>
  <c r="S37" i="20"/>
  <c r="AH41" i="20"/>
  <c r="U46" i="20"/>
  <c r="V46" i="20" s="1"/>
  <c r="W46" i="20" s="1"/>
  <c r="AA31" i="20"/>
  <c r="AB31" i="20" s="1"/>
  <c r="AE31" i="20" s="1"/>
  <c r="AO17" i="20"/>
  <c r="AP17" i="20" s="1"/>
  <c r="Q31" i="20"/>
  <c r="AA53" i="20"/>
  <c r="AB53" i="20" s="1"/>
  <c r="Q46" i="20"/>
  <c r="AS46" i="20" s="1"/>
  <c r="Q26" i="20"/>
  <c r="AS26" i="20" s="1"/>
  <c r="AC26" i="20"/>
  <c r="AS94" i="21"/>
  <c r="AE58" i="21"/>
  <c r="AI105" i="21"/>
  <c r="S18" i="20"/>
  <c r="AM29" i="20"/>
  <c r="AV22" i="20"/>
  <c r="BL22" i="20" s="1"/>
  <c r="U33" i="20"/>
  <c r="V33" i="20" s="1"/>
  <c r="W33" i="20" s="1"/>
  <c r="R99" i="20"/>
  <c r="T99" i="20" s="1"/>
  <c r="BI99" i="20" s="1"/>
  <c r="X29" i="20"/>
  <c r="Y29" i="20" s="1"/>
  <c r="Z29" i="20" s="1"/>
  <c r="AI63" i="20"/>
  <c r="AA29" i="20"/>
  <c r="AB29" i="20" s="1"/>
  <c r="AO33" i="20"/>
  <c r="AP33" i="20" s="1"/>
  <c r="Q29" i="20"/>
  <c r="AS29" i="20" s="1"/>
  <c r="U18" i="20"/>
  <c r="V18" i="20" s="1"/>
  <c r="W18" i="20" s="1"/>
  <c r="AN51" i="20"/>
  <c r="AE115" i="20"/>
  <c r="BE115" i="20" s="1"/>
  <c r="AE161" i="20"/>
  <c r="BE161" i="20" s="1"/>
  <c r="AV208" i="20"/>
  <c r="BL208" i="20" s="1"/>
  <c r="AG161" i="20"/>
  <c r="AI161" i="20" s="1"/>
  <c r="BF161" i="20" s="1"/>
  <c r="AG201" i="20"/>
  <c r="AI201" i="20" s="1"/>
  <c r="BF201" i="20" s="1"/>
  <c r="AE137" i="20"/>
  <c r="BE137" i="20" s="1"/>
  <c r="AE146" i="20"/>
  <c r="BE146" i="20" s="1"/>
  <c r="AE198" i="20"/>
  <c r="BE198" i="20" s="1"/>
  <c r="AE132" i="20"/>
  <c r="BE132" i="20" s="1"/>
  <c r="BK172" i="20"/>
  <c r="AI109" i="21"/>
  <c r="AI93" i="21"/>
  <c r="AI45" i="21"/>
  <c r="AI90" i="21"/>
  <c r="AI71" i="20"/>
  <c r="AF42" i="20"/>
  <c r="AG42" i="20" s="1"/>
  <c r="AR11" i="21"/>
  <c r="AR76" i="21"/>
  <c r="S26" i="20"/>
  <c r="AD26" i="20"/>
  <c r="R51" i="20"/>
  <c r="T51" i="20" s="1"/>
  <c r="BI51" i="20" s="1"/>
  <c r="X31" i="20"/>
  <c r="Y31" i="20" s="1"/>
  <c r="Z31" i="20" s="1"/>
  <c r="AI19" i="20"/>
  <c r="X30" i="20"/>
  <c r="Y30" i="20" s="1"/>
  <c r="Z30" i="20" s="1"/>
  <c r="AH30" i="20"/>
  <c r="X26" i="20"/>
  <c r="Y26" i="20" s="1"/>
  <c r="Z26" i="20" s="1"/>
  <c r="X61" i="20"/>
  <c r="Y61" i="20" s="1"/>
  <c r="Z61" i="20" s="1"/>
  <c r="AF30" i="20"/>
  <c r="AG30" i="20" s="1"/>
  <c r="AF58" i="20"/>
  <c r="AG58" i="20" s="1"/>
  <c r="AA25" i="20"/>
  <c r="AB25" i="20" s="1"/>
  <c r="AE25" i="20" s="1"/>
  <c r="AJ21" i="20"/>
  <c r="AK21" i="20" s="1"/>
  <c r="AE22" i="20"/>
  <c r="AN55" i="20"/>
  <c r="U26" i="20"/>
  <c r="V26" i="20" s="1"/>
  <c r="W26" i="20" s="1"/>
  <c r="AE166" i="20"/>
  <c r="AE134" i="20"/>
  <c r="BE134" i="20" s="1"/>
  <c r="AI208" i="20"/>
  <c r="BF208" i="20" s="1"/>
  <c r="AG166" i="20"/>
  <c r="AI166" i="20" s="1"/>
  <c r="BF166" i="20" s="1"/>
  <c r="AG162" i="20"/>
  <c r="AI162" i="20" s="1"/>
  <c r="BF162" i="20" s="1"/>
  <c r="AE162" i="20"/>
  <c r="BE162" i="20" s="1"/>
  <c r="AE186" i="20"/>
  <c r="BE186" i="20" s="1"/>
  <c r="AE177" i="20"/>
  <c r="BE177" i="20" s="1"/>
  <c r="AE200" i="20"/>
  <c r="AG158" i="20"/>
  <c r="AI158" i="20" s="1"/>
  <c r="BF158" i="20" s="1"/>
  <c r="AI101" i="21"/>
  <c r="AS58" i="21"/>
  <c r="AI55" i="20"/>
  <c r="AI43" i="21"/>
  <c r="AF17" i="20"/>
  <c r="AG17" i="20" s="1"/>
  <c r="AI17" i="20" s="1"/>
  <c r="AF14" i="20"/>
  <c r="AF10" i="20"/>
  <c r="AG10" i="20" s="1"/>
  <c r="AI10" i="20" s="1"/>
  <c r="AJ17" i="20"/>
  <c r="AK17" i="20" s="1"/>
  <c r="AO13" i="20"/>
  <c r="AP13" i="20" s="1"/>
  <c r="AO21" i="20"/>
  <c r="AP21" i="20" s="1"/>
  <c r="AJ34" i="20"/>
  <c r="AK34" i="20" s="1"/>
  <c r="AD34" i="20"/>
  <c r="AF18" i="20"/>
  <c r="AG18" i="20" s="1"/>
  <c r="AF13" i="20"/>
  <c r="AG13" i="20" s="1"/>
  <c r="AI13" i="20" s="1"/>
  <c r="AF21" i="20"/>
  <c r="AG21" i="20" s="1"/>
  <c r="R55" i="20"/>
  <c r="T55" i="20" s="1"/>
  <c r="BI55" i="20" s="1"/>
  <c r="AN28" i="20"/>
  <c r="BE28" i="20" s="1"/>
  <c r="AH46" i="20"/>
  <c r="X50" i="20"/>
  <c r="Y50" i="20" s="1"/>
  <c r="Z50" i="20" s="1"/>
  <c r="U61" i="20"/>
  <c r="V61" i="20" s="1"/>
  <c r="W61" i="20" s="1"/>
  <c r="U49" i="20"/>
  <c r="V49" i="20" s="1"/>
  <c r="W49" i="20" s="1"/>
  <c r="U42" i="20"/>
  <c r="V42" i="20" s="1"/>
  <c r="W42" i="20" s="1"/>
  <c r="U41" i="20"/>
  <c r="V41" i="20" s="1"/>
  <c r="W41" i="20" s="1"/>
  <c r="X46" i="20"/>
  <c r="Y46" i="20" s="1"/>
  <c r="Z46" i="20" s="1"/>
  <c r="X53" i="20"/>
  <c r="Y53" i="20" s="1"/>
  <c r="Z53" i="20" s="1"/>
  <c r="AD49" i="20"/>
  <c r="X49" i="20"/>
  <c r="Y49" i="20" s="1"/>
  <c r="Z49" i="20" s="1"/>
  <c r="X42" i="20"/>
  <c r="Y42" i="20" s="1"/>
  <c r="Z42" i="20" s="1"/>
  <c r="AD53" i="20"/>
  <c r="X41" i="20"/>
  <c r="Y41" i="20" s="1"/>
  <c r="Z41" i="20" s="1"/>
  <c r="AD46" i="20"/>
  <c r="AD50" i="20"/>
  <c r="AH53" i="20"/>
  <c r="R108" i="20"/>
  <c r="T108" i="20" s="1"/>
  <c r="BI108" i="20" s="1"/>
  <c r="S46" i="20"/>
  <c r="S42" i="20"/>
  <c r="AA42" i="20"/>
  <c r="AB42" i="20" s="1"/>
  <c r="AA46" i="20"/>
  <c r="AB46" i="20" s="1"/>
  <c r="AF49" i="20"/>
  <c r="AG49" i="20" s="1"/>
  <c r="AF37" i="20"/>
  <c r="AG37" i="20" s="1"/>
  <c r="Q61" i="20"/>
  <c r="AS61" i="20" s="1"/>
  <c r="AJ37" i="20"/>
  <c r="AK37" i="20" s="1"/>
  <c r="AA61" i="20"/>
  <c r="AB61" i="20" s="1"/>
  <c r="AO41" i="20"/>
  <c r="AP41" i="20" s="1"/>
  <c r="AE188" i="20"/>
  <c r="BE188" i="20" s="1"/>
  <c r="AV150" i="20"/>
  <c r="BL150" i="20" s="1"/>
  <c r="AV119" i="20"/>
  <c r="BL119" i="20" s="1"/>
  <c r="AV198" i="20"/>
  <c r="BL198" i="20" s="1"/>
  <c r="AV200" i="20"/>
  <c r="BL200" i="20" s="1"/>
  <c r="AS105" i="21"/>
  <c r="AR35" i="21"/>
  <c r="R83" i="20"/>
  <c r="T83" i="20" s="1"/>
  <c r="BI83" i="20" s="1"/>
  <c r="AH54" i="20"/>
  <c r="AD54" i="20"/>
  <c r="S58" i="20"/>
  <c r="AA57" i="20"/>
  <c r="AB57" i="20" s="1"/>
  <c r="AV203" i="20"/>
  <c r="BL203" i="20" s="1"/>
  <c r="AE112" i="20"/>
  <c r="BE112" i="20" s="1"/>
  <c r="AV142" i="20"/>
  <c r="BL142" i="20" s="1"/>
  <c r="AG136" i="20"/>
  <c r="AI136" i="20" s="1"/>
  <c r="BF136" i="20" s="1"/>
  <c r="AS106" i="21"/>
  <c r="AS109" i="21"/>
  <c r="AR47" i="21"/>
  <c r="AR44" i="21"/>
  <c r="BL44" i="21" s="1"/>
  <c r="BF44" i="21" s="1"/>
  <c r="AR15" i="21"/>
  <c r="AR30" i="21"/>
  <c r="AR74" i="21"/>
  <c r="BL74" i="21" s="1"/>
  <c r="BF74" i="21" s="1"/>
  <c r="AR36" i="21"/>
  <c r="AI62" i="21"/>
  <c r="T84" i="21"/>
  <c r="BI84" i="21" s="1"/>
  <c r="Q41" i="20"/>
  <c r="AS41" i="20" s="1"/>
  <c r="Q53" i="20"/>
  <c r="AS53" i="20" s="1"/>
  <c r="Q50" i="20"/>
  <c r="AS50" i="20" s="1"/>
  <c r="AA41" i="20"/>
  <c r="AB41" i="20" s="1"/>
  <c r="Q49" i="20"/>
  <c r="AS49" i="20" s="1"/>
  <c r="Q42" i="20"/>
  <c r="AS42" i="20" s="1"/>
  <c r="Q37" i="20"/>
  <c r="AS37" i="20" s="1"/>
  <c r="AQ49" i="20"/>
  <c r="X37" i="20"/>
  <c r="Y37" i="20" s="1"/>
  <c r="Z37" i="20" s="1"/>
  <c r="S53" i="20"/>
  <c r="AM37" i="20"/>
  <c r="AE40" i="20"/>
  <c r="AF53" i="20"/>
  <c r="AG53" i="20" s="1"/>
  <c r="R40" i="20"/>
  <c r="T40" i="20" s="1"/>
  <c r="AN35" i="20"/>
  <c r="U58" i="20"/>
  <c r="V58" i="20" s="1"/>
  <c r="W58" i="20" s="1"/>
  <c r="U57" i="20"/>
  <c r="V57" i="20" s="1"/>
  <c r="W57" i="20" s="1"/>
  <c r="U45" i="20"/>
  <c r="V45" i="20" s="1"/>
  <c r="W45" i="20" s="1"/>
  <c r="AI84" i="20"/>
  <c r="BF84" i="20" s="1"/>
  <c r="AD45" i="20"/>
  <c r="X57" i="20"/>
  <c r="Y57" i="20" s="1"/>
  <c r="Z57" i="20" s="1"/>
  <c r="AD58" i="20"/>
  <c r="AH45" i="20"/>
  <c r="AE55" i="20"/>
  <c r="Q57" i="20"/>
  <c r="AS57" i="20" s="1"/>
  <c r="Q45" i="20"/>
  <c r="AF38" i="20"/>
  <c r="AG38" i="20" s="1"/>
  <c r="AA34" i="20"/>
  <c r="AB34" i="20" s="1"/>
  <c r="AF61" i="20"/>
  <c r="AA58" i="20"/>
  <c r="AB58" i="20" s="1"/>
  <c r="AO61" i="20"/>
  <c r="AP61" i="20" s="1"/>
  <c r="AE117" i="20"/>
  <c r="BE117" i="20" s="1"/>
  <c r="AV134" i="20"/>
  <c r="BL134" i="20" s="1"/>
  <c r="AE208" i="20"/>
  <c r="BE208" i="20" s="1"/>
  <c r="AG178" i="20"/>
  <c r="AI178" i="20" s="1"/>
  <c r="AS67" i="21"/>
  <c r="R68" i="21"/>
  <c r="T68" i="21" s="1"/>
  <c r="BI68" i="21" s="1"/>
  <c r="AS84" i="21"/>
  <c r="AN74" i="21"/>
  <c r="AE74" i="21"/>
  <c r="AE9" i="21"/>
  <c r="AE53" i="21"/>
  <c r="AE66" i="21"/>
  <c r="AF46" i="20"/>
  <c r="AG46" i="20" s="1"/>
  <c r="AJ41" i="20"/>
  <c r="AK41" i="20" s="1"/>
  <c r="AN41" i="20" s="1"/>
  <c r="AJ42" i="20"/>
  <c r="AK42" i="20" s="1"/>
  <c r="AN42" i="20" s="1"/>
  <c r="AQ46" i="20"/>
  <c r="AO49" i="20"/>
  <c r="AP49" i="20" s="1"/>
  <c r="AQ37" i="20"/>
  <c r="AR37" i="20" s="1"/>
  <c r="AF41" i="20"/>
  <c r="AG41" i="20" s="1"/>
  <c r="AO42" i="20"/>
  <c r="AP42" i="20" s="1"/>
  <c r="AO46" i="20"/>
  <c r="AP46" i="20" s="1"/>
  <c r="S41" i="20"/>
  <c r="AM34" i="20"/>
  <c r="AJ57" i="20"/>
  <c r="AK57" i="20" s="1"/>
  <c r="AN57" i="20" s="1"/>
  <c r="AH58" i="20"/>
  <c r="X45" i="20"/>
  <c r="Y45" i="20" s="1"/>
  <c r="Z45" i="20" s="1"/>
  <c r="S57" i="20"/>
  <c r="AD57" i="20"/>
  <c r="AH57" i="20"/>
  <c r="X58" i="20"/>
  <c r="Y58" i="20" s="1"/>
  <c r="Z58" i="20" s="1"/>
  <c r="AE91" i="20"/>
  <c r="BE91" i="20" s="1"/>
  <c r="Q34" i="20"/>
  <c r="AS34" i="20" s="1"/>
  <c r="Q58" i="20"/>
  <c r="Q38" i="20"/>
  <c r="AS38" i="20" s="1"/>
  <c r="Q54" i="20"/>
  <c r="AS54" i="20" s="1"/>
  <c r="AA38" i="20"/>
  <c r="AB38" i="20" s="1"/>
  <c r="AQ57" i="20"/>
  <c r="AJ45" i="20"/>
  <c r="AK45" i="20" s="1"/>
  <c r="AN45" i="20" s="1"/>
  <c r="AJ58" i="20"/>
  <c r="AK58" i="20" s="1"/>
  <c r="AN58" i="20" s="1"/>
  <c r="AQ38" i="20"/>
  <c r="AR38" i="20" s="1"/>
  <c r="AF57" i="20"/>
  <c r="AG57" i="20" s="1"/>
  <c r="AI134" i="20"/>
  <c r="BF134" i="20" s="1"/>
  <c r="AE122" i="20"/>
  <c r="BE122" i="20" s="1"/>
  <c r="AE209" i="20"/>
  <c r="BE209" i="20" s="1"/>
  <c r="BK156" i="20"/>
  <c r="BB156" i="20"/>
  <c r="BD156" i="20" s="1"/>
  <c r="BH156" i="20" s="1"/>
  <c r="BJ156" i="20"/>
  <c r="R9" i="21"/>
  <c r="T9" i="21" s="1"/>
  <c r="BI9" i="21" s="1"/>
  <c r="R89" i="21"/>
  <c r="T89" i="21" s="1"/>
  <c r="BI89" i="21" s="1"/>
  <c r="AR34" i="21"/>
  <c r="R14" i="21"/>
  <c r="T14" i="21" s="1"/>
  <c r="BI14" i="21" s="1"/>
  <c r="AS66" i="21"/>
  <c r="AN56" i="21"/>
  <c r="T74" i="21"/>
  <c r="BI74" i="21" s="1"/>
  <c r="AV59" i="21"/>
  <c r="BM59" i="21" s="1"/>
  <c r="AG47" i="20"/>
  <c r="AI47" i="20" s="1"/>
  <c r="AV58" i="21"/>
  <c r="BM58" i="21" s="1"/>
  <c r="AR53" i="21"/>
  <c r="BL53" i="21" s="1"/>
  <c r="BF53" i="21" s="1"/>
  <c r="BL66" i="21"/>
  <c r="BF66" i="21" s="1"/>
  <c r="AR25" i="21"/>
  <c r="AR37" i="21"/>
  <c r="AR39" i="21"/>
  <c r="R63" i="21"/>
  <c r="T63" i="21" s="1"/>
  <c r="BI63" i="21" s="1"/>
  <c r="AS55" i="21"/>
  <c r="AS47" i="21"/>
  <c r="AR21" i="21"/>
  <c r="AR57" i="21"/>
  <c r="BL57" i="21" s="1"/>
  <c r="BF57" i="21" s="1"/>
  <c r="AE36" i="21"/>
  <c r="AE70" i="21"/>
  <c r="AE44" i="21"/>
  <c r="T70" i="21"/>
  <c r="BI70" i="21" s="1"/>
  <c r="AI89" i="21"/>
  <c r="R72" i="21"/>
  <c r="T72" i="21" s="1"/>
  <c r="BI72" i="21" s="1"/>
  <c r="AV44" i="21"/>
  <c r="BM44" i="21" s="1"/>
  <c r="AV66" i="21"/>
  <c r="BM66" i="21" s="1"/>
  <c r="AV26" i="21"/>
  <c r="BM26" i="21" s="1"/>
  <c r="AV55" i="21"/>
  <c r="BM55" i="21" s="1"/>
  <c r="R53" i="21"/>
  <c r="T53" i="21" s="1"/>
  <c r="BI53" i="21" s="1"/>
  <c r="AS70" i="21"/>
  <c r="AV101" i="21"/>
  <c r="BM101" i="21" s="1"/>
  <c r="AI63" i="21"/>
  <c r="R44" i="21"/>
  <c r="T44" i="21" s="1"/>
  <c r="BI44" i="21" s="1"/>
  <c r="BJ143" i="20"/>
  <c r="AR20" i="21"/>
  <c r="AI56" i="21"/>
  <c r="AS74" i="21"/>
  <c r="R59" i="21"/>
  <c r="T59" i="21" s="1"/>
  <c r="BI59" i="21" s="1"/>
  <c r="AV68" i="21"/>
  <c r="BM68" i="21" s="1"/>
  <c r="AE85" i="21"/>
  <c r="AR109" i="21"/>
  <c r="T58" i="21"/>
  <c r="BI58" i="21" s="1"/>
  <c r="AR62" i="21"/>
  <c r="AI99" i="21"/>
  <c r="AV93" i="21"/>
  <c r="BM93" i="21" s="1"/>
  <c r="AV29" i="21"/>
  <c r="BM29" i="21" s="1"/>
  <c r="AV28" i="21"/>
  <c r="BM28" i="21" s="1"/>
  <c r="R102" i="21"/>
  <c r="T102" i="21" s="1"/>
  <c r="BI102" i="21" s="1"/>
  <c r="AN76" i="20"/>
  <c r="BE76" i="20" s="1"/>
  <c r="T105" i="21"/>
  <c r="BI105" i="21" s="1"/>
  <c r="AG59" i="21"/>
  <c r="AI59" i="21" s="1"/>
  <c r="AV30" i="21"/>
  <c r="BM30" i="21" s="1"/>
  <c r="AV63" i="21"/>
  <c r="BM63" i="21" s="1"/>
  <c r="AR10" i="21"/>
  <c r="AI55" i="21"/>
  <c r="AV74" i="21"/>
  <c r="BM74" i="21" s="1"/>
  <c r="AI76" i="21"/>
  <c r="T94" i="21"/>
  <c r="BI94" i="21" s="1"/>
  <c r="AV18" i="21"/>
  <c r="BM18" i="21" s="1"/>
  <c r="AV53" i="21"/>
  <c r="BM53" i="21" s="1"/>
  <c r="AN47" i="21"/>
  <c r="BK47" i="21" s="1"/>
  <c r="BE47" i="21" s="1"/>
  <c r="AN55" i="21"/>
  <c r="BK55" i="21" s="1"/>
  <c r="BE55" i="21" s="1"/>
  <c r="AE81" i="21"/>
  <c r="AR83" i="21"/>
  <c r="AN59" i="21"/>
  <c r="AN66" i="21"/>
  <c r="AN41" i="21"/>
  <c r="AV98" i="21"/>
  <c r="BM98" i="21" s="1"/>
  <c r="AN76" i="21"/>
  <c r="BK76" i="21" s="1"/>
  <c r="BE76" i="21" s="1"/>
  <c r="AR63" i="21"/>
  <c r="AN63" i="21"/>
  <c r="BK63" i="21" s="1"/>
  <c r="BE63" i="21" s="1"/>
  <c r="AQ45" i="20"/>
  <c r="AQ58" i="20"/>
  <c r="AF45" i="20"/>
  <c r="AG45" i="20" s="1"/>
  <c r="AI188" i="20"/>
  <c r="BF188" i="20" s="1"/>
  <c r="AE129" i="20"/>
  <c r="BE129" i="20" s="1"/>
  <c r="AE111" i="20"/>
  <c r="BE111" i="20" s="1"/>
  <c r="AE153" i="20"/>
  <c r="BE153" i="20" s="1"/>
  <c r="AE169" i="20"/>
  <c r="BE169" i="20" s="1"/>
  <c r="AE195" i="20"/>
  <c r="AE168" i="20"/>
  <c r="BE168" i="20" s="1"/>
  <c r="AE197" i="20"/>
  <c r="BE197" i="20" s="1"/>
  <c r="AE201" i="20"/>
  <c r="BE201" i="20" s="1"/>
  <c r="AE136" i="20"/>
  <c r="BE136" i="20" s="1"/>
  <c r="AE120" i="20"/>
  <c r="BE120" i="20" s="1"/>
  <c r="AE130" i="20"/>
  <c r="AI198" i="20"/>
  <c r="BF198" i="20" s="1"/>
  <c r="AE194" i="20"/>
  <c r="AI200" i="20"/>
  <c r="BF200" i="20" s="1"/>
  <c r="AE149" i="20"/>
  <c r="AE126" i="20"/>
  <c r="BE126" i="20" s="1"/>
  <c r="AE165" i="20"/>
  <c r="BE165" i="20" s="1"/>
  <c r="AE157" i="20"/>
  <c r="BE157" i="20" s="1"/>
  <c r="AE83" i="20"/>
  <c r="BE83" i="20" s="1"/>
  <c r="AR55" i="21"/>
  <c r="AN62" i="21"/>
  <c r="BK62" i="21" s="1"/>
  <c r="BE62" i="21" s="1"/>
  <c r="AE67" i="21"/>
  <c r="AG9" i="21"/>
  <c r="AI9" i="21" s="1"/>
  <c r="BL9" i="21" s="1"/>
  <c r="BF9" i="21" s="1"/>
  <c r="AV9" i="21"/>
  <c r="BM9" i="21" s="1"/>
  <c r="AG14" i="21"/>
  <c r="AI14" i="21" s="1"/>
  <c r="AV14" i="21"/>
  <c r="BM14" i="21" s="1"/>
  <c r="AS62" i="21"/>
  <c r="R62" i="21"/>
  <c r="T62" i="21" s="1"/>
  <c r="BI62" i="21" s="1"/>
  <c r="AS93" i="21"/>
  <c r="R93" i="21"/>
  <c r="T93" i="21" s="1"/>
  <c r="BI93" i="21" s="1"/>
  <c r="AR24" i="21"/>
  <c r="AN68" i="20"/>
  <c r="AV70" i="21"/>
  <c r="BM70" i="21" s="1"/>
  <c r="AS15" i="21"/>
  <c r="AS30" i="21"/>
  <c r="R76" i="21"/>
  <c r="T76" i="21" s="1"/>
  <c r="BI76" i="21" s="1"/>
  <c r="R24" i="21"/>
  <c r="T24" i="21" s="1"/>
  <c r="BI24" i="21" s="1"/>
  <c r="AV47" i="21"/>
  <c r="BM47" i="21" s="1"/>
  <c r="AN44" i="21"/>
  <c r="AN57" i="21"/>
  <c r="AI42" i="21"/>
  <c r="AR68" i="21"/>
  <c r="BL68" i="21" s="1"/>
  <c r="BF68" i="21" s="1"/>
  <c r="AS97" i="21"/>
  <c r="R97" i="21"/>
  <c r="T97" i="21" s="1"/>
  <c r="BI97" i="21" s="1"/>
  <c r="AS98" i="21"/>
  <c r="R98" i="21"/>
  <c r="T98" i="21" s="1"/>
  <c r="BI98" i="21" s="1"/>
  <c r="AR17" i="21"/>
  <c r="AI87" i="21"/>
  <c r="AR32" i="21"/>
  <c r="AI85" i="21"/>
  <c r="AR50" i="21"/>
  <c r="AR41" i="21"/>
  <c r="AR23" i="21"/>
  <c r="T90" i="21"/>
  <c r="BI90" i="21" s="1"/>
  <c r="AN45" i="21"/>
  <c r="AN58" i="21"/>
  <c r="AN53" i="21"/>
  <c r="AN43" i="21"/>
  <c r="AR98" i="21"/>
  <c r="BL98" i="21" s="1"/>
  <c r="BF98" i="21" s="1"/>
  <c r="AR81" i="21"/>
  <c r="AR90" i="21"/>
  <c r="AN80" i="21"/>
  <c r="AN100" i="21"/>
  <c r="AR56" i="21"/>
  <c r="AR101" i="21"/>
  <c r="AR45" i="21"/>
  <c r="AV25" i="21"/>
  <c r="BM25" i="21" s="1"/>
  <c r="AN67" i="21"/>
  <c r="AN70" i="21"/>
  <c r="AM53" i="20"/>
  <c r="AS57" i="21"/>
  <c r="AN24" i="20"/>
  <c r="BE24" i="20" s="1"/>
  <c r="AI12" i="20"/>
  <c r="AE60" i="20"/>
  <c r="AI40" i="20"/>
  <c r="BK40" i="20" s="1"/>
  <c r="AE100" i="20"/>
  <c r="BE100" i="20" s="1"/>
  <c r="AF33" i="20"/>
  <c r="AG33" i="20" s="1"/>
  <c r="AI33" i="20" s="1"/>
  <c r="BK33" i="20" s="1"/>
  <c r="AQ53" i="20"/>
  <c r="AR53" i="20" s="1"/>
  <c r="AA49" i="20"/>
  <c r="AB49" i="20" s="1"/>
  <c r="AQ41" i="20"/>
  <c r="AJ49" i="20"/>
  <c r="AK49" i="20" s="1"/>
  <c r="AN49" i="20" s="1"/>
  <c r="AQ42" i="20"/>
  <c r="AJ53" i="20"/>
  <c r="AK53" i="20" s="1"/>
  <c r="AA37" i="20"/>
  <c r="AB37" i="20" s="1"/>
  <c r="AE37" i="20" s="1"/>
  <c r="AO34" i="20"/>
  <c r="AP34" i="20" s="1"/>
  <c r="AH34" i="20"/>
  <c r="AI34" i="20" s="1"/>
  <c r="BK34" i="20" s="1"/>
  <c r="AI117" i="20"/>
  <c r="BF117" i="20" s="1"/>
  <c r="AI150" i="20"/>
  <c r="BF150" i="20" s="1"/>
  <c r="AI142" i="20"/>
  <c r="BF142" i="20" s="1"/>
  <c r="AE142" i="20"/>
  <c r="BE142" i="20" s="1"/>
  <c r="T15" i="21"/>
  <c r="BI15" i="21" s="1"/>
  <c r="T30" i="21"/>
  <c r="BI30" i="21" s="1"/>
  <c r="AN22" i="20"/>
  <c r="AI22" i="20"/>
  <c r="BK22" i="20" s="1"/>
  <c r="BF116" i="20"/>
  <c r="BB116" i="20"/>
  <c r="BD116" i="20" s="1"/>
  <c r="BH116" i="20" s="1"/>
  <c r="BJ116" i="20"/>
  <c r="BK116" i="20"/>
  <c r="AI9" i="20"/>
  <c r="AI15" i="20"/>
  <c r="AI11" i="20"/>
  <c r="AE51" i="20"/>
  <c r="AE92" i="20"/>
  <c r="BE92" i="20" s="1"/>
  <c r="AE87" i="20"/>
  <c r="BE87" i="20" s="1"/>
  <c r="AN40" i="20"/>
  <c r="AE180" i="20"/>
  <c r="BE180" i="20" s="1"/>
  <c r="AE164" i="20"/>
  <c r="AE158" i="20"/>
  <c r="BE158" i="20" s="1"/>
  <c r="AE170" i="20"/>
  <c r="AE154" i="20"/>
  <c r="BE154" i="20" s="1"/>
  <c r="AE138" i="20"/>
  <c r="BE138" i="20" s="1"/>
  <c r="AE114" i="20"/>
  <c r="BE114" i="20" s="1"/>
  <c r="AE135" i="20"/>
  <c r="BE135" i="20" s="1"/>
  <c r="AE190" i="20"/>
  <c r="BE190" i="20" s="1"/>
  <c r="AE192" i="20"/>
  <c r="BE192" i="20" s="1"/>
  <c r="AE207" i="20"/>
  <c r="BE207" i="20" s="1"/>
  <c r="AE205" i="20"/>
  <c r="BE205" i="20" s="1"/>
  <c r="AE147" i="20"/>
  <c r="BE147" i="20" s="1"/>
  <c r="AE131" i="20"/>
  <c r="BE131" i="20" s="1"/>
  <c r="AE123" i="20"/>
  <c r="BE123" i="20" s="1"/>
  <c r="AE148" i="20"/>
  <c r="AE127" i="20"/>
  <c r="BE127" i="20" s="1"/>
  <c r="AE178" i="20"/>
  <c r="BE178" i="20" s="1"/>
  <c r="AI146" i="20"/>
  <c r="BF146" i="20" s="1"/>
  <c r="AI119" i="20"/>
  <c r="BF119" i="20" s="1"/>
  <c r="AE125" i="20"/>
  <c r="BE125" i="20" s="1"/>
  <c r="AE184" i="20"/>
  <c r="BE184" i="20" s="1"/>
  <c r="AI176" i="20"/>
  <c r="BF176" i="20" s="1"/>
  <c r="AE176" i="20"/>
  <c r="AE187" i="20"/>
  <c r="BE187" i="20" s="1"/>
  <c r="AE113" i="20"/>
  <c r="BE113" i="20" s="1"/>
  <c r="AE140" i="20"/>
  <c r="BE140" i="20" s="1"/>
  <c r="AE141" i="20"/>
  <c r="BE141" i="20" s="1"/>
  <c r="AE163" i="20"/>
  <c r="BE163" i="20" s="1"/>
  <c r="AR83" i="20"/>
  <c r="AI183" i="20"/>
  <c r="BK183" i="20" s="1"/>
  <c r="AN9" i="20"/>
  <c r="BE9" i="20" s="1"/>
  <c r="AI56" i="20"/>
  <c r="AE79" i="20"/>
  <c r="AE68" i="20"/>
  <c r="AE95" i="20"/>
  <c r="BE95" i="20" s="1"/>
  <c r="AR11" i="20"/>
  <c r="BF11" i="20" s="1"/>
  <c r="AE84" i="20"/>
  <c r="BE84" i="20" s="1"/>
  <c r="AE182" i="20"/>
  <c r="BE182" i="20" s="1"/>
  <c r="AE124" i="20"/>
  <c r="AI118" i="20"/>
  <c r="BF118" i="20" s="1"/>
  <c r="AE145" i="20"/>
  <c r="BE145" i="20" s="1"/>
  <c r="AE121" i="20"/>
  <c r="BE121" i="20" s="1"/>
  <c r="AE144" i="20"/>
  <c r="BE144" i="20" s="1"/>
  <c r="AE128" i="20"/>
  <c r="BE128" i="20" s="1"/>
  <c r="AI203" i="20"/>
  <c r="BF203" i="20" s="1"/>
  <c r="AE133" i="20"/>
  <c r="BE133" i="20" s="1"/>
  <c r="AE110" i="20"/>
  <c r="BE110" i="20" s="1"/>
  <c r="AI165" i="20"/>
  <c r="BF165" i="20" s="1"/>
  <c r="AE174" i="20"/>
  <c r="BE174" i="20" s="1"/>
  <c r="BF196" i="20"/>
  <c r="BK196" i="20"/>
  <c r="AV87" i="21"/>
  <c r="BM87" i="21" s="1"/>
  <c r="AV64" i="21"/>
  <c r="BM64" i="21" s="1"/>
  <c r="AV85" i="21"/>
  <c r="BM85" i="21" s="1"/>
  <c r="AV22" i="21"/>
  <c r="BM22" i="21" s="1"/>
  <c r="AV20" i="21"/>
  <c r="BM20" i="21" s="1"/>
  <c r="AR14" i="21"/>
  <c r="T55" i="21"/>
  <c r="BI55" i="21" s="1"/>
  <c r="AN20" i="21"/>
  <c r="AR18" i="21"/>
  <c r="AN18" i="21"/>
  <c r="AV109" i="21"/>
  <c r="BM109" i="21" s="1"/>
  <c r="AI107" i="21"/>
  <c r="AR46" i="21"/>
  <c r="AN37" i="21"/>
  <c r="AI61" i="21"/>
  <c r="AI64" i="21"/>
  <c r="AV45" i="21"/>
  <c r="BM45" i="21" s="1"/>
  <c r="AV62" i="21"/>
  <c r="BM62" i="21" s="1"/>
  <c r="AS81" i="21"/>
  <c r="AN109" i="21"/>
  <c r="BK109" i="21" s="1"/>
  <c r="BE109" i="21" s="1"/>
  <c r="AR93" i="21"/>
  <c r="AN93" i="21"/>
  <c r="BK93" i="21" s="1"/>
  <c r="BE93" i="21" s="1"/>
  <c r="AN68" i="21"/>
  <c r="AR84" i="21"/>
  <c r="BL84" i="21" s="1"/>
  <c r="BF84" i="21" s="1"/>
  <c r="AR106" i="21"/>
  <c r="T57" i="21"/>
  <c r="BI57" i="21" s="1"/>
  <c r="AI91" i="21"/>
  <c r="AI46" i="21"/>
  <c r="AV11" i="21"/>
  <c r="BM11" i="21" s="1"/>
  <c r="AV15" i="21"/>
  <c r="BM15" i="21" s="1"/>
  <c r="AN39" i="21"/>
  <c r="AV21" i="21"/>
  <c r="BM21" i="21" s="1"/>
  <c r="AV24" i="21"/>
  <c r="BM24" i="21" s="1"/>
  <c r="AS101" i="21"/>
  <c r="AR52" i="21"/>
  <c r="AR54" i="21"/>
  <c r="AK25" i="21"/>
  <c r="AN25" i="21" s="1"/>
  <c r="AV91" i="21"/>
  <c r="BM91" i="21" s="1"/>
  <c r="AI28" i="21"/>
  <c r="AI21" i="21"/>
  <c r="AI24" i="21"/>
  <c r="AI32" i="21"/>
  <c r="AI12" i="21"/>
  <c r="AI16" i="21"/>
  <c r="AI25" i="21"/>
  <c r="BL25" i="21" s="1"/>
  <c r="BF25" i="21" s="1"/>
  <c r="AI34" i="21"/>
  <c r="AI11" i="21"/>
  <c r="AI15" i="21"/>
  <c r="AI26" i="21"/>
  <c r="AN84" i="21"/>
  <c r="AN98" i="21"/>
  <c r="AN81" i="21"/>
  <c r="AN106" i="21"/>
  <c r="AN90" i="21"/>
  <c r="AN95" i="21"/>
  <c r="AN42" i="21"/>
  <c r="AN11" i="21"/>
  <c r="BK11" i="21" s="1"/>
  <c r="BE11" i="21" s="1"/>
  <c r="AN30" i="21"/>
  <c r="BK30" i="21" s="1"/>
  <c r="BE30" i="21" s="1"/>
  <c r="AN22" i="21"/>
  <c r="BK22" i="21" s="1"/>
  <c r="BE22" i="21" s="1"/>
  <c r="AN9" i="21"/>
  <c r="AN21" i="21"/>
  <c r="BK21" i="21" s="1"/>
  <c r="BE21" i="21" s="1"/>
  <c r="AN24" i="21"/>
  <c r="BK24" i="21" s="1"/>
  <c r="BE24" i="21" s="1"/>
  <c r="AN54" i="21"/>
  <c r="AN49" i="21"/>
  <c r="AN15" i="21"/>
  <c r="BK15" i="21" s="1"/>
  <c r="BE15" i="21" s="1"/>
  <c r="AN36" i="21"/>
  <c r="AN14" i="21"/>
  <c r="BK14" i="21" s="1"/>
  <c r="BE14" i="21" s="1"/>
  <c r="AN35" i="21"/>
  <c r="AN52" i="21"/>
  <c r="AN48" i="21"/>
  <c r="AI20" i="21"/>
  <c r="AI29" i="21"/>
  <c r="AR27" i="21"/>
  <c r="AR51" i="21"/>
  <c r="AR28" i="21"/>
  <c r="AR26" i="21"/>
  <c r="AN26" i="21"/>
  <c r="AR19" i="21"/>
  <c r="AR38" i="21"/>
  <c r="AR16" i="21"/>
  <c r="AN40" i="21"/>
  <c r="AN105" i="21"/>
  <c r="BK105" i="21" s="1"/>
  <c r="BE105" i="21" s="1"/>
  <c r="AR72" i="21"/>
  <c r="BL72" i="21" s="1"/>
  <c r="BF72" i="21" s="1"/>
  <c r="AN94" i="21"/>
  <c r="AR82" i="21"/>
  <c r="AN77" i="21"/>
  <c r="BK77" i="21" s="1"/>
  <c r="BE77" i="21" s="1"/>
  <c r="AN87" i="21"/>
  <c r="AN88" i="21"/>
  <c r="AN79" i="21"/>
  <c r="AN73" i="21"/>
  <c r="AR108" i="21"/>
  <c r="AN104" i="21"/>
  <c r="AR96" i="21"/>
  <c r="AR92" i="21"/>
  <c r="AN60" i="21"/>
  <c r="AR64" i="21"/>
  <c r="AN69" i="21"/>
  <c r="BK69" i="21" s="1"/>
  <c r="BE69" i="21" s="1"/>
  <c r="AR86" i="21"/>
  <c r="AN101" i="21"/>
  <c r="BK101" i="21" s="1"/>
  <c r="BE101" i="21" s="1"/>
  <c r="AR59" i="21"/>
  <c r="AN97" i="21"/>
  <c r="BK97" i="21" s="1"/>
  <c r="BE97" i="21" s="1"/>
  <c r="AN102" i="21"/>
  <c r="AR89" i="21"/>
  <c r="AN78" i="21"/>
  <c r="AR71" i="21"/>
  <c r="AN107" i="21"/>
  <c r="AR103" i="21"/>
  <c r="AR99" i="21"/>
  <c r="AN91" i="21"/>
  <c r="AN46" i="21"/>
  <c r="AN61" i="21"/>
  <c r="AR65" i="21"/>
  <c r="AR75" i="21"/>
  <c r="AR85" i="21"/>
  <c r="AE87" i="21"/>
  <c r="AE27" i="21"/>
  <c r="AE49" i="21"/>
  <c r="AE73" i="21"/>
  <c r="AE10" i="21"/>
  <c r="AE48" i="21"/>
  <c r="AE20" i="21"/>
  <c r="AE68" i="21"/>
  <c r="AE72" i="21"/>
  <c r="AE39" i="21"/>
  <c r="AE54" i="21"/>
  <c r="AE106" i="21"/>
  <c r="AE102" i="21"/>
  <c r="AE98" i="21"/>
  <c r="AE94" i="21"/>
  <c r="AE51" i="21"/>
  <c r="AE18" i="21"/>
  <c r="AE25" i="21"/>
  <c r="AE41" i="21"/>
  <c r="AE31" i="21"/>
  <c r="AE34" i="21"/>
  <c r="AE50" i="21"/>
  <c r="AE35" i="21"/>
  <c r="AE71" i="21"/>
  <c r="AE107" i="21"/>
  <c r="AE103" i="21"/>
  <c r="AE99" i="21"/>
  <c r="AE95" i="21"/>
  <c r="AE91" i="21"/>
  <c r="AE42" i="21"/>
  <c r="BK42" i="21" s="1"/>
  <c r="BE42" i="21" s="1"/>
  <c r="AE17" i="21"/>
  <c r="AE23" i="21"/>
  <c r="AE37" i="21"/>
  <c r="AE79" i="21"/>
  <c r="AE40" i="21"/>
  <c r="AR29" i="21"/>
  <c r="AN29" i="21"/>
  <c r="AN28" i="21"/>
  <c r="AR13" i="21"/>
  <c r="AN38" i="21"/>
  <c r="AR49" i="21"/>
  <c r="AR12" i="21"/>
  <c r="AR33" i="21"/>
  <c r="AR48" i="21"/>
  <c r="AR31" i="21"/>
  <c r="AR40" i="21"/>
  <c r="AR105" i="21"/>
  <c r="AN83" i="21"/>
  <c r="BK83" i="21" s="1"/>
  <c r="BE83" i="21" s="1"/>
  <c r="AN72" i="21"/>
  <c r="AR94" i="21"/>
  <c r="BL94" i="21" s="1"/>
  <c r="BF94" i="21" s="1"/>
  <c r="AN82" i="21"/>
  <c r="AR77" i="21"/>
  <c r="AR87" i="21"/>
  <c r="AR80" i="21"/>
  <c r="AR88" i="21"/>
  <c r="AR79" i="21"/>
  <c r="AR73" i="21"/>
  <c r="AN108" i="21"/>
  <c r="AR104" i="21"/>
  <c r="AR100" i="21"/>
  <c r="AN96" i="21"/>
  <c r="AN92" i="21"/>
  <c r="AN51" i="21"/>
  <c r="AR60" i="21"/>
  <c r="AN64" i="21"/>
  <c r="AR69" i="21"/>
  <c r="AN86" i="21"/>
  <c r="BK86" i="21" s="1"/>
  <c r="BE86" i="21" s="1"/>
  <c r="AR97" i="21"/>
  <c r="AR102" i="21"/>
  <c r="BL102" i="21" s="1"/>
  <c r="BF102" i="21" s="1"/>
  <c r="AN89" i="21"/>
  <c r="BK89" i="21" s="1"/>
  <c r="BE89" i="21" s="1"/>
  <c r="AR78" i="21"/>
  <c r="AN71" i="21"/>
  <c r="AR107" i="21"/>
  <c r="AN103" i="21"/>
  <c r="AN99" i="21"/>
  <c r="AR95" i="21"/>
  <c r="AR91" i="21"/>
  <c r="AR61" i="21"/>
  <c r="AN65" i="21"/>
  <c r="AN75" i="21"/>
  <c r="BK75" i="21" s="1"/>
  <c r="BE75" i="21" s="1"/>
  <c r="AN85" i="21"/>
  <c r="AN50" i="21"/>
  <c r="AR43" i="21"/>
  <c r="AE78" i="21"/>
  <c r="AE28" i="21"/>
  <c r="AI27" i="21"/>
  <c r="AE84" i="21"/>
  <c r="AE108" i="21"/>
  <c r="AE104" i="21"/>
  <c r="AE100" i="21"/>
  <c r="AE96" i="21"/>
  <c r="AE92" i="21"/>
  <c r="AI10" i="21"/>
  <c r="R21" i="21"/>
  <c r="T21" i="21" s="1"/>
  <c r="BI21" i="21" s="1"/>
  <c r="AS21" i="21"/>
  <c r="AI33" i="21"/>
  <c r="AE33" i="21"/>
  <c r="AE46" i="21"/>
  <c r="AE59" i="21"/>
  <c r="AI13" i="21"/>
  <c r="AE13" i="21"/>
  <c r="AI19" i="21"/>
  <c r="AE19" i="21"/>
  <c r="AE29" i="21"/>
  <c r="AE45" i="21"/>
  <c r="AE38" i="21"/>
  <c r="AE61" i="21"/>
  <c r="AE65" i="21"/>
  <c r="AI22" i="21"/>
  <c r="AE80" i="21"/>
  <c r="AE88" i="21"/>
  <c r="AE32" i="21"/>
  <c r="AI18" i="21"/>
  <c r="AE12" i="21"/>
  <c r="AE16" i="21"/>
  <c r="AE56" i="21"/>
  <c r="AI31" i="21"/>
  <c r="BL31" i="21" s="1"/>
  <c r="BF31" i="21" s="1"/>
  <c r="AE60" i="21"/>
  <c r="AE64" i="21"/>
  <c r="AI17" i="21"/>
  <c r="AI23" i="21"/>
  <c r="AE52" i="21"/>
  <c r="AI30" i="21"/>
  <c r="AE26" i="21"/>
  <c r="AE43" i="21"/>
  <c r="AE57" i="21"/>
  <c r="AE82" i="21"/>
  <c r="AE90" i="21"/>
  <c r="BK90" i="21" s="1"/>
  <c r="BE90" i="21" s="1"/>
  <c r="AV102" i="21"/>
  <c r="BM102" i="21" s="1"/>
  <c r="R83" i="21"/>
  <c r="T83" i="21" s="1"/>
  <c r="BI83" i="21" s="1"/>
  <c r="AV57" i="21"/>
  <c r="BM57" i="21" s="1"/>
  <c r="AV61" i="21"/>
  <c r="BM61" i="21" s="1"/>
  <c r="R45" i="21"/>
  <c r="T45" i="21" s="1"/>
  <c r="BI45" i="21" s="1"/>
  <c r="T106" i="21"/>
  <c r="BI106" i="21" s="1"/>
  <c r="T109" i="21"/>
  <c r="AV97" i="21"/>
  <c r="BM97" i="21" s="1"/>
  <c r="T81" i="21"/>
  <c r="BI81" i="21" s="1"/>
  <c r="AV84" i="21"/>
  <c r="BM84" i="21" s="1"/>
  <c r="AV81" i="21"/>
  <c r="BM81" i="21" s="1"/>
  <c r="AV43" i="21"/>
  <c r="BM43" i="21" s="1"/>
  <c r="AV90" i="21"/>
  <c r="BM90" i="21" s="1"/>
  <c r="T101" i="21"/>
  <c r="AV72" i="21"/>
  <c r="BM72" i="21" s="1"/>
  <c r="AV106" i="21"/>
  <c r="BM106" i="21" s="1"/>
  <c r="AV89" i="21"/>
  <c r="BM89" i="21" s="1"/>
  <c r="AV82" i="21"/>
  <c r="BM82" i="21" s="1"/>
  <c r="AV107" i="21"/>
  <c r="BM107" i="21" s="1"/>
  <c r="R49" i="21"/>
  <c r="T49" i="21" s="1"/>
  <c r="BI49" i="21" s="1"/>
  <c r="AS49" i="21"/>
  <c r="R46" i="21"/>
  <c r="T46" i="21" s="1"/>
  <c r="BI46" i="21" s="1"/>
  <c r="AS46" i="21"/>
  <c r="R36" i="21"/>
  <c r="T36" i="21" s="1"/>
  <c r="BI36" i="21" s="1"/>
  <c r="AS36" i="21"/>
  <c r="R35" i="21"/>
  <c r="T35" i="21" s="1"/>
  <c r="BI35" i="21" s="1"/>
  <c r="AS35" i="21"/>
  <c r="R38" i="21"/>
  <c r="T38" i="21" s="1"/>
  <c r="BI38" i="21" s="1"/>
  <c r="AS38" i="21"/>
  <c r="R52" i="21"/>
  <c r="T52" i="21" s="1"/>
  <c r="BI52" i="21" s="1"/>
  <c r="AS52" i="21"/>
  <c r="R54" i="21"/>
  <c r="T54" i="21" s="1"/>
  <c r="BI54" i="21" s="1"/>
  <c r="AS54" i="21"/>
  <c r="R56" i="21"/>
  <c r="T56" i="21" s="1"/>
  <c r="BI56" i="21" s="1"/>
  <c r="AS56" i="21"/>
  <c r="R43" i="21"/>
  <c r="T43" i="21" s="1"/>
  <c r="AS43" i="21"/>
  <c r="R51" i="21"/>
  <c r="T51" i="21" s="1"/>
  <c r="BI51" i="21" s="1"/>
  <c r="AS51" i="21"/>
  <c r="R41" i="21"/>
  <c r="T41" i="21" s="1"/>
  <c r="BI41" i="21" s="1"/>
  <c r="AS41" i="21"/>
  <c r="R40" i="21"/>
  <c r="T40" i="21" s="1"/>
  <c r="BI40" i="21" s="1"/>
  <c r="AS40" i="21"/>
  <c r="R42" i="21"/>
  <c r="T42" i="21" s="1"/>
  <c r="BI42" i="21" s="1"/>
  <c r="AS42" i="21"/>
  <c r="AV83" i="21"/>
  <c r="BM83" i="21" s="1"/>
  <c r="AV94" i="21"/>
  <c r="BM94" i="21" s="1"/>
  <c r="R50" i="21"/>
  <c r="T50" i="21" s="1"/>
  <c r="BI50" i="21" s="1"/>
  <c r="AS50" i="21"/>
  <c r="AV105" i="21"/>
  <c r="BM105" i="21" s="1"/>
  <c r="R37" i="21"/>
  <c r="T37" i="21" s="1"/>
  <c r="AS37" i="21"/>
  <c r="R39" i="21"/>
  <c r="T39" i="21" s="1"/>
  <c r="AS39" i="21"/>
  <c r="R48" i="21"/>
  <c r="T48" i="21" s="1"/>
  <c r="BI48" i="21" s="1"/>
  <c r="AS48" i="21"/>
  <c r="AV99" i="21"/>
  <c r="BM99" i="21" s="1"/>
  <c r="AG41" i="21"/>
  <c r="AI41" i="21" s="1"/>
  <c r="AV41" i="21"/>
  <c r="BM41" i="21" s="1"/>
  <c r="AG71" i="21"/>
  <c r="AI71" i="21" s="1"/>
  <c r="AV71" i="21"/>
  <c r="BM71" i="21" s="1"/>
  <c r="AG95" i="21"/>
  <c r="AI95" i="21" s="1"/>
  <c r="AV95" i="21"/>
  <c r="BM95" i="21" s="1"/>
  <c r="R20" i="21"/>
  <c r="T20" i="21" s="1"/>
  <c r="AS20" i="21"/>
  <c r="AG38" i="21"/>
  <c r="AI38" i="21" s="1"/>
  <c r="AV38" i="21"/>
  <c r="BM38" i="21" s="1"/>
  <c r="AG65" i="21"/>
  <c r="AI65" i="21" s="1"/>
  <c r="AV65" i="21"/>
  <c r="BM65" i="21" s="1"/>
  <c r="BI67" i="21"/>
  <c r="AG88" i="21"/>
  <c r="AI88" i="21" s="1"/>
  <c r="AV88" i="21"/>
  <c r="BM88" i="21" s="1"/>
  <c r="AG100" i="21"/>
  <c r="AI100" i="21" s="1"/>
  <c r="AV100" i="21"/>
  <c r="BM100" i="21" s="1"/>
  <c r="AG51" i="21"/>
  <c r="AI51" i="21" s="1"/>
  <c r="AV51" i="21"/>
  <c r="BM51" i="21" s="1"/>
  <c r="R18" i="21"/>
  <c r="T18" i="21" s="1"/>
  <c r="AS18" i="21"/>
  <c r="AG60" i="21"/>
  <c r="AI60" i="21" s="1"/>
  <c r="AV60" i="21"/>
  <c r="BM60" i="21" s="1"/>
  <c r="AG75" i="21"/>
  <c r="AI75" i="21" s="1"/>
  <c r="AV75" i="21"/>
  <c r="BM75" i="21" s="1"/>
  <c r="R71" i="21"/>
  <c r="T71" i="21" s="1"/>
  <c r="AS71" i="21"/>
  <c r="R99" i="21"/>
  <c r="T99" i="21" s="1"/>
  <c r="AS99" i="21"/>
  <c r="R17" i="21"/>
  <c r="T17" i="21" s="1"/>
  <c r="AS17" i="21"/>
  <c r="AK17" i="21"/>
  <c r="AN17" i="21" s="1"/>
  <c r="AV17" i="21"/>
  <c r="BM17" i="21" s="1"/>
  <c r="R108" i="21"/>
  <c r="T108" i="21" s="1"/>
  <c r="AS108" i="21"/>
  <c r="R92" i="21"/>
  <c r="T92" i="21" s="1"/>
  <c r="AS92" i="21"/>
  <c r="AK32" i="21"/>
  <c r="AN32" i="21" s="1"/>
  <c r="AV32" i="21"/>
  <c r="BM32" i="21" s="1"/>
  <c r="R32" i="21"/>
  <c r="T32" i="21" s="1"/>
  <c r="AS32" i="21"/>
  <c r="R10" i="21"/>
  <c r="T10" i="21" s="1"/>
  <c r="AS10" i="21"/>
  <c r="AK10" i="21"/>
  <c r="AN10" i="21" s="1"/>
  <c r="AV10" i="21"/>
  <c r="BM10" i="21" s="1"/>
  <c r="R34" i="21"/>
  <c r="T34" i="21" s="1"/>
  <c r="AS34" i="21"/>
  <c r="AK34" i="21"/>
  <c r="AN34" i="21" s="1"/>
  <c r="AV34" i="21"/>
  <c r="BM34" i="21" s="1"/>
  <c r="AG37" i="21"/>
  <c r="AI37" i="21" s="1"/>
  <c r="AV37" i="21"/>
  <c r="BM37" i="21" s="1"/>
  <c r="AG52" i="21"/>
  <c r="AI52" i="21" s="1"/>
  <c r="AV52" i="21"/>
  <c r="BM52" i="21" s="1"/>
  <c r="AG39" i="21"/>
  <c r="AI39" i="21" s="1"/>
  <c r="AV39" i="21"/>
  <c r="BM39" i="21" s="1"/>
  <c r="AG54" i="21"/>
  <c r="AI54" i="21" s="1"/>
  <c r="AV54" i="21"/>
  <c r="BM54" i="21" s="1"/>
  <c r="AG80" i="21"/>
  <c r="AI80" i="21" s="1"/>
  <c r="AV80" i="21"/>
  <c r="BM80" i="21" s="1"/>
  <c r="R95" i="21"/>
  <c r="T95" i="21" s="1"/>
  <c r="AS95" i="21"/>
  <c r="AK19" i="21"/>
  <c r="AN19" i="21" s="1"/>
  <c r="AV19" i="21"/>
  <c r="BM19" i="21" s="1"/>
  <c r="R19" i="21"/>
  <c r="T19" i="21" s="1"/>
  <c r="AS19" i="21"/>
  <c r="R23" i="21"/>
  <c r="T23" i="21" s="1"/>
  <c r="AS23" i="21"/>
  <c r="AK23" i="21"/>
  <c r="AV23" i="21"/>
  <c r="BM23" i="21" s="1"/>
  <c r="R65" i="21"/>
  <c r="T65" i="21" s="1"/>
  <c r="AS65" i="21"/>
  <c r="R77" i="21"/>
  <c r="T77" i="21" s="1"/>
  <c r="AS77" i="21"/>
  <c r="R80" i="21"/>
  <c r="T80" i="21" s="1"/>
  <c r="AS80" i="21"/>
  <c r="R79" i="21"/>
  <c r="T79" i="21" s="1"/>
  <c r="AS79" i="21"/>
  <c r="R104" i="21"/>
  <c r="T104" i="21" s="1"/>
  <c r="AS104" i="21"/>
  <c r="AK12" i="21"/>
  <c r="AN12" i="21" s="1"/>
  <c r="AV12" i="21"/>
  <c r="BM12" i="21" s="1"/>
  <c r="R12" i="21"/>
  <c r="T12" i="21" s="1"/>
  <c r="AS12" i="21"/>
  <c r="AK31" i="21"/>
  <c r="AN31" i="21" s="1"/>
  <c r="AV31" i="21"/>
  <c r="BM31" i="21" s="1"/>
  <c r="R31" i="21"/>
  <c r="T31" i="21" s="1"/>
  <c r="AS31" i="21"/>
  <c r="AG103" i="21"/>
  <c r="AI103" i="21" s="1"/>
  <c r="AV103" i="21"/>
  <c r="BM103" i="21" s="1"/>
  <c r="AG77" i="21"/>
  <c r="AI77" i="21" s="1"/>
  <c r="AV77" i="21"/>
  <c r="BM77" i="21" s="1"/>
  <c r="AG49" i="21"/>
  <c r="AI49" i="21" s="1"/>
  <c r="AV49" i="21"/>
  <c r="BM49" i="21" s="1"/>
  <c r="AG73" i="21"/>
  <c r="AI73" i="21" s="1"/>
  <c r="AV73" i="21"/>
  <c r="BM73" i="21" s="1"/>
  <c r="AG108" i="21"/>
  <c r="AI108" i="21" s="1"/>
  <c r="AV108" i="21"/>
  <c r="BM108" i="21" s="1"/>
  <c r="AG92" i="21"/>
  <c r="AI92" i="21" s="1"/>
  <c r="AV92" i="21"/>
  <c r="BM92" i="21" s="1"/>
  <c r="R25" i="21"/>
  <c r="T25" i="21" s="1"/>
  <c r="AS25" i="21"/>
  <c r="AG69" i="21"/>
  <c r="AI69" i="21" s="1"/>
  <c r="AV69" i="21"/>
  <c r="BM69" i="21" s="1"/>
  <c r="AG50" i="21"/>
  <c r="AI50" i="21" s="1"/>
  <c r="AV50" i="21"/>
  <c r="BM50" i="21" s="1"/>
  <c r="R107" i="21"/>
  <c r="T107" i="21" s="1"/>
  <c r="AS107" i="21"/>
  <c r="R91" i="21"/>
  <c r="T91" i="21" s="1"/>
  <c r="AS91" i="21"/>
  <c r="R61" i="21"/>
  <c r="T61" i="21" s="1"/>
  <c r="AS61" i="21"/>
  <c r="R87" i="21"/>
  <c r="T87" i="21" s="1"/>
  <c r="AS87" i="21"/>
  <c r="AK27" i="21"/>
  <c r="AN27" i="21" s="1"/>
  <c r="AV27" i="21"/>
  <c r="BM27" i="21" s="1"/>
  <c r="R27" i="21"/>
  <c r="T27" i="21" s="1"/>
  <c r="AS27" i="21"/>
  <c r="R88" i="21"/>
  <c r="T88" i="21" s="1"/>
  <c r="AS88" i="21"/>
  <c r="R73" i="21"/>
  <c r="T73" i="21" s="1"/>
  <c r="AS73" i="21"/>
  <c r="R100" i="21"/>
  <c r="T100" i="21" s="1"/>
  <c r="AS100" i="21"/>
  <c r="R64" i="21"/>
  <c r="T64" i="21" s="1"/>
  <c r="AS64" i="21"/>
  <c r="R85" i="21"/>
  <c r="T85" i="21" s="1"/>
  <c r="AS85" i="21"/>
  <c r="AG78" i="21"/>
  <c r="AI78" i="21" s="1"/>
  <c r="AV78" i="21"/>
  <c r="BM78" i="21" s="1"/>
  <c r="R29" i="21"/>
  <c r="T29" i="21" s="1"/>
  <c r="AS29" i="21"/>
  <c r="R28" i="21"/>
  <c r="T28" i="21" s="1"/>
  <c r="AS28" i="21"/>
  <c r="AG79" i="21"/>
  <c r="AI79" i="21" s="1"/>
  <c r="AV79" i="21"/>
  <c r="BM79" i="21" s="1"/>
  <c r="AG104" i="21"/>
  <c r="AI104" i="21" s="1"/>
  <c r="AV104" i="21"/>
  <c r="BM104" i="21" s="1"/>
  <c r="AG96" i="21"/>
  <c r="AI96" i="21" s="1"/>
  <c r="AV96" i="21"/>
  <c r="BM96" i="21" s="1"/>
  <c r="AG48" i="21"/>
  <c r="AI48" i="21" s="1"/>
  <c r="AV48" i="21"/>
  <c r="BM48" i="21" s="1"/>
  <c r="R26" i="21"/>
  <c r="T26" i="21" s="1"/>
  <c r="AS26" i="21"/>
  <c r="AG40" i="21"/>
  <c r="AI40" i="21" s="1"/>
  <c r="AV40" i="21"/>
  <c r="BM40" i="21" s="1"/>
  <c r="AG86" i="21"/>
  <c r="AI86" i="21" s="1"/>
  <c r="AV86" i="21"/>
  <c r="BM86" i="21" s="1"/>
  <c r="R78" i="21"/>
  <c r="T78" i="21" s="1"/>
  <c r="AS78" i="21"/>
  <c r="R103" i="21"/>
  <c r="T103" i="21" s="1"/>
  <c r="AS103" i="21"/>
  <c r="AK13" i="21"/>
  <c r="AN13" i="21" s="1"/>
  <c r="AV13" i="21"/>
  <c r="BM13" i="21" s="1"/>
  <c r="R13" i="21"/>
  <c r="T13" i="21" s="1"/>
  <c r="AS13" i="21"/>
  <c r="AG36" i="21"/>
  <c r="AI36" i="21" s="1"/>
  <c r="AV36" i="21"/>
  <c r="BM36" i="21" s="1"/>
  <c r="R96" i="21"/>
  <c r="T96" i="21" s="1"/>
  <c r="AS96" i="21"/>
  <c r="AK16" i="21"/>
  <c r="AN16" i="21" s="1"/>
  <c r="AV16" i="21"/>
  <c r="BM16" i="21" s="1"/>
  <c r="R16" i="21"/>
  <c r="T16" i="21" s="1"/>
  <c r="AS16" i="21"/>
  <c r="R33" i="21"/>
  <c r="T33" i="21" s="1"/>
  <c r="AS33" i="21"/>
  <c r="AK33" i="21"/>
  <c r="AN33" i="21" s="1"/>
  <c r="AV33" i="21"/>
  <c r="BM33" i="21" s="1"/>
  <c r="R60" i="21"/>
  <c r="T60" i="21" s="1"/>
  <c r="AS60" i="21"/>
  <c r="R69" i="21"/>
  <c r="T69" i="21" s="1"/>
  <c r="AS69" i="21"/>
  <c r="R75" i="21"/>
  <c r="T75" i="21" s="1"/>
  <c r="AS75" i="21"/>
  <c r="R86" i="21"/>
  <c r="T86" i="21" s="1"/>
  <c r="AS86" i="21"/>
  <c r="AV46" i="21"/>
  <c r="BM46" i="21" s="1"/>
  <c r="AV35" i="21"/>
  <c r="BM35" i="21" s="1"/>
  <c r="AV42" i="21"/>
  <c r="BM42" i="21" s="1"/>
  <c r="BB143" i="20"/>
  <c r="BD143" i="20" s="1"/>
  <c r="BH143" i="20" s="1"/>
  <c r="BI143" i="20"/>
  <c r="BK193" i="20"/>
  <c r="BJ193" i="20"/>
  <c r="BB193" i="20"/>
  <c r="BD193" i="20" s="1"/>
  <c r="BH193" i="20" s="1"/>
  <c r="BK171" i="20"/>
  <c r="BJ171" i="20"/>
  <c r="AO57" i="20"/>
  <c r="AP57" i="20" s="1"/>
  <c r="AG199" i="20"/>
  <c r="AI199" i="20" s="1"/>
  <c r="AV199" i="20"/>
  <c r="BL199" i="20" s="1"/>
  <c r="R199" i="20"/>
  <c r="T199" i="20" s="1"/>
  <c r="AS199" i="20"/>
  <c r="AG115" i="20"/>
  <c r="AI115" i="20" s="1"/>
  <c r="AV115" i="20"/>
  <c r="BL115" i="20" s="1"/>
  <c r="R166" i="20"/>
  <c r="T166" i="20" s="1"/>
  <c r="AS166" i="20"/>
  <c r="R182" i="20"/>
  <c r="T182" i="20" s="1"/>
  <c r="AS182" i="20"/>
  <c r="AG182" i="20"/>
  <c r="AI182" i="20" s="1"/>
  <c r="BF182" i="20" s="1"/>
  <c r="AV182" i="20"/>
  <c r="BL182" i="20" s="1"/>
  <c r="R180" i="20"/>
  <c r="T180" i="20" s="1"/>
  <c r="AS180" i="20"/>
  <c r="AG180" i="20"/>
  <c r="AI180" i="20" s="1"/>
  <c r="BF180" i="20" s="1"/>
  <c r="AV180" i="20"/>
  <c r="BL180" i="20" s="1"/>
  <c r="R164" i="20"/>
  <c r="T164" i="20" s="1"/>
  <c r="AS164" i="20"/>
  <c r="AG124" i="20"/>
  <c r="AI124" i="20" s="1"/>
  <c r="BF124" i="20" s="1"/>
  <c r="AV124" i="20"/>
  <c r="BL124" i="20" s="1"/>
  <c r="R124" i="20"/>
  <c r="T124" i="20" s="1"/>
  <c r="AS124" i="20"/>
  <c r="BI204" i="20"/>
  <c r="AG145" i="20"/>
  <c r="AI145" i="20" s="1"/>
  <c r="BF145" i="20" s="1"/>
  <c r="AV145" i="20"/>
  <c r="BL145" i="20" s="1"/>
  <c r="R145" i="20"/>
  <c r="T145" i="20" s="1"/>
  <c r="AS145" i="20"/>
  <c r="AG129" i="20"/>
  <c r="AI129" i="20" s="1"/>
  <c r="BF129" i="20" s="1"/>
  <c r="AV129" i="20"/>
  <c r="BL129" i="20" s="1"/>
  <c r="R121" i="20"/>
  <c r="T121" i="20" s="1"/>
  <c r="AS121" i="20"/>
  <c r="AG121" i="20"/>
  <c r="AI121" i="20" s="1"/>
  <c r="BF121" i="20" s="1"/>
  <c r="AV121" i="20"/>
  <c r="BL121" i="20" s="1"/>
  <c r="AG170" i="20"/>
  <c r="AI170" i="20" s="1"/>
  <c r="BF170" i="20" s="1"/>
  <c r="AV170" i="20"/>
  <c r="BL170" i="20" s="1"/>
  <c r="AG154" i="20"/>
  <c r="AI154" i="20" s="1"/>
  <c r="BF154" i="20" s="1"/>
  <c r="AV154" i="20"/>
  <c r="BL154" i="20" s="1"/>
  <c r="R138" i="20"/>
  <c r="T138" i="20" s="1"/>
  <c r="AS138" i="20"/>
  <c r="AG138" i="20"/>
  <c r="AI138" i="20" s="1"/>
  <c r="BF138" i="20" s="1"/>
  <c r="AV138" i="20"/>
  <c r="BL138" i="20" s="1"/>
  <c r="R114" i="20"/>
  <c r="T114" i="20" s="1"/>
  <c r="AS114" i="20"/>
  <c r="R175" i="20"/>
  <c r="T175" i="20" s="1"/>
  <c r="AS175" i="20"/>
  <c r="AG135" i="20"/>
  <c r="AI135" i="20" s="1"/>
  <c r="AV135" i="20"/>
  <c r="BL135" i="20" s="1"/>
  <c r="R135" i="20"/>
  <c r="T135" i="20" s="1"/>
  <c r="AS135" i="20"/>
  <c r="R111" i="20"/>
  <c r="T111" i="20" s="1"/>
  <c r="AS111" i="20"/>
  <c r="AG111" i="20"/>
  <c r="AI111" i="20" s="1"/>
  <c r="BF111" i="20" s="1"/>
  <c r="AV111" i="20"/>
  <c r="BL111" i="20" s="1"/>
  <c r="AG160" i="20"/>
  <c r="AI160" i="20" s="1"/>
  <c r="AV160" i="20"/>
  <c r="BL160" i="20" s="1"/>
  <c r="R160" i="20"/>
  <c r="T160" i="20" s="1"/>
  <c r="AS160" i="20"/>
  <c r="AG153" i="20"/>
  <c r="AI153" i="20" s="1"/>
  <c r="BF153" i="20" s="1"/>
  <c r="AV153" i="20"/>
  <c r="BL153" i="20" s="1"/>
  <c r="AG190" i="20"/>
  <c r="AI190" i="20" s="1"/>
  <c r="AV190" i="20"/>
  <c r="BL190" i="20" s="1"/>
  <c r="R190" i="20"/>
  <c r="T190" i="20" s="1"/>
  <c r="AS190" i="20"/>
  <c r="R169" i="20"/>
  <c r="T169" i="20" s="1"/>
  <c r="AS169" i="20"/>
  <c r="BK181" i="20"/>
  <c r="R195" i="20"/>
  <c r="T195" i="20" s="1"/>
  <c r="AS195" i="20"/>
  <c r="AG192" i="20"/>
  <c r="AI192" i="20" s="1"/>
  <c r="BF192" i="20" s="1"/>
  <c r="AV192" i="20"/>
  <c r="BL192" i="20" s="1"/>
  <c r="R144" i="20"/>
  <c r="T144" i="20" s="1"/>
  <c r="AS144" i="20"/>
  <c r="AG128" i="20"/>
  <c r="AI128" i="20" s="1"/>
  <c r="BF128" i="20" s="1"/>
  <c r="AV128" i="20"/>
  <c r="BL128" i="20" s="1"/>
  <c r="AG207" i="20"/>
  <c r="AI207" i="20" s="1"/>
  <c r="BF207" i="20" s="1"/>
  <c r="AV207" i="20"/>
  <c r="BL207" i="20" s="1"/>
  <c r="AG205" i="20"/>
  <c r="AI205" i="20" s="1"/>
  <c r="BF205" i="20" s="1"/>
  <c r="AV205" i="20"/>
  <c r="BL205" i="20" s="1"/>
  <c r="R205" i="20"/>
  <c r="T205" i="20" s="1"/>
  <c r="AS205" i="20"/>
  <c r="AG197" i="20"/>
  <c r="AI197" i="20" s="1"/>
  <c r="BF197" i="20" s="1"/>
  <c r="AV197" i="20"/>
  <c r="BL197" i="20" s="1"/>
  <c r="AG147" i="20"/>
  <c r="AI147" i="20" s="1"/>
  <c r="BF147" i="20" s="1"/>
  <c r="AV147" i="20"/>
  <c r="BL147" i="20" s="1"/>
  <c r="AG131" i="20"/>
  <c r="AI131" i="20" s="1"/>
  <c r="BF131" i="20" s="1"/>
  <c r="AV131" i="20"/>
  <c r="BL131" i="20" s="1"/>
  <c r="R123" i="20"/>
  <c r="T123" i="20" s="1"/>
  <c r="AS123" i="20"/>
  <c r="R201" i="20"/>
  <c r="T201" i="20" s="1"/>
  <c r="AS201" i="20"/>
  <c r="R127" i="20"/>
  <c r="T127" i="20" s="1"/>
  <c r="AS127" i="20"/>
  <c r="AG127" i="20"/>
  <c r="AI127" i="20" s="1"/>
  <c r="BF127" i="20" s="1"/>
  <c r="AV127" i="20"/>
  <c r="BL127" i="20" s="1"/>
  <c r="R120" i="20"/>
  <c r="T120" i="20" s="1"/>
  <c r="AS120" i="20"/>
  <c r="AG137" i="20"/>
  <c r="AI137" i="20" s="1"/>
  <c r="AV137" i="20"/>
  <c r="BL137" i="20" s="1"/>
  <c r="R137" i="20"/>
  <c r="T137" i="20" s="1"/>
  <c r="AS137" i="20"/>
  <c r="R162" i="20"/>
  <c r="T162" i="20" s="1"/>
  <c r="AS162" i="20"/>
  <c r="R130" i="20"/>
  <c r="T130" i="20" s="1"/>
  <c r="AS130" i="20"/>
  <c r="R122" i="20"/>
  <c r="T122" i="20" s="1"/>
  <c r="AS122" i="20"/>
  <c r="AG122" i="20"/>
  <c r="AI122" i="20" s="1"/>
  <c r="BF122" i="20" s="1"/>
  <c r="AV122" i="20"/>
  <c r="BL122" i="20" s="1"/>
  <c r="R194" i="20"/>
  <c r="T194" i="20" s="1"/>
  <c r="AS194" i="20"/>
  <c r="AG186" i="20"/>
  <c r="AI186" i="20" s="1"/>
  <c r="AV186" i="20"/>
  <c r="BL186" i="20" s="1"/>
  <c r="AG177" i="20"/>
  <c r="AI177" i="20" s="1"/>
  <c r="AV177" i="20"/>
  <c r="BL177" i="20" s="1"/>
  <c r="R200" i="20"/>
  <c r="T200" i="20" s="1"/>
  <c r="AS200" i="20"/>
  <c r="R209" i="20"/>
  <c r="T209" i="20" s="1"/>
  <c r="AS209" i="20"/>
  <c r="R119" i="20"/>
  <c r="T119" i="20" s="1"/>
  <c r="AS119" i="20"/>
  <c r="AG149" i="20"/>
  <c r="AI149" i="20" s="1"/>
  <c r="AV149" i="20"/>
  <c r="BL149" i="20" s="1"/>
  <c r="R126" i="20"/>
  <c r="T126" i="20" s="1"/>
  <c r="AS126" i="20"/>
  <c r="R110" i="20"/>
  <c r="T110" i="20" s="1"/>
  <c r="AS110" i="20"/>
  <c r="AG184" i="20"/>
  <c r="AI184" i="20" s="1"/>
  <c r="BF184" i="20" s="1"/>
  <c r="AV184" i="20"/>
  <c r="BL184" i="20" s="1"/>
  <c r="BK151" i="20"/>
  <c r="R187" i="20"/>
  <c r="T187" i="20" s="1"/>
  <c r="AS187" i="20"/>
  <c r="AG187" i="20"/>
  <c r="AI187" i="20" s="1"/>
  <c r="BF187" i="20" s="1"/>
  <c r="AV187" i="20"/>
  <c r="BL187" i="20" s="1"/>
  <c r="R165" i="20"/>
  <c r="T165" i="20" s="1"/>
  <c r="AS165" i="20"/>
  <c r="BK155" i="20"/>
  <c r="AG140" i="20"/>
  <c r="AI140" i="20" s="1"/>
  <c r="BF140" i="20" s="1"/>
  <c r="AV140" i="20"/>
  <c r="BL140" i="20" s="1"/>
  <c r="R157" i="20"/>
  <c r="T157" i="20" s="1"/>
  <c r="AS157" i="20"/>
  <c r="AG141" i="20"/>
  <c r="AI141" i="20" s="1"/>
  <c r="BF141" i="20" s="1"/>
  <c r="AV141" i="20"/>
  <c r="BL141" i="20" s="1"/>
  <c r="BI118" i="20"/>
  <c r="AG168" i="20"/>
  <c r="AI168" i="20" s="1"/>
  <c r="BF168" i="20" s="1"/>
  <c r="AV168" i="20"/>
  <c r="BL168" i="20" s="1"/>
  <c r="AG163" i="20"/>
  <c r="AI163" i="20" s="1"/>
  <c r="BF163" i="20" s="1"/>
  <c r="AV163" i="20"/>
  <c r="BL163" i="20" s="1"/>
  <c r="BJ155" i="20"/>
  <c r="R188" i="20"/>
  <c r="T188" i="20" s="1"/>
  <c r="AS188" i="20"/>
  <c r="R115" i="20"/>
  <c r="T115" i="20" s="1"/>
  <c r="AS115" i="20"/>
  <c r="R117" i="20"/>
  <c r="T117" i="20" s="1"/>
  <c r="AS117" i="20"/>
  <c r="R150" i="20"/>
  <c r="T150" i="20" s="1"/>
  <c r="AS150" i="20"/>
  <c r="R134" i="20"/>
  <c r="T134" i="20" s="1"/>
  <c r="AS134" i="20"/>
  <c r="R161" i="20"/>
  <c r="T161" i="20" s="1"/>
  <c r="AS161" i="20"/>
  <c r="R208" i="20"/>
  <c r="T208" i="20" s="1"/>
  <c r="AS208" i="20"/>
  <c r="AG164" i="20"/>
  <c r="AI164" i="20" s="1"/>
  <c r="AV164" i="20"/>
  <c r="BL164" i="20" s="1"/>
  <c r="R185" i="20"/>
  <c r="T185" i="20" s="1"/>
  <c r="AS185" i="20"/>
  <c r="AG189" i="20"/>
  <c r="AI189" i="20" s="1"/>
  <c r="BF189" i="20" s="1"/>
  <c r="AV189" i="20"/>
  <c r="BL189" i="20" s="1"/>
  <c r="R189" i="20"/>
  <c r="T189" i="20" s="1"/>
  <c r="AS189" i="20"/>
  <c r="R158" i="20"/>
  <c r="T158" i="20" s="1"/>
  <c r="AS158" i="20"/>
  <c r="R142" i="20"/>
  <c r="T142" i="20" s="1"/>
  <c r="AS142" i="20"/>
  <c r="R112" i="20"/>
  <c r="T112" i="20" s="1"/>
  <c r="AS112" i="20"/>
  <c r="AG112" i="20"/>
  <c r="AI112" i="20" s="1"/>
  <c r="AV112" i="20"/>
  <c r="BL112" i="20" s="1"/>
  <c r="R129" i="20"/>
  <c r="T129" i="20" s="1"/>
  <c r="AS129" i="20"/>
  <c r="R170" i="20"/>
  <c r="T170" i="20" s="1"/>
  <c r="AS170" i="20"/>
  <c r="R154" i="20"/>
  <c r="T154" i="20" s="1"/>
  <c r="AS154" i="20"/>
  <c r="AG114" i="20"/>
  <c r="AI114" i="20" s="1"/>
  <c r="BF114" i="20" s="1"/>
  <c r="AV114" i="20"/>
  <c r="BL114" i="20" s="1"/>
  <c r="AG175" i="20"/>
  <c r="AI175" i="20" s="1"/>
  <c r="BF175" i="20" s="1"/>
  <c r="AV175" i="20"/>
  <c r="BL175" i="20" s="1"/>
  <c r="R153" i="20"/>
  <c r="T153" i="20" s="1"/>
  <c r="AS153" i="20"/>
  <c r="AG169" i="20"/>
  <c r="AI169" i="20" s="1"/>
  <c r="BF169" i="20" s="1"/>
  <c r="AV169" i="20"/>
  <c r="BL169" i="20" s="1"/>
  <c r="AG195" i="20"/>
  <c r="AI195" i="20" s="1"/>
  <c r="BF195" i="20" s="1"/>
  <c r="AV195" i="20"/>
  <c r="BL195" i="20" s="1"/>
  <c r="R192" i="20"/>
  <c r="T192" i="20" s="1"/>
  <c r="AS192" i="20"/>
  <c r="R168" i="20"/>
  <c r="T168" i="20" s="1"/>
  <c r="AS168" i="20"/>
  <c r="AG144" i="20"/>
  <c r="AI144" i="20" s="1"/>
  <c r="BF144" i="20" s="1"/>
  <c r="AV144" i="20"/>
  <c r="BL144" i="20" s="1"/>
  <c r="R128" i="20"/>
  <c r="T128" i="20" s="1"/>
  <c r="AS128" i="20"/>
  <c r="BI171" i="20"/>
  <c r="BB171" i="20"/>
  <c r="BD171" i="20" s="1"/>
  <c r="BH171" i="20" s="1"/>
  <c r="R203" i="20"/>
  <c r="T203" i="20" s="1"/>
  <c r="AS203" i="20"/>
  <c r="R207" i="20"/>
  <c r="T207" i="20" s="1"/>
  <c r="AS207" i="20"/>
  <c r="R197" i="20"/>
  <c r="T197" i="20" s="1"/>
  <c r="AS197" i="20"/>
  <c r="R147" i="20"/>
  <c r="T147" i="20" s="1"/>
  <c r="AS147" i="20"/>
  <c r="R131" i="20"/>
  <c r="T131" i="20" s="1"/>
  <c r="AS131" i="20"/>
  <c r="AG123" i="20"/>
  <c r="AI123" i="20" s="1"/>
  <c r="AV123" i="20"/>
  <c r="BL123" i="20" s="1"/>
  <c r="R148" i="20"/>
  <c r="T148" i="20" s="1"/>
  <c r="AS148" i="20"/>
  <c r="AG148" i="20"/>
  <c r="AV148" i="20"/>
  <c r="BL148" i="20" s="1"/>
  <c r="R136" i="20"/>
  <c r="T136" i="20" s="1"/>
  <c r="AS136" i="20"/>
  <c r="R178" i="20"/>
  <c r="T178" i="20" s="1"/>
  <c r="AS178" i="20"/>
  <c r="R146" i="20"/>
  <c r="T146" i="20" s="1"/>
  <c r="AS146" i="20"/>
  <c r="R198" i="20"/>
  <c r="T198" i="20" s="1"/>
  <c r="AS198" i="20"/>
  <c r="AG132" i="20"/>
  <c r="AV132" i="20"/>
  <c r="BL132" i="20" s="1"/>
  <c r="R132" i="20"/>
  <c r="T132" i="20" s="1"/>
  <c r="AS132" i="20"/>
  <c r="R186" i="20"/>
  <c r="T186" i="20" s="1"/>
  <c r="AS186" i="20"/>
  <c r="R177" i="20"/>
  <c r="T177" i="20" s="1"/>
  <c r="AS177" i="20"/>
  <c r="AG209" i="20"/>
  <c r="AI209" i="20" s="1"/>
  <c r="BF209" i="20" s="1"/>
  <c r="AV209" i="20"/>
  <c r="BL209" i="20" s="1"/>
  <c r="R149" i="20"/>
  <c r="T149" i="20" s="1"/>
  <c r="AS149" i="20"/>
  <c r="R133" i="20"/>
  <c r="T133" i="20" s="1"/>
  <c r="AS133" i="20"/>
  <c r="AG133" i="20"/>
  <c r="AI133" i="20" s="1"/>
  <c r="BF133" i="20" s="1"/>
  <c r="AV133" i="20"/>
  <c r="BL133" i="20" s="1"/>
  <c r="R125" i="20"/>
  <c r="T125" i="20" s="1"/>
  <c r="AS125" i="20"/>
  <c r="AG125" i="20"/>
  <c r="AI125" i="20" s="1"/>
  <c r="BF125" i="20" s="1"/>
  <c r="AV125" i="20"/>
  <c r="BL125" i="20" s="1"/>
  <c r="AG126" i="20"/>
  <c r="AI126" i="20" s="1"/>
  <c r="BF126" i="20" s="1"/>
  <c r="AV126" i="20"/>
  <c r="BL126" i="20" s="1"/>
  <c r="AG110" i="20"/>
  <c r="AI110" i="20" s="1"/>
  <c r="BF110" i="20" s="1"/>
  <c r="AV110" i="20"/>
  <c r="BL110" i="20" s="1"/>
  <c r="R184" i="20"/>
  <c r="T184" i="20" s="1"/>
  <c r="AS184" i="20"/>
  <c r="R176" i="20"/>
  <c r="T176" i="20" s="1"/>
  <c r="AS176" i="20"/>
  <c r="R113" i="20"/>
  <c r="T113" i="20" s="1"/>
  <c r="AS113" i="20"/>
  <c r="AG113" i="20"/>
  <c r="AI113" i="20" s="1"/>
  <c r="BF113" i="20" s="1"/>
  <c r="AV113" i="20"/>
  <c r="BL113" i="20" s="1"/>
  <c r="R140" i="20"/>
  <c r="T140" i="20" s="1"/>
  <c r="AS140" i="20"/>
  <c r="AG157" i="20"/>
  <c r="AI157" i="20" s="1"/>
  <c r="BF157" i="20" s="1"/>
  <c r="AV157" i="20"/>
  <c r="BL157" i="20" s="1"/>
  <c r="R141" i="20"/>
  <c r="T141" i="20" s="1"/>
  <c r="AS141" i="20"/>
  <c r="AG174" i="20"/>
  <c r="AI174" i="20" s="1"/>
  <c r="BF174" i="20" s="1"/>
  <c r="AV174" i="20"/>
  <c r="BL174" i="20" s="1"/>
  <c r="R174" i="20"/>
  <c r="T174" i="20" s="1"/>
  <c r="AS174" i="20"/>
  <c r="AG202" i="20"/>
  <c r="AI202" i="20" s="1"/>
  <c r="BF202" i="20" s="1"/>
  <c r="AV202" i="20"/>
  <c r="BL202" i="20" s="1"/>
  <c r="R202" i="20"/>
  <c r="T202" i="20" s="1"/>
  <c r="AS202" i="20"/>
  <c r="R163" i="20"/>
  <c r="T163" i="20" s="1"/>
  <c r="AS163" i="20"/>
  <c r="BB155" i="20"/>
  <c r="BD155" i="20" s="1"/>
  <c r="BH155" i="20" s="1"/>
  <c r="R70" i="20"/>
  <c r="AV84" i="20"/>
  <c r="BL84" i="20" s="1"/>
  <c r="R11" i="20"/>
  <c r="T11" i="20" s="1"/>
  <c r="AV43" i="20"/>
  <c r="BL43" i="20" s="1"/>
  <c r="AV40" i="20"/>
  <c r="BL40" i="20" s="1"/>
  <c r="AO85" i="20"/>
  <c r="AP85" i="20" s="1"/>
  <c r="AR85" i="20" s="1"/>
  <c r="Q85" i="20"/>
  <c r="AS85" i="20" s="1"/>
  <c r="S85" i="20"/>
  <c r="X85" i="20"/>
  <c r="Y85" i="20" s="1"/>
  <c r="Z85" i="20" s="1"/>
  <c r="AD85" i="20"/>
  <c r="U85" i="20"/>
  <c r="V85" i="20" s="1"/>
  <c r="W85" i="20" s="1"/>
  <c r="AO66" i="20"/>
  <c r="AP66" i="20" s="1"/>
  <c r="AJ66" i="20"/>
  <c r="AK66" i="20" s="1"/>
  <c r="AN66" i="20" s="1"/>
  <c r="Q66" i="20"/>
  <c r="AS66" i="20" s="1"/>
  <c r="U66" i="20"/>
  <c r="V66" i="20" s="1"/>
  <c r="W66" i="20" s="1"/>
  <c r="AH66" i="20"/>
  <c r="AD66" i="20"/>
  <c r="AH85" i="20"/>
  <c r="X66" i="20"/>
  <c r="Y66" i="20" s="1"/>
  <c r="Z66" i="20" s="1"/>
  <c r="AA85" i="20"/>
  <c r="AB85" i="20" s="1"/>
  <c r="AQ69" i="20"/>
  <c r="AO69" i="20"/>
  <c r="AP69" i="20" s="1"/>
  <c r="Q69" i="20"/>
  <c r="AD69" i="20"/>
  <c r="AO90" i="20"/>
  <c r="AP90" i="20" s="1"/>
  <c r="Q90" i="20"/>
  <c r="AA90" i="20"/>
  <c r="AB90" i="20" s="1"/>
  <c r="AD90" i="20"/>
  <c r="X90" i="20"/>
  <c r="Y90" i="20" s="1"/>
  <c r="Z90" i="20" s="1"/>
  <c r="AH90" i="20"/>
  <c r="AQ74" i="20"/>
  <c r="Q74" i="20"/>
  <c r="AA74" i="20"/>
  <c r="AB74" i="20" s="1"/>
  <c r="U74" i="20"/>
  <c r="V74" i="20" s="1"/>
  <c r="W74" i="20" s="1"/>
  <c r="S74" i="20"/>
  <c r="AH74" i="20"/>
  <c r="AM50" i="20"/>
  <c r="AJ50" i="20"/>
  <c r="AK50" i="20" s="1"/>
  <c r="AA50" i="20"/>
  <c r="AB50" i="20" s="1"/>
  <c r="AF50" i="20"/>
  <c r="U50" i="20"/>
  <c r="V50" i="20" s="1"/>
  <c r="W50" i="20" s="1"/>
  <c r="AM38" i="20"/>
  <c r="AJ38" i="20"/>
  <c r="AK38" i="20" s="1"/>
  <c r="AQ81" i="20"/>
  <c r="AO81" i="20"/>
  <c r="AP81" i="20" s="1"/>
  <c r="AF81" i="20"/>
  <c r="AG81" i="20" s="1"/>
  <c r="X81" i="20"/>
  <c r="Y81" i="20" s="1"/>
  <c r="Z81" i="20" s="1"/>
  <c r="AQ65" i="20"/>
  <c r="AF65" i="20"/>
  <c r="X65" i="20"/>
  <c r="Y65" i="20" s="1"/>
  <c r="Z65" i="20" s="1"/>
  <c r="AQ70" i="20"/>
  <c r="AO70" i="20"/>
  <c r="AP70" i="20" s="1"/>
  <c r="AF70" i="20"/>
  <c r="AG70" i="20" s="1"/>
  <c r="AA70" i="20"/>
  <c r="AB70" i="20" s="1"/>
  <c r="S70" i="20"/>
  <c r="AH70" i="20"/>
  <c r="AO45" i="20"/>
  <c r="AP45" i="20" s="1"/>
  <c r="AA45" i="20"/>
  <c r="AB45" i="20" s="1"/>
  <c r="S45" i="20"/>
  <c r="AM54" i="20"/>
  <c r="AO54" i="20"/>
  <c r="AP54" i="20" s="1"/>
  <c r="AR54" i="20" s="1"/>
  <c r="AJ54" i="20"/>
  <c r="AK54" i="20" s="1"/>
  <c r="AF54" i="20"/>
  <c r="AG54" i="20" s="1"/>
  <c r="AA54" i="20"/>
  <c r="AB54" i="20" s="1"/>
  <c r="U54" i="20"/>
  <c r="V54" i="20" s="1"/>
  <c r="W54" i="20" s="1"/>
  <c r="X54" i="20"/>
  <c r="Y54" i="20" s="1"/>
  <c r="Z54" i="20" s="1"/>
  <c r="S54" i="20"/>
  <c r="AH65" i="20"/>
  <c r="S65" i="20"/>
  <c r="AD65" i="20"/>
  <c r="S34" i="20"/>
  <c r="AQ34" i="20"/>
  <c r="U34" i="20"/>
  <c r="V34" i="20" s="1"/>
  <c r="W34" i="20" s="1"/>
  <c r="X34" i="20"/>
  <c r="Y34" i="20" s="1"/>
  <c r="Z34" i="20" s="1"/>
  <c r="AJ81" i="20"/>
  <c r="AK81" i="20" s="1"/>
  <c r="AJ77" i="20"/>
  <c r="AK77" i="20" s="1"/>
  <c r="AN77" i="20" s="1"/>
  <c r="AJ74" i="20"/>
  <c r="AK74" i="20" s="1"/>
  <c r="AN74" i="20" s="1"/>
  <c r="AO82" i="20"/>
  <c r="AP82" i="20" s="1"/>
  <c r="AO50" i="20"/>
  <c r="AP50" i="20" s="1"/>
  <c r="AR50" i="20" s="1"/>
  <c r="AD61" i="20"/>
  <c r="AH61" i="20"/>
  <c r="S61" i="20"/>
  <c r="AJ73" i="20"/>
  <c r="AJ69" i="20"/>
  <c r="AK69" i="20" s="1"/>
  <c r="AO74" i="20"/>
  <c r="AP74" i="20" s="1"/>
  <c r="AO58" i="20"/>
  <c r="AP58" i="20" s="1"/>
  <c r="R22" i="20"/>
  <c r="T22" i="20" s="1"/>
  <c r="BI22" i="20" s="1"/>
  <c r="AQ33" i="20"/>
  <c r="AM33" i="20"/>
  <c r="X33" i="20"/>
  <c r="Y33" i="20" s="1"/>
  <c r="Z33" i="20" s="1"/>
  <c r="S33" i="20"/>
  <c r="S21" i="20"/>
  <c r="S13" i="20"/>
  <c r="S25" i="20"/>
  <c r="AM13" i="20"/>
  <c r="AM18" i="20"/>
  <c r="AM17" i="20"/>
  <c r="AM21" i="20"/>
  <c r="U109" i="20"/>
  <c r="V109" i="20" s="1"/>
  <c r="W109" i="20" s="1"/>
  <c r="X18" i="20"/>
  <c r="Y18" i="20" s="1"/>
  <c r="Z18" i="20" s="1"/>
  <c r="U21" i="20"/>
  <c r="V21" i="20" s="1"/>
  <c r="W21" i="20" s="1"/>
  <c r="X21" i="20"/>
  <c r="Y21" i="20" s="1"/>
  <c r="Z21" i="20" s="1"/>
  <c r="AH109" i="20"/>
  <c r="AV28" i="20"/>
  <c r="BL28" i="20" s="1"/>
  <c r="AA109" i="20"/>
  <c r="AB109" i="20" s="1"/>
  <c r="AE109" i="20" s="1"/>
  <c r="Q109" i="20"/>
  <c r="AQ31" i="20"/>
  <c r="AM31" i="20"/>
  <c r="AK36" i="20"/>
  <c r="AV36" i="20"/>
  <c r="BL36" i="20" s="1"/>
  <c r="AK109" i="20"/>
  <c r="AO109" i="20"/>
  <c r="AP109" i="20" s="1"/>
  <c r="AM109" i="20"/>
  <c r="AQ109" i="20"/>
  <c r="R9" i="20"/>
  <c r="T9" i="20" s="1"/>
  <c r="BI9" i="20" s="1"/>
  <c r="AS9" i="20"/>
  <c r="Q25" i="20"/>
  <c r="AS25" i="20" s="1"/>
  <c r="S106" i="20"/>
  <c r="AO106" i="20"/>
  <c r="AP106" i="20" s="1"/>
  <c r="AR106" i="20" s="1"/>
  <c r="Q106" i="20"/>
  <c r="AS106" i="20" s="1"/>
  <c r="AH106" i="20"/>
  <c r="Q14" i="20"/>
  <c r="AS14" i="20" s="1"/>
  <c r="AQ14" i="20"/>
  <c r="AA14" i="20"/>
  <c r="AB14" i="20" s="1"/>
  <c r="AE14" i="20" s="1"/>
  <c r="Q10" i="20"/>
  <c r="AS10" i="20" s="1"/>
  <c r="AQ10" i="20"/>
  <c r="AA10" i="20"/>
  <c r="AB10" i="20" s="1"/>
  <c r="AE10" i="20" s="1"/>
  <c r="AF29" i="20"/>
  <c r="AG29" i="20" s="1"/>
  <c r="AF106" i="20"/>
  <c r="AV106" i="20" s="1"/>
  <c r="BL106" i="20" s="1"/>
  <c r="AQ21" i="20"/>
  <c r="Q21" i="20"/>
  <c r="AS21" i="20" s="1"/>
  <c r="AA21" i="20"/>
  <c r="AB21" i="20" s="1"/>
  <c r="AE21" i="20" s="1"/>
  <c r="AF25" i="20"/>
  <c r="AF26" i="20"/>
  <c r="AJ33" i="20"/>
  <c r="AJ14" i="20"/>
  <c r="AK14" i="20" s="1"/>
  <c r="X25" i="20"/>
  <c r="Y25" i="20" s="1"/>
  <c r="Z25" i="20" s="1"/>
  <c r="U25" i="20"/>
  <c r="V25" i="20" s="1"/>
  <c r="W25" i="20" s="1"/>
  <c r="AH25" i="20"/>
  <c r="AQ25" i="20"/>
  <c r="AQ17" i="20"/>
  <c r="Q17" i="20"/>
  <c r="AS17" i="20" s="1"/>
  <c r="AA17" i="20"/>
  <c r="AB17" i="20" s="1"/>
  <c r="AE17" i="20" s="1"/>
  <c r="U17" i="20"/>
  <c r="V17" i="20" s="1"/>
  <c r="W17" i="20" s="1"/>
  <c r="AQ18" i="20"/>
  <c r="AA18" i="20"/>
  <c r="AB18" i="20" s="1"/>
  <c r="AE18" i="20" s="1"/>
  <c r="Q18" i="20"/>
  <c r="AS18" i="20" s="1"/>
  <c r="AA30" i="20"/>
  <c r="AB30" i="20" s="1"/>
  <c r="AF31" i="20"/>
  <c r="AG31" i="20" s="1"/>
  <c r="AI31" i="20" s="1"/>
  <c r="AA33" i="20"/>
  <c r="AB33" i="20" s="1"/>
  <c r="AE33" i="20" s="1"/>
  <c r="AA13" i="20"/>
  <c r="AB13" i="20" s="1"/>
  <c r="AE13" i="20" s="1"/>
  <c r="AQ13" i="20"/>
  <c r="Q13" i="20"/>
  <c r="AS13" i="20" s="1"/>
  <c r="AJ30" i="20"/>
  <c r="AK30" i="20" s="1"/>
  <c r="AO29" i="20"/>
  <c r="AP29" i="20" s="1"/>
  <c r="AR29" i="20" s="1"/>
  <c r="AO25" i="20"/>
  <c r="AP25" i="20" s="1"/>
  <c r="AO18" i="20"/>
  <c r="AP18" i="20" s="1"/>
  <c r="AA106" i="20"/>
  <c r="AB106" i="20" s="1"/>
  <c r="AO31" i="20"/>
  <c r="AP31" i="20" s="1"/>
  <c r="AJ10" i="20"/>
  <c r="AK10" i="20" s="1"/>
  <c r="AV105" i="20"/>
  <c r="BL105" i="20" s="1"/>
  <c r="R71" i="20"/>
  <c r="T71" i="20" s="1"/>
  <c r="BI71" i="20" s="1"/>
  <c r="AG100" i="20"/>
  <c r="R107" i="20"/>
  <c r="AV55" i="20"/>
  <c r="BL55" i="20" s="1"/>
  <c r="AV76" i="20"/>
  <c r="BL76" i="20" s="1"/>
  <c r="AG76" i="20"/>
  <c r="AG27" i="20"/>
  <c r="AV27" i="20"/>
  <c r="BL27" i="20" s="1"/>
  <c r="AG92" i="20"/>
  <c r="AV92" i="20"/>
  <c r="BL92" i="20" s="1"/>
  <c r="AV108" i="20"/>
  <c r="BL108" i="20" s="1"/>
  <c r="AG108" i="20"/>
  <c r="T95" i="20"/>
  <c r="AV68" i="20"/>
  <c r="BL68" i="20" s="1"/>
  <c r="AG68" i="20"/>
  <c r="AI68" i="20" s="1"/>
  <c r="S14" i="20"/>
  <c r="AD29" i="20"/>
  <c r="AH38" i="20"/>
  <c r="U38" i="20"/>
  <c r="V38" i="20" s="1"/>
  <c r="W38" i="20" s="1"/>
  <c r="AD38" i="20"/>
  <c r="S38" i="20"/>
  <c r="AG104" i="20"/>
  <c r="AV104" i="20"/>
  <c r="BL104" i="20" s="1"/>
  <c r="AV60" i="20"/>
  <c r="BL60" i="20" s="1"/>
  <c r="AG60" i="20"/>
  <c r="AV9" i="20"/>
  <c r="BL9" i="20" s="1"/>
  <c r="X38" i="20"/>
  <c r="Y38" i="20" s="1"/>
  <c r="Z38" i="20" s="1"/>
  <c r="AG35" i="20"/>
  <c r="AI35" i="20" s="1"/>
  <c r="AV35" i="20"/>
  <c r="BL35" i="20" s="1"/>
  <c r="X14" i="20"/>
  <c r="Y14" i="20" s="1"/>
  <c r="Z14" i="20" s="1"/>
  <c r="AH14" i="20"/>
  <c r="U14" i="20"/>
  <c r="V14" i="20" s="1"/>
  <c r="W14" i="20" s="1"/>
  <c r="AH29" i="20"/>
  <c r="U29" i="20"/>
  <c r="V29" i="20" s="1"/>
  <c r="W29" i="20" s="1"/>
  <c r="AG99" i="20"/>
  <c r="AV99" i="20"/>
  <c r="BL99" i="20" s="1"/>
  <c r="AG91" i="20"/>
  <c r="AV91" i="20"/>
  <c r="BL91" i="20" s="1"/>
  <c r="AK11" i="20"/>
  <c r="AN11" i="20" s="1"/>
  <c r="BE11" i="20" s="1"/>
  <c r="AV11" i="20"/>
  <c r="BL11" i="20" s="1"/>
  <c r="AG59" i="20"/>
  <c r="AI59" i="20" s="1"/>
  <c r="AK19" i="20"/>
  <c r="AG67" i="20"/>
  <c r="AI67" i="20" s="1"/>
  <c r="AV67" i="20"/>
  <c r="BL67" i="20" s="1"/>
  <c r="AG95" i="20"/>
  <c r="AI95" i="20" s="1"/>
  <c r="BF95" i="20" s="1"/>
  <c r="AV95" i="20"/>
  <c r="BL95" i="20" s="1"/>
  <c r="AG79" i="20"/>
  <c r="AG103" i="20"/>
  <c r="AI103" i="20" s="1"/>
  <c r="BF103" i="20" s="1"/>
  <c r="AV103" i="20"/>
  <c r="BL103" i="20" s="1"/>
  <c r="AK16" i="20"/>
  <c r="AN16" i="20" s="1"/>
  <c r="BE16" i="20" s="1"/>
  <c r="AV16" i="20"/>
  <c r="BL16" i="20" s="1"/>
  <c r="AG51" i="20"/>
  <c r="AI51" i="20" s="1"/>
  <c r="AV51" i="20"/>
  <c r="BL51" i="20" s="1"/>
  <c r="R24" i="20"/>
  <c r="T24" i="20" s="1"/>
  <c r="BI24" i="20" s="1"/>
  <c r="R23" i="20"/>
  <c r="BK28" i="20"/>
  <c r="BK43" i="20"/>
  <c r="R16" i="20"/>
  <c r="T16" i="20" s="1"/>
  <c r="R20" i="20"/>
  <c r="T20" i="20" s="1"/>
  <c r="K133" i="2"/>
  <c r="M133" i="2" s="1"/>
  <c r="D86" i="2"/>
  <c r="E33" i="1"/>
  <c r="B121" i="2"/>
  <c r="E27" i="1" s="1"/>
  <c r="B296" i="2"/>
  <c r="B297" i="2" s="1"/>
  <c r="F4" i="17" s="1"/>
  <c r="E34" i="1"/>
  <c r="B319" i="2"/>
  <c r="B80" i="1" s="1"/>
  <c r="B168" i="2"/>
  <c r="E41" i="1" s="1"/>
  <c r="B172" i="2"/>
  <c r="L173" i="2" s="1"/>
  <c r="L174" i="2"/>
  <c r="K173" i="2"/>
  <c r="K168" i="2"/>
  <c r="K167" i="2"/>
  <c r="K195" i="2"/>
  <c r="E52" i="1"/>
  <c r="B137" i="2"/>
  <c r="D61" i="16" s="1"/>
  <c r="B280" i="2"/>
  <c r="F5" i="17" s="1"/>
  <c r="F7" i="17"/>
  <c r="B306" i="2"/>
  <c r="B308" i="2" s="1"/>
  <c r="E68" i="1" s="1"/>
  <c r="H167" i="2"/>
  <c r="E45" i="1"/>
  <c r="N103" i="2"/>
  <c r="N102" i="2"/>
  <c r="P102" i="2"/>
  <c r="AN75" i="20" l="1"/>
  <c r="AN47" i="20"/>
  <c r="AV24" i="20"/>
  <c r="BL24" i="20" s="1"/>
  <c r="R43" i="20"/>
  <c r="BE79" i="20"/>
  <c r="BF35" i="20"/>
  <c r="BF55" i="20"/>
  <c r="BK82" i="21"/>
  <c r="BE82" i="21" s="1"/>
  <c r="BF48" i="20"/>
  <c r="R67" i="20"/>
  <c r="T67" i="20" s="1"/>
  <c r="AV75" i="20"/>
  <c r="BL75" i="20" s="1"/>
  <c r="AR71" i="20"/>
  <c r="AR79" i="20"/>
  <c r="AN43" i="20"/>
  <c r="AV79" i="20"/>
  <c r="BL79" i="20" s="1"/>
  <c r="AR73" i="20"/>
  <c r="BK73" i="21"/>
  <c r="BE73" i="21" s="1"/>
  <c r="BK40" i="21"/>
  <c r="BE40" i="21" s="1"/>
  <c r="BK87" i="21"/>
  <c r="BE87" i="21" s="1"/>
  <c r="BE64" i="20"/>
  <c r="AV71" i="20"/>
  <c r="BL71" i="20" s="1"/>
  <c r="AN102" i="20"/>
  <c r="BE60" i="20"/>
  <c r="T43" i="20"/>
  <c r="BI43" i="20" s="1"/>
  <c r="BK191" i="20"/>
  <c r="R35" i="20"/>
  <c r="T35" i="20" s="1"/>
  <c r="AV47" i="20"/>
  <c r="BL47" i="20" s="1"/>
  <c r="R79" i="20"/>
  <c r="T79" i="20" s="1"/>
  <c r="BI79" i="20" s="1"/>
  <c r="BF96" i="20"/>
  <c r="R77" i="20"/>
  <c r="T77" i="20" s="1"/>
  <c r="BI77" i="20" s="1"/>
  <c r="AR39" i="20"/>
  <c r="BF75" i="20"/>
  <c r="R63" i="20"/>
  <c r="T63" i="20" s="1"/>
  <c r="BI63" i="20" s="1"/>
  <c r="AR78" i="20"/>
  <c r="R59" i="20"/>
  <c r="T59" i="20" s="1"/>
  <c r="BI59" i="20" s="1"/>
  <c r="AN23" i="20"/>
  <c r="BE23" i="20" s="1"/>
  <c r="AV61" i="20"/>
  <c r="BL61" i="20" s="1"/>
  <c r="AE62" i="20"/>
  <c r="AR36" i="20"/>
  <c r="BF36" i="20" s="1"/>
  <c r="AV23" i="20"/>
  <c r="BL23" i="20" s="1"/>
  <c r="R48" i="20"/>
  <c r="T48" i="20" s="1"/>
  <c r="BF68" i="20"/>
  <c r="AV56" i="20"/>
  <c r="BL56" i="20" s="1"/>
  <c r="AR77" i="20"/>
  <c r="BF77" i="20" s="1"/>
  <c r="BF51" i="20"/>
  <c r="AN48" i="20"/>
  <c r="BE48" i="20" s="1"/>
  <c r="BK173" i="20"/>
  <c r="AR107" i="20"/>
  <c r="BE172" i="20"/>
  <c r="BK179" i="20"/>
  <c r="AE107" i="20"/>
  <c r="AR59" i="20"/>
  <c r="BF59" i="20" s="1"/>
  <c r="AE77" i="20"/>
  <c r="AR56" i="20"/>
  <c r="BF56" i="20" s="1"/>
  <c r="AN15" i="20"/>
  <c r="BE15" i="20" s="1"/>
  <c r="R56" i="20"/>
  <c r="T56" i="20" s="1"/>
  <c r="BI56" i="20" s="1"/>
  <c r="AV89" i="20"/>
  <c r="BL89" i="20" s="1"/>
  <c r="T23" i="20"/>
  <c r="BI23" i="20" s="1"/>
  <c r="AV39" i="20"/>
  <c r="BL39" i="20" s="1"/>
  <c r="AV59" i="20"/>
  <c r="BL59" i="20" s="1"/>
  <c r="AI88" i="20"/>
  <c r="BK88" i="20" s="1"/>
  <c r="AN89" i="20"/>
  <c r="BE160" i="20"/>
  <c r="AV48" i="20"/>
  <c r="BL48" i="20" s="1"/>
  <c r="AR62" i="20"/>
  <c r="AR67" i="20"/>
  <c r="BF67" i="20" s="1"/>
  <c r="AG39" i="20"/>
  <c r="R89" i="20"/>
  <c r="AV90" i="20"/>
  <c r="BL90" i="20" s="1"/>
  <c r="R15" i="20"/>
  <c r="T15" i="20" s="1"/>
  <c r="BE67" i="20"/>
  <c r="AR44" i="20"/>
  <c r="AV15" i="20"/>
  <c r="BL15" i="20" s="1"/>
  <c r="AG109" i="20"/>
  <c r="AI109" i="20" s="1"/>
  <c r="BF109" i="20" s="1"/>
  <c r="AR15" i="20"/>
  <c r="BF15" i="20" s="1"/>
  <c r="AS75" i="20"/>
  <c r="R75" i="20"/>
  <c r="T75" i="20" s="1"/>
  <c r="BI75" i="20" s="1"/>
  <c r="AV63" i="20"/>
  <c r="BL63" i="20" s="1"/>
  <c r="AN105" i="20"/>
  <c r="AR98" i="20"/>
  <c r="AV85" i="20"/>
  <c r="BL85" i="20" s="1"/>
  <c r="AN85" i="20"/>
  <c r="AR63" i="20"/>
  <c r="BF63" i="20" s="1"/>
  <c r="AN94" i="20"/>
  <c r="AI36" i="20"/>
  <c r="BK36" i="20" s="1"/>
  <c r="BE51" i="20"/>
  <c r="AI49" i="20"/>
  <c r="BK49" i="20" s="1"/>
  <c r="AV86" i="20"/>
  <c r="BL86" i="20" s="1"/>
  <c r="AR90" i="20"/>
  <c r="AN88" i="20"/>
  <c r="AR52" i="20"/>
  <c r="BF52" i="20" s="1"/>
  <c r="AV101" i="20"/>
  <c r="BL101" i="20" s="1"/>
  <c r="BE59" i="20"/>
  <c r="BE80" i="20"/>
  <c r="BE47" i="20"/>
  <c r="AV98" i="20"/>
  <c r="BL98" i="20" s="1"/>
  <c r="BE75" i="20"/>
  <c r="BE56" i="20"/>
  <c r="BJ152" i="20"/>
  <c r="AR14" i="20"/>
  <c r="R62" i="20"/>
  <c r="T62" i="20" s="1"/>
  <c r="BI62" i="20" s="1"/>
  <c r="BJ80" i="20"/>
  <c r="AE93" i="20"/>
  <c r="BE93" i="20" s="1"/>
  <c r="BB191" i="20"/>
  <c r="BD191" i="20" s="1"/>
  <c r="BH191" i="20" s="1"/>
  <c r="AE86" i="20"/>
  <c r="BE86" i="20" s="1"/>
  <c r="BK59" i="21"/>
  <c r="BE59" i="21" s="1"/>
  <c r="BL30" i="21"/>
  <c r="BF30" i="21" s="1"/>
  <c r="AV88" i="20"/>
  <c r="BL88" i="20" s="1"/>
  <c r="AE70" i="20"/>
  <c r="BE70" i="20" s="1"/>
  <c r="BL83" i="21"/>
  <c r="BF83" i="21" s="1"/>
  <c r="R52" i="20"/>
  <c r="T52" i="20" s="1"/>
  <c r="BI52" i="20" s="1"/>
  <c r="BF152" i="20"/>
  <c r="AI73" i="20"/>
  <c r="BF73" i="20" s="1"/>
  <c r="AE102" i="20"/>
  <c r="BE102" i="20" s="1"/>
  <c r="BJ96" i="20"/>
  <c r="AR19" i="20"/>
  <c r="BF19" i="20" s="1"/>
  <c r="AV13" i="20"/>
  <c r="BL13" i="20" s="1"/>
  <c r="AV94" i="20"/>
  <c r="BL94" i="20" s="1"/>
  <c r="BF206" i="20"/>
  <c r="AG98" i="20"/>
  <c r="AI98" i="20" s="1"/>
  <c r="BF98" i="20" s="1"/>
  <c r="AN10" i="20"/>
  <c r="BE10" i="20" s="1"/>
  <c r="BF9" i="20"/>
  <c r="AE78" i="20"/>
  <c r="AI86" i="20"/>
  <c r="BF86" i="20" s="1"/>
  <c r="AN19" i="20"/>
  <c r="BE19" i="20" s="1"/>
  <c r="R73" i="20"/>
  <c r="T73" i="20" s="1"/>
  <c r="BI73" i="20" s="1"/>
  <c r="AN101" i="20"/>
  <c r="AE52" i="20"/>
  <c r="AN69" i="20"/>
  <c r="BF83" i="20"/>
  <c r="BE206" i="20"/>
  <c r="AI107" i="20"/>
  <c r="BF107" i="20" s="1"/>
  <c r="AE82" i="20"/>
  <c r="BE82" i="20" s="1"/>
  <c r="BJ167" i="20"/>
  <c r="AG89" i="20"/>
  <c r="AI89" i="20" s="1"/>
  <c r="BK89" i="20" s="1"/>
  <c r="AV102" i="20"/>
  <c r="BL102" i="20" s="1"/>
  <c r="AE74" i="20"/>
  <c r="BE74" i="20" s="1"/>
  <c r="R19" i="20"/>
  <c r="T19" i="20" s="1"/>
  <c r="BI19" i="20" s="1"/>
  <c r="R12" i="20"/>
  <c r="T12" i="20" s="1"/>
  <c r="BI12" i="20" s="1"/>
  <c r="AV62" i="20"/>
  <c r="BL62" i="20" s="1"/>
  <c r="R93" i="20"/>
  <c r="T93" i="20" s="1"/>
  <c r="BI93" i="20" s="1"/>
  <c r="AV20" i="20"/>
  <c r="BL20" i="20" s="1"/>
  <c r="R39" i="20"/>
  <c r="T39" i="20" s="1"/>
  <c r="BI39" i="20" s="1"/>
  <c r="AR10" i="20"/>
  <c r="BF10" i="20" s="1"/>
  <c r="R46" i="20"/>
  <c r="T46" i="20" s="1"/>
  <c r="BI46" i="20" s="1"/>
  <c r="BF159" i="20"/>
  <c r="R78" i="20"/>
  <c r="T78" i="20" s="1"/>
  <c r="BI78" i="20" s="1"/>
  <c r="R81" i="20"/>
  <c r="T81" i="20" s="1"/>
  <c r="BI81" i="20" s="1"/>
  <c r="AV12" i="20"/>
  <c r="BL12" i="20" s="1"/>
  <c r="AE72" i="20"/>
  <c r="BE72" i="20" s="1"/>
  <c r="AI62" i="20"/>
  <c r="BK62" i="20" s="1"/>
  <c r="BK64" i="20"/>
  <c r="BB139" i="20"/>
  <c r="BD139" i="20" s="1"/>
  <c r="BH139" i="20" s="1"/>
  <c r="AN26" i="20"/>
  <c r="AN86" i="20"/>
  <c r="BK38" i="21"/>
  <c r="BE38" i="21" s="1"/>
  <c r="BL19" i="21"/>
  <c r="BF19" i="21" s="1"/>
  <c r="BK46" i="21"/>
  <c r="BE46" i="21" s="1"/>
  <c r="BK48" i="21"/>
  <c r="BE48" i="21" s="1"/>
  <c r="BL10" i="21"/>
  <c r="BF10" i="21" s="1"/>
  <c r="BK91" i="21"/>
  <c r="BE91" i="21" s="1"/>
  <c r="BK92" i="21"/>
  <c r="BE92" i="21" s="1"/>
  <c r="BK108" i="21"/>
  <c r="BE108" i="21" s="1"/>
  <c r="BK78" i="21"/>
  <c r="BE78" i="21" s="1"/>
  <c r="BK64" i="21"/>
  <c r="BE64" i="21" s="1"/>
  <c r="BK61" i="21"/>
  <c r="BE61" i="21" s="1"/>
  <c r="BK96" i="21"/>
  <c r="BE96" i="21" s="1"/>
  <c r="BK41" i="21"/>
  <c r="BE41" i="21" s="1"/>
  <c r="BK54" i="21"/>
  <c r="BE54" i="21" s="1"/>
  <c r="BL42" i="21"/>
  <c r="BF42" i="21" s="1"/>
  <c r="BL11" i="21"/>
  <c r="BF11" i="21" s="1"/>
  <c r="BJ179" i="20"/>
  <c r="BL37" i="21"/>
  <c r="BF37" i="21" s="1"/>
  <c r="AR97" i="20"/>
  <c r="AE23" i="20"/>
  <c r="AE41" i="20"/>
  <c r="AV82" i="20"/>
  <c r="BL82" i="20" s="1"/>
  <c r="AR102" i="20"/>
  <c r="AN98" i="20"/>
  <c r="AI93" i="20"/>
  <c r="BF93" i="20" s="1"/>
  <c r="AE97" i="20"/>
  <c r="BE97" i="20" s="1"/>
  <c r="BB96" i="20"/>
  <c r="BD96" i="20" s="1"/>
  <c r="BH96" i="20" s="1"/>
  <c r="AG97" i="20"/>
  <c r="AI97" i="20" s="1"/>
  <c r="BF97" i="20" s="1"/>
  <c r="AI104" i="20"/>
  <c r="BF104" i="20" s="1"/>
  <c r="AN14" i="20"/>
  <c r="BE14" i="20" s="1"/>
  <c r="AN36" i="20"/>
  <c r="BE36" i="20" s="1"/>
  <c r="BJ64" i="20"/>
  <c r="AN81" i="20"/>
  <c r="BE81" i="20" s="1"/>
  <c r="BF167" i="20"/>
  <c r="AI44" i="20"/>
  <c r="R86" i="20"/>
  <c r="T86" i="20" s="1"/>
  <c r="BI86" i="20" s="1"/>
  <c r="AR89" i="20"/>
  <c r="AE104" i="20"/>
  <c r="BE104" i="20" s="1"/>
  <c r="AR86" i="20"/>
  <c r="AE105" i="20"/>
  <c r="AI69" i="20"/>
  <c r="BK69" i="20" s="1"/>
  <c r="AN44" i="20"/>
  <c r="AV93" i="20"/>
  <c r="BL93" i="20" s="1"/>
  <c r="R105" i="20"/>
  <c r="T105" i="20" s="1"/>
  <c r="BI105" i="20" s="1"/>
  <c r="AE106" i="20"/>
  <c r="BE106" i="20" s="1"/>
  <c r="AN30" i="20"/>
  <c r="AG101" i="20"/>
  <c r="AI101" i="20" s="1"/>
  <c r="BK101" i="20" s="1"/>
  <c r="AN13" i="20"/>
  <c r="BE13" i="20" s="1"/>
  <c r="R36" i="20"/>
  <c r="T36" i="20" s="1"/>
  <c r="BI36" i="20" s="1"/>
  <c r="AR82" i="20"/>
  <c r="AE65" i="20"/>
  <c r="BE65" i="20" s="1"/>
  <c r="AG85" i="20"/>
  <c r="AI85" i="20" s="1"/>
  <c r="BF85" i="20" s="1"/>
  <c r="R102" i="20"/>
  <c r="T102" i="20" s="1"/>
  <c r="BI102" i="20" s="1"/>
  <c r="AR66" i="20"/>
  <c r="BJ139" i="20"/>
  <c r="BK139" i="20"/>
  <c r="BF12" i="20"/>
  <c r="R101" i="20"/>
  <c r="T101" i="20" s="1"/>
  <c r="BI101" i="20" s="1"/>
  <c r="BJ196" i="20"/>
  <c r="AE98" i="20"/>
  <c r="BE98" i="20" s="1"/>
  <c r="AE94" i="20"/>
  <c r="BE94" i="20" s="1"/>
  <c r="AE44" i="20"/>
  <c r="BB167" i="20"/>
  <c r="BD167" i="20" s="1"/>
  <c r="BH167" i="20" s="1"/>
  <c r="AI77" i="20"/>
  <c r="AN12" i="20"/>
  <c r="BE12" i="20" s="1"/>
  <c r="AR104" i="20"/>
  <c r="T107" i="20"/>
  <c r="BI107" i="20" s="1"/>
  <c r="AV52" i="20"/>
  <c r="BL52" i="20" s="1"/>
  <c r="T89" i="20"/>
  <c r="BI89" i="20" s="1"/>
  <c r="R94" i="20"/>
  <c r="T94" i="20" s="1"/>
  <c r="BI94" i="20" s="1"/>
  <c r="AE69" i="20"/>
  <c r="BJ151" i="20"/>
  <c r="BL85" i="21"/>
  <c r="BF85" i="21" s="1"/>
  <c r="BL90" i="21"/>
  <c r="BF90" i="21" s="1"/>
  <c r="AI42" i="20"/>
  <c r="BK42" i="20" s="1"/>
  <c r="AI78" i="20"/>
  <c r="AE101" i="20"/>
  <c r="BE101" i="20" s="1"/>
  <c r="AV78" i="20"/>
  <c r="BL78" i="20" s="1"/>
  <c r="R65" i="20"/>
  <c r="T65" i="20" s="1"/>
  <c r="BI65" i="20" s="1"/>
  <c r="AI66" i="20"/>
  <c r="R98" i="20"/>
  <c r="T98" i="20" s="1"/>
  <c r="BI98" i="20" s="1"/>
  <c r="BB179" i="20"/>
  <c r="BD179" i="20" s="1"/>
  <c r="BH179" i="20" s="1"/>
  <c r="AR61" i="20"/>
  <c r="R44" i="20"/>
  <c r="T44" i="20" s="1"/>
  <c r="BI44" i="20" s="1"/>
  <c r="AV44" i="20"/>
  <c r="BL44" i="20" s="1"/>
  <c r="BB152" i="20"/>
  <c r="BD152" i="20" s="1"/>
  <c r="BH152" i="20" s="1"/>
  <c r="BB181" i="20"/>
  <c r="BD181" i="20" s="1"/>
  <c r="BH181" i="20" s="1"/>
  <c r="BJ159" i="20"/>
  <c r="BB206" i="20"/>
  <c r="BD206" i="20" s="1"/>
  <c r="BH206" i="20" s="1"/>
  <c r="BB159" i="20"/>
  <c r="BD159" i="20" s="1"/>
  <c r="BH159" i="20" s="1"/>
  <c r="BJ181" i="20"/>
  <c r="BL97" i="21"/>
  <c r="BF97" i="21" s="1"/>
  <c r="BK9" i="21"/>
  <c r="BE9" i="21" s="1"/>
  <c r="BJ191" i="20"/>
  <c r="BK70" i="21"/>
  <c r="BE70" i="21" s="1"/>
  <c r="BL101" i="21"/>
  <c r="BF101" i="21" s="1"/>
  <c r="BB172" i="20"/>
  <c r="BD172" i="20" s="1"/>
  <c r="BH172" i="20" s="1"/>
  <c r="BL35" i="21"/>
  <c r="BF35" i="21" s="1"/>
  <c r="BJ172" i="20"/>
  <c r="AE42" i="20"/>
  <c r="BE42" i="20" s="1"/>
  <c r="AE53" i="20"/>
  <c r="AR72" i="20"/>
  <c r="AN52" i="20"/>
  <c r="BE52" i="20" s="1"/>
  <c r="BE173" i="20"/>
  <c r="BJ173" i="20"/>
  <c r="BB173" i="20"/>
  <c r="BD173" i="20" s="1"/>
  <c r="BH173" i="20" s="1"/>
  <c r="BE196" i="20"/>
  <c r="BK63" i="20"/>
  <c r="AV107" i="20"/>
  <c r="BL107" i="20" s="1"/>
  <c r="BB64" i="20"/>
  <c r="BD64" i="20" s="1"/>
  <c r="BH64" i="20" s="1"/>
  <c r="R97" i="20"/>
  <c r="T97" i="20" s="1"/>
  <c r="BI97" i="20" s="1"/>
  <c r="R82" i="20"/>
  <c r="T82" i="20" s="1"/>
  <c r="BI82" i="20" s="1"/>
  <c r="AE66" i="20"/>
  <c r="BE66" i="20" s="1"/>
  <c r="BJ206" i="20"/>
  <c r="BF112" i="20"/>
  <c r="BF164" i="20"/>
  <c r="BB151" i="20"/>
  <c r="BD151" i="20" s="1"/>
  <c r="BH151" i="20" s="1"/>
  <c r="BF190" i="20"/>
  <c r="BB196" i="20"/>
  <c r="BD196" i="20" s="1"/>
  <c r="BH196" i="20" s="1"/>
  <c r="BE124" i="20"/>
  <c r="BE68" i="20"/>
  <c r="BE176" i="20"/>
  <c r="BE148" i="20"/>
  <c r="BE170" i="20"/>
  <c r="BE164" i="20"/>
  <c r="BE149" i="20"/>
  <c r="BE194" i="20"/>
  <c r="BE130" i="20"/>
  <c r="BE195" i="20"/>
  <c r="BL67" i="21"/>
  <c r="BF67" i="21" s="1"/>
  <c r="BE200" i="20"/>
  <c r="BE166" i="20"/>
  <c r="AR88" i="20"/>
  <c r="BE89" i="20"/>
  <c r="BF105" i="20"/>
  <c r="AS104" i="20"/>
  <c r="R104" i="20"/>
  <c r="T104" i="20" s="1"/>
  <c r="BI104" i="20" s="1"/>
  <c r="AN107" i="20"/>
  <c r="BL55" i="21"/>
  <c r="BF55" i="21" s="1"/>
  <c r="AR23" i="20"/>
  <c r="BF23" i="20" s="1"/>
  <c r="AR65" i="20"/>
  <c r="BK48" i="20"/>
  <c r="AE88" i="20"/>
  <c r="BE88" i="20" s="1"/>
  <c r="BB80" i="20"/>
  <c r="BD80" i="20" s="1"/>
  <c r="BH80" i="20" s="1"/>
  <c r="R72" i="20"/>
  <c r="T72" i="20" s="1"/>
  <c r="BI72" i="20" s="1"/>
  <c r="BK36" i="21"/>
  <c r="BE36" i="21" s="1"/>
  <c r="BK81" i="21"/>
  <c r="BE81" i="21" s="1"/>
  <c r="AI37" i="20"/>
  <c r="BK37" i="20" s="1"/>
  <c r="AI18" i="20"/>
  <c r="BK18" i="20" s="1"/>
  <c r="BE63" i="20"/>
  <c r="BE27" i="20"/>
  <c r="BE55" i="20"/>
  <c r="BE78" i="20"/>
  <c r="BE77" i="20"/>
  <c r="AV74" i="20"/>
  <c r="BL74" i="20" s="1"/>
  <c r="BE62" i="20"/>
  <c r="BF71" i="20"/>
  <c r="AS88" i="20"/>
  <c r="R88" i="20"/>
  <c r="T88" i="20" s="1"/>
  <c r="BI88" i="20" s="1"/>
  <c r="AG72" i="20"/>
  <c r="AI72" i="20" s="1"/>
  <c r="AV72" i="20"/>
  <c r="BL72" i="20" s="1"/>
  <c r="R26" i="20"/>
  <c r="T26" i="20" s="1"/>
  <c r="BI26" i="20" s="1"/>
  <c r="AV31" i="20"/>
  <c r="BL31" i="20" s="1"/>
  <c r="R49" i="20"/>
  <c r="T49" i="20" s="1"/>
  <c r="BI49" i="20" s="1"/>
  <c r="AE30" i="20"/>
  <c r="BK37" i="21"/>
  <c r="BE37" i="21" s="1"/>
  <c r="BK18" i="21"/>
  <c r="BE18" i="21" s="1"/>
  <c r="BK20" i="21"/>
  <c r="BE20" i="21" s="1"/>
  <c r="BL76" i="21"/>
  <c r="BF76" i="21" s="1"/>
  <c r="BK74" i="21"/>
  <c r="BE74" i="21" s="1"/>
  <c r="AN29" i="20"/>
  <c r="AR26" i="20"/>
  <c r="BL82" i="21"/>
  <c r="BF82" i="21" s="1"/>
  <c r="BL106" i="21"/>
  <c r="BF106" i="21" s="1"/>
  <c r="BL47" i="21"/>
  <c r="BF47" i="21" s="1"/>
  <c r="AR30" i="20"/>
  <c r="AN25" i="20"/>
  <c r="BE25" i="20" s="1"/>
  <c r="R33" i="20"/>
  <c r="T33" i="20" s="1"/>
  <c r="BI33" i="20" s="1"/>
  <c r="AE54" i="20"/>
  <c r="AE45" i="20"/>
  <c r="BE45" i="20" s="1"/>
  <c r="AV34" i="20"/>
  <c r="BL34" i="20" s="1"/>
  <c r="R53" i="20"/>
  <c r="T53" i="20" s="1"/>
  <c r="BI53" i="20" s="1"/>
  <c r="R42" i="20"/>
  <c r="T42" i="20" s="1"/>
  <c r="BI42" i="20" s="1"/>
  <c r="BL99" i="21"/>
  <c r="BF99" i="21" s="1"/>
  <c r="BL59" i="21"/>
  <c r="BF59" i="21" s="1"/>
  <c r="AE49" i="20"/>
  <c r="BE49" i="20" s="1"/>
  <c r="AR109" i="20"/>
  <c r="AN31" i="20"/>
  <c r="BE31" i="20" s="1"/>
  <c r="BL81" i="21"/>
  <c r="BF81" i="21" s="1"/>
  <c r="BK105" i="20"/>
  <c r="AR17" i="20"/>
  <c r="BF17" i="20" s="1"/>
  <c r="AR21" i="20"/>
  <c r="AN17" i="20"/>
  <c r="AV53" i="20"/>
  <c r="BL53" i="20" s="1"/>
  <c r="R30" i="20"/>
  <c r="T30" i="20" s="1"/>
  <c r="BI30" i="20" s="1"/>
  <c r="BK176" i="20"/>
  <c r="BL36" i="21"/>
  <c r="BF36" i="21" s="1"/>
  <c r="BK44" i="21"/>
  <c r="BE44" i="21" s="1"/>
  <c r="AI21" i="20"/>
  <c r="BK21" i="20" s="1"/>
  <c r="AS31" i="20"/>
  <c r="R31" i="20"/>
  <c r="T31" i="20" s="1"/>
  <c r="BI31" i="20" s="1"/>
  <c r="AV21" i="20"/>
  <c r="BL21" i="20" s="1"/>
  <c r="AR13" i="20"/>
  <c r="BF13" i="20" s="1"/>
  <c r="BJ55" i="20"/>
  <c r="AR33" i="20"/>
  <c r="BF33" i="20" s="1"/>
  <c r="T70" i="20"/>
  <c r="BI70" i="20" s="1"/>
  <c r="BJ203" i="20"/>
  <c r="BK165" i="20"/>
  <c r="BJ185" i="20"/>
  <c r="BK208" i="20"/>
  <c r="BK85" i="21"/>
  <c r="BE85" i="21" s="1"/>
  <c r="BL105" i="21"/>
  <c r="BF105" i="21" s="1"/>
  <c r="BE40" i="20"/>
  <c r="BE22" i="20"/>
  <c r="BJ66" i="21"/>
  <c r="BL109" i="21"/>
  <c r="BF109" i="21" s="1"/>
  <c r="AI41" i="20"/>
  <c r="BK41" i="20" s="1"/>
  <c r="AE26" i="20"/>
  <c r="BK55" i="20"/>
  <c r="R29" i="20"/>
  <c r="T29" i="20" s="1"/>
  <c r="BI29" i="20" s="1"/>
  <c r="AV70" i="20"/>
  <c r="BL70" i="20" s="1"/>
  <c r="R37" i="20"/>
  <c r="T37" i="20" s="1"/>
  <c r="BI37" i="20" s="1"/>
  <c r="AV17" i="20"/>
  <c r="BL17" i="20" s="1"/>
  <c r="R85" i="20"/>
  <c r="T85" i="20" s="1"/>
  <c r="BI85" i="20" s="1"/>
  <c r="AE61" i="20"/>
  <c r="BE61" i="20" s="1"/>
  <c r="BK166" i="20"/>
  <c r="BL89" i="21"/>
  <c r="BF89" i="21" s="1"/>
  <c r="BL93" i="21"/>
  <c r="BF93" i="21" s="1"/>
  <c r="BL45" i="21"/>
  <c r="BF45" i="21" s="1"/>
  <c r="BL62" i="21"/>
  <c r="BF62" i="21" s="1"/>
  <c r="AE34" i="20"/>
  <c r="AE46" i="20"/>
  <c r="BE46" i="20" s="1"/>
  <c r="AR49" i="20"/>
  <c r="BF49" i="20" s="1"/>
  <c r="AV37" i="20"/>
  <c r="BL37" i="20" s="1"/>
  <c r="AI58" i="20"/>
  <c r="AI30" i="20"/>
  <c r="BK30" i="20" s="1"/>
  <c r="BE41" i="20"/>
  <c r="BK84" i="20"/>
  <c r="AV29" i="20"/>
  <c r="BL29" i="20" s="1"/>
  <c r="BK87" i="20"/>
  <c r="BK52" i="20"/>
  <c r="BJ32" i="20"/>
  <c r="AE50" i="20"/>
  <c r="BB32" i="20"/>
  <c r="BD32" i="20" s="1"/>
  <c r="BH32" i="20" s="1"/>
  <c r="BK134" i="20"/>
  <c r="BB22" i="21"/>
  <c r="BD22" i="21" s="1"/>
  <c r="BH22" i="21" s="1"/>
  <c r="BL43" i="21"/>
  <c r="BF43" i="21" s="1"/>
  <c r="AR42" i="20"/>
  <c r="BF42" i="20" s="1"/>
  <c r="AR41" i="20"/>
  <c r="BL56" i="21"/>
  <c r="BF56" i="21" s="1"/>
  <c r="BB58" i="21"/>
  <c r="BD58" i="21" s="1"/>
  <c r="BH58" i="21" s="1"/>
  <c r="BL63" i="21"/>
  <c r="BF63" i="21" s="1"/>
  <c r="BJ74" i="21"/>
  <c r="BE35" i="20"/>
  <c r="AN37" i="20"/>
  <c r="BF40" i="20"/>
  <c r="BF37" i="20"/>
  <c r="AV18" i="20"/>
  <c r="BL18" i="20" s="1"/>
  <c r="BF22" i="20"/>
  <c r="BJ47" i="20"/>
  <c r="AI53" i="20"/>
  <c r="BK53" i="20" s="1"/>
  <c r="R50" i="20"/>
  <c r="T50" i="20" s="1"/>
  <c r="BI50" i="20" s="1"/>
  <c r="AN18" i="20"/>
  <c r="BE18" i="20" s="1"/>
  <c r="R41" i="20"/>
  <c r="T41" i="20" s="1"/>
  <c r="BI41" i="20" s="1"/>
  <c r="R61" i="20"/>
  <c r="T61" i="20" s="1"/>
  <c r="BI61" i="20" s="1"/>
  <c r="R66" i="20"/>
  <c r="T66" i="20" s="1"/>
  <c r="BI66" i="20" s="1"/>
  <c r="AR34" i="20"/>
  <c r="BF34" i="20" s="1"/>
  <c r="BJ28" i="20"/>
  <c r="BK118" i="20"/>
  <c r="BJ208" i="20"/>
  <c r="BK130" i="20"/>
  <c r="BK161" i="20"/>
  <c r="BK25" i="21"/>
  <c r="BE25" i="21" s="1"/>
  <c r="BK39" i="21"/>
  <c r="BE39" i="21" s="1"/>
  <c r="BK68" i="21"/>
  <c r="BE68" i="21" s="1"/>
  <c r="BL15" i="21"/>
  <c r="BF15" i="21" s="1"/>
  <c r="AE57" i="20"/>
  <c r="BE57" i="20" s="1"/>
  <c r="BB47" i="20"/>
  <c r="BD47" i="20" s="1"/>
  <c r="BH47" i="20" s="1"/>
  <c r="R10" i="20"/>
  <c r="T10" i="20" s="1"/>
  <c r="BI47" i="20"/>
  <c r="AV46" i="20"/>
  <c r="BL46" i="20" s="1"/>
  <c r="AI54" i="20"/>
  <c r="BF54" i="20" s="1"/>
  <c r="R57" i="20"/>
  <c r="T57" i="20" s="1"/>
  <c r="BI57" i="20" s="1"/>
  <c r="R54" i="20"/>
  <c r="T54" i="20" s="1"/>
  <c r="BI54" i="20" s="1"/>
  <c r="AV41" i="20"/>
  <c r="BL41" i="20" s="1"/>
  <c r="BJ162" i="20"/>
  <c r="BK201" i="20"/>
  <c r="BB118" i="20"/>
  <c r="BD118" i="20" s="1"/>
  <c r="BH118" i="20" s="1"/>
  <c r="BJ165" i="20"/>
  <c r="BJ120" i="20"/>
  <c r="BK120" i="20"/>
  <c r="BB204" i="20"/>
  <c r="BD204" i="20" s="1"/>
  <c r="BH204" i="20" s="1"/>
  <c r="BL86" i="21"/>
  <c r="BF86" i="21" s="1"/>
  <c r="BB74" i="21"/>
  <c r="BD74" i="21" s="1"/>
  <c r="BH74" i="21" s="1"/>
  <c r="BL65" i="21"/>
  <c r="BF65" i="21" s="1"/>
  <c r="BL41" i="21"/>
  <c r="BF41" i="21" s="1"/>
  <c r="BK43" i="21"/>
  <c r="BE43" i="21" s="1"/>
  <c r="BJ45" i="21"/>
  <c r="BL20" i="21"/>
  <c r="BF20" i="21" s="1"/>
  <c r="BL24" i="21"/>
  <c r="BF24" i="21" s="1"/>
  <c r="BJ83" i="20"/>
  <c r="AG61" i="20"/>
  <c r="AI61" i="20" s="1"/>
  <c r="R25" i="20"/>
  <c r="T25" i="20" s="1"/>
  <c r="BI25" i="20" s="1"/>
  <c r="AI38" i="20"/>
  <c r="BF38" i="20" s="1"/>
  <c r="AV38" i="20"/>
  <c r="BL38" i="20" s="1"/>
  <c r="AI45" i="20"/>
  <c r="BK45" i="20" s="1"/>
  <c r="AE58" i="20"/>
  <c r="BE58" i="20" s="1"/>
  <c r="BF178" i="20"/>
  <c r="BK178" i="20"/>
  <c r="R13" i="20"/>
  <c r="T13" i="20" s="1"/>
  <c r="BI13" i="20" s="1"/>
  <c r="BB83" i="20"/>
  <c r="BD83" i="20" s="1"/>
  <c r="BH83" i="20" s="1"/>
  <c r="AV45" i="20"/>
  <c r="BL45" i="20" s="1"/>
  <c r="R34" i="20"/>
  <c r="T34" i="20" s="1"/>
  <c r="BI34" i="20" s="1"/>
  <c r="AR45" i="20"/>
  <c r="AN34" i="20"/>
  <c r="BE34" i="20" s="1"/>
  <c r="BJ146" i="20"/>
  <c r="BJ150" i="20"/>
  <c r="BK136" i="20"/>
  <c r="BJ166" i="20"/>
  <c r="BJ62" i="21"/>
  <c r="BL96" i="21"/>
  <c r="BF96" i="21" s="1"/>
  <c r="BL104" i="21"/>
  <c r="BF104" i="21" s="1"/>
  <c r="BJ42" i="21"/>
  <c r="BJ47" i="21"/>
  <c r="BL17" i="21"/>
  <c r="BF17" i="21" s="1"/>
  <c r="BK56" i="21"/>
  <c r="BE56" i="21" s="1"/>
  <c r="BK80" i="21"/>
  <c r="BE80" i="21" s="1"/>
  <c r="BL32" i="21"/>
  <c r="BF32" i="21" s="1"/>
  <c r="BK58" i="21"/>
  <c r="BE58" i="21" s="1"/>
  <c r="BB53" i="21"/>
  <c r="BD53" i="21" s="1"/>
  <c r="BH53" i="21" s="1"/>
  <c r="AV42" i="20"/>
  <c r="BL42" i="20" s="1"/>
  <c r="AS45" i="20"/>
  <c r="R45" i="20"/>
  <c r="T45" i="20" s="1"/>
  <c r="BI45" i="20" s="1"/>
  <c r="AR46" i="20"/>
  <c r="BJ106" i="21"/>
  <c r="AN53" i="20"/>
  <c r="AS58" i="20"/>
  <c r="R58" i="20"/>
  <c r="T58" i="20" s="1"/>
  <c r="BI58" i="20" s="1"/>
  <c r="AN21" i="20"/>
  <c r="BE21" i="20" s="1"/>
  <c r="AI29" i="20"/>
  <c r="BF29" i="20" s="1"/>
  <c r="AV81" i="20"/>
  <c r="BL81" i="20" s="1"/>
  <c r="BK75" i="20"/>
  <c r="AV57" i="20"/>
  <c r="BL57" i="20" s="1"/>
  <c r="AR58" i="20"/>
  <c r="BK204" i="20"/>
  <c r="BK188" i="20"/>
  <c r="BJ161" i="20"/>
  <c r="BK150" i="20"/>
  <c r="BJ188" i="20"/>
  <c r="BK146" i="20"/>
  <c r="BK203" i="20"/>
  <c r="BJ134" i="20"/>
  <c r="AR57" i="20"/>
  <c r="BL73" i="21"/>
  <c r="BF73" i="21" s="1"/>
  <c r="BL49" i="21"/>
  <c r="BF49" i="21" s="1"/>
  <c r="BL103" i="21"/>
  <c r="BF103" i="21" s="1"/>
  <c r="BL54" i="21"/>
  <c r="BF54" i="21" s="1"/>
  <c r="BL39" i="21"/>
  <c r="BF39" i="21" s="1"/>
  <c r="BL34" i="21"/>
  <c r="BF34" i="21" s="1"/>
  <c r="BL21" i="21"/>
  <c r="BF21" i="21" s="1"/>
  <c r="AV58" i="20"/>
  <c r="BL58" i="20" s="1"/>
  <c r="BJ44" i="21"/>
  <c r="BF47" i="20"/>
  <c r="BK47" i="20"/>
  <c r="AI57" i="20"/>
  <c r="BK57" i="20" s="1"/>
  <c r="R21" i="20"/>
  <c r="T21" i="20" s="1"/>
  <c r="AV10" i="20"/>
  <c r="BL10" i="20" s="1"/>
  <c r="AG106" i="20"/>
  <c r="AI106" i="20" s="1"/>
  <c r="BF106" i="20" s="1"/>
  <c r="AN38" i="20"/>
  <c r="BJ14" i="21"/>
  <c r="BJ43" i="21"/>
  <c r="BL78" i="21"/>
  <c r="BF78" i="21" s="1"/>
  <c r="BL108" i="21"/>
  <c r="BF108" i="21" s="1"/>
  <c r="BL75" i="21"/>
  <c r="BF75" i="21" s="1"/>
  <c r="BL38" i="21"/>
  <c r="BF38" i="21" s="1"/>
  <c r="BL71" i="21"/>
  <c r="BF71" i="21" s="1"/>
  <c r="BB109" i="21"/>
  <c r="BD109" i="21" s="1"/>
  <c r="BH109" i="21" s="1"/>
  <c r="BK57" i="21"/>
  <c r="BE57" i="21" s="1"/>
  <c r="BK26" i="21"/>
  <c r="BE26" i="21" s="1"/>
  <c r="BK52" i="21"/>
  <c r="BE52" i="21" s="1"/>
  <c r="BK60" i="21"/>
  <c r="BE60" i="21" s="1"/>
  <c r="BK100" i="21"/>
  <c r="BE100" i="21" s="1"/>
  <c r="BJ10" i="21"/>
  <c r="BL88" i="21"/>
  <c r="BF88" i="21" s="1"/>
  <c r="BK29" i="21"/>
  <c r="BE29" i="21" s="1"/>
  <c r="BL13" i="21"/>
  <c r="BF13" i="21" s="1"/>
  <c r="BL33" i="21"/>
  <c r="BF33" i="21" s="1"/>
  <c r="BL27" i="21"/>
  <c r="BF27" i="21" s="1"/>
  <c r="BK79" i="21"/>
  <c r="BE79" i="21" s="1"/>
  <c r="BK95" i="21"/>
  <c r="BE95" i="21" s="1"/>
  <c r="BK98" i="21"/>
  <c r="BE98" i="21" s="1"/>
  <c r="BK106" i="21"/>
  <c r="BE106" i="21" s="1"/>
  <c r="BK65" i="21"/>
  <c r="BE65" i="21" s="1"/>
  <c r="BJ67" i="21"/>
  <c r="BJ84" i="21"/>
  <c r="BJ53" i="21"/>
  <c r="BL92" i="21"/>
  <c r="BF92" i="21" s="1"/>
  <c r="BB76" i="21"/>
  <c r="BD76" i="21" s="1"/>
  <c r="BH76" i="21" s="1"/>
  <c r="BL51" i="21"/>
  <c r="BF51" i="21" s="1"/>
  <c r="BL100" i="21"/>
  <c r="BF100" i="21" s="1"/>
  <c r="BB101" i="21"/>
  <c r="BD101" i="21" s="1"/>
  <c r="BH101" i="21" s="1"/>
  <c r="BK53" i="21"/>
  <c r="BE53" i="21" s="1"/>
  <c r="BJ102" i="21"/>
  <c r="BB67" i="21"/>
  <c r="BD67" i="21" s="1"/>
  <c r="BH67" i="21" s="1"/>
  <c r="BJ142" i="20"/>
  <c r="BB45" i="21"/>
  <c r="BD45" i="21" s="1"/>
  <c r="BH45" i="21" s="1"/>
  <c r="BB55" i="21"/>
  <c r="BD55" i="21" s="1"/>
  <c r="BH55" i="21" s="1"/>
  <c r="BL40" i="21"/>
  <c r="BF40" i="21" s="1"/>
  <c r="BL48" i="21"/>
  <c r="BF48" i="21" s="1"/>
  <c r="BL79" i="21"/>
  <c r="BF79" i="21" s="1"/>
  <c r="BL50" i="21"/>
  <c r="BF50" i="21" s="1"/>
  <c r="BL69" i="21"/>
  <c r="BF69" i="21" s="1"/>
  <c r="BL77" i="21"/>
  <c r="BF77" i="21" s="1"/>
  <c r="BJ21" i="21"/>
  <c r="BB66" i="21"/>
  <c r="BD66" i="21" s="1"/>
  <c r="BH66" i="21" s="1"/>
  <c r="BJ76" i="21"/>
  <c r="BL80" i="21"/>
  <c r="BF80" i="21" s="1"/>
  <c r="BL52" i="21"/>
  <c r="BF52" i="21" s="1"/>
  <c r="BJ63" i="21"/>
  <c r="BJ109" i="21"/>
  <c r="BL23" i="21"/>
  <c r="BF23" i="21" s="1"/>
  <c r="BL18" i="21"/>
  <c r="BF18" i="21" s="1"/>
  <c r="BK45" i="21"/>
  <c r="BE45" i="21" s="1"/>
  <c r="BL60" i="21"/>
  <c r="BF60" i="21" s="1"/>
  <c r="BL95" i="21"/>
  <c r="BF95" i="21" s="1"/>
  <c r="BK88" i="21"/>
  <c r="BE88" i="21" s="1"/>
  <c r="BK104" i="21"/>
  <c r="BE104" i="21" s="1"/>
  <c r="BK84" i="21"/>
  <c r="BE84" i="21" s="1"/>
  <c r="BK28" i="21"/>
  <c r="BE28" i="21" s="1"/>
  <c r="BK107" i="21"/>
  <c r="BE107" i="21" s="1"/>
  <c r="BK35" i="21"/>
  <c r="BE35" i="21" s="1"/>
  <c r="BK94" i="21"/>
  <c r="BE94" i="21" s="1"/>
  <c r="BK49" i="21"/>
  <c r="BE49" i="21" s="1"/>
  <c r="BK66" i="21"/>
  <c r="BE66" i="21" s="1"/>
  <c r="BJ55" i="21"/>
  <c r="BJ130" i="20"/>
  <c r="BJ136" i="20"/>
  <c r="BB47" i="21"/>
  <c r="BD47" i="21" s="1"/>
  <c r="BH47" i="21" s="1"/>
  <c r="BJ16" i="21"/>
  <c r="BB83" i="21"/>
  <c r="BD83" i="21" s="1"/>
  <c r="BH83" i="21" s="1"/>
  <c r="BB70" i="21"/>
  <c r="BD70" i="21" s="1"/>
  <c r="BH70" i="21" s="1"/>
  <c r="BJ70" i="21"/>
  <c r="BB63" i="21"/>
  <c r="BD63" i="21" s="1"/>
  <c r="BH63" i="21" s="1"/>
  <c r="BJ32" i="21"/>
  <c r="BJ17" i="21"/>
  <c r="BJ9" i="21"/>
  <c r="BJ83" i="21"/>
  <c r="BL87" i="21"/>
  <c r="BF87" i="21" s="1"/>
  <c r="BJ90" i="21"/>
  <c r="BB30" i="21"/>
  <c r="BD30" i="21" s="1"/>
  <c r="BH30" i="21" s="1"/>
  <c r="BB90" i="21"/>
  <c r="BD90" i="21" s="1"/>
  <c r="BH90" i="21" s="1"/>
  <c r="BB62" i="21"/>
  <c r="BD62" i="21" s="1"/>
  <c r="BH62" i="21" s="1"/>
  <c r="BK67" i="21"/>
  <c r="BE67" i="21" s="1"/>
  <c r="BB14" i="21"/>
  <c r="BD14" i="21" s="1"/>
  <c r="BH14" i="21" s="1"/>
  <c r="BB57" i="21"/>
  <c r="BD57" i="21" s="1"/>
  <c r="BH57" i="21" s="1"/>
  <c r="BI109" i="21"/>
  <c r="BJ57" i="21"/>
  <c r="BB44" i="21"/>
  <c r="BD44" i="21" s="1"/>
  <c r="BH44" i="21" s="1"/>
  <c r="BB106" i="21"/>
  <c r="BD106" i="21" s="1"/>
  <c r="BH106" i="21" s="1"/>
  <c r="BJ18" i="21"/>
  <c r="BI101" i="21"/>
  <c r="BJ58" i="21"/>
  <c r="BB15" i="21"/>
  <c r="BD15" i="21" s="1"/>
  <c r="BH15" i="21" s="1"/>
  <c r="BJ101" i="21"/>
  <c r="BJ34" i="21"/>
  <c r="BB9" i="21"/>
  <c r="BD9" i="21" s="1"/>
  <c r="BH9" i="21" s="1"/>
  <c r="BJ56" i="21"/>
  <c r="BJ11" i="21"/>
  <c r="BJ82" i="21"/>
  <c r="BJ81" i="21"/>
  <c r="BJ93" i="21"/>
  <c r="BJ15" i="21"/>
  <c r="BJ99" i="21"/>
  <c r="BJ72" i="21"/>
  <c r="BJ24" i="21"/>
  <c r="BK102" i="21"/>
  <c r="BE102" i="21" s="1"/>
  <c r="BL14" i="21"/>
  <c r="BF14" i="21" s="1"/>
  <c r="BL46" i="21"/>
  <c r="BF46" i="21" s="1"/>
  <c r="AV49" i="20"/>
  <c r="BL49" i="20" s="1"/>
  <c r="AN54" i="20"/>
  <c r="AR70" i="20"/>
  <c r="AN50" i="20"/>
  <c r="AR69" i="20"/>
  <c r="BJ118" i="20"/>
  <c r="BF137" i="20"/>
  <c r="BJ137" i="20"/>
  <c r="BF160" i="20"/>
  <c r="BJ160" i="20"/>
  <c r="BF135" i="20"/>
  <c r="BJ135" i="20"/>
  <c r="BF115" i="20"/>
  <c r="BJ115" i="20"/>
  <c r="BF199" i="20"/>
  <c r="BJ199" i="20"/>
  <c r="BF123" i="20"/>
  <c r="BJ123" i="20"/>
  <c r="BF149" i="20"/>
  <c r="BJ149" i="20"/>
  <c r="BF177" i="20"/>
  <c r="BJ177" i="20"/>
  <c r="BF186" i="20"/>
  <c r="BJ186" i="20"/>
  <c r="AE38" i="20"/>
  <c r="AR25" i="20"/>
  <c r="AR31" i="20"/>
  <c r="BF31" i="20" s="1"/>
  <c r="AI70" i="20"/>
  <c r="AR81" i="20"/>
  <c r="AI74" i="20"/>
  <c r="AI90" i="20"/>
  <c r="BF90" i="20" s="1"/>
  <c r="AE90" i="20"/>
  <c r="BE90" i="20" s="1"/>
  <c r="AI102" i="20"/>
  <c r="BF102" i="20" s="1"/>
  <c r="BK56" i="20"/>
  <c r="BF183" i="20"/>
  <c r="BJ183" i="20"/>
  <c r="AI94" i="20"/>
  <c r="BF94" i="20" s="1"/>
  <c r="AI92" i="20"/>
  <c r="BF92" i="20" s="1"/>
  <c r="AI27" i="20"/>
  <c r="BB27" i="20" s="1"/>
  <c r="BD27" i="20" s="1"/>
  <c r="BH27" i="20" s="1"/>
  <c r="AI81" i="20"/>
  <c r="BK95" i="20"/>
  <c r="AE29" i="20"/>
  <c r="BK31" i="20"/>
  <c r="AR18" i="20"/>
  <c r="BF18" i="20" s="1"/>
  <c r="AN109" i="20"/>
  <c r="BE109" i="20" s="1"/>
  <c r="AR74" i="20"/>
  <c r="AE85" i="20"/>
  <c r="BE85" i="20" s="1"/>
  <c r="AI132" i="20"/>
  <c r="BF132" i="20" s="1"/>
  <c r="AI148" i="20"/>
  <c r="BF148" i="20" s="1"/>
  <c r="AI108" i="20"/>
  <c r="BF108" i="20" s="1"/>
  <c r="AI99" i="20"/>
  <c r="BF99" i="20" s="1"/>
  <c r="AI100" i="20"/>
  <c r="BF100" i="20" s="1"/>
  <c r="AI46" i="20"/>
  <c r="AI79" i="20"/>
  <c r="BB183" i="20"/>
  <c r="BD183" i="20" s="1"/>
  <c r="BH183" i="20" s="1"/>
  <c r="BJ204" i="20"/>
  <c r="AI76" i="20"/>
  <c r="BF76" i="20" s="1"/>
  <c r="AI39" i="20"/>
  <c r="BK39" i="20" s="1"/>
  <c r="AI60" i="20"/>
  <c r="BF60" i="20" s="1"/>
  <c r="AI82" i="20"/>
  <c r="AI91" i="20"/>
  <c r="BF91" i="20" s="1"/>
  <c r="BK12" i="21"/>
  <c r="BE12" i="21" s="1"/>
  <c r="BK32" i="21"/>
  <c r="BE32" i="21" s="1"/>
  <c r="BK17" i="21"/>
  <c r="BE17" i="21" s="1"/>
  <c r="BK99" i="21"/>
  <c r="BE99" i="21" s="1"/>
  <c r="BK34" i="21"/>
  <c r="BE34" i="21" s="1"/>
  <c r="BK72" i="21"/>
  <c r="BE72" i="21" s="1"/>
  <c r="BK10" i="21"/>
  <c r="BE10" i="21" s="1"/>
  <c r="BL26" i="21"/>
  <c r="BF26" i="21" s="1"/>
  <c r="BL12" i="21"/>
  <c r="BF12" i="21" s="1"/>
  <c r="BL64" i="21"/>
  <c r="BF64" i="21" s="1"/>
  <c r="BL107" i="21"/>
  <c r="BF107" i="21" s="1"/>
  <c r="BK16" i="21"/>
  <c r="BE16" i="21" s="1"/>
  <c r="BK19" i="21"/>
  <c r="BE19" i="21" s="1"/>
  <c r="BK13" i="21"/>
  <c r="BE13" i="21" s="1"/>
  <c r="BK33" i="21"/>
  <c r="BE33" i="21" s="1"/>
  <c r="BK103" i="21"/>
  <c r="BE103" i="21" s="1"/>
  <c r="BK71" i="21"/>
  <c r="BE71" i="21" s="1"/>
  <c r="BK50" i="21"/>
  <c r="BE50" i="21" s="1"/>
  <c r="BK31" i="21"/>
  <c r="BE31" i="21" s="1"/>
  <c r="BK51" i="21"/>
  <c r="BE51" i="21" s="1"/>
  <c r="BK27" i="21"/>
  <c r="BE27" i="21" s="1"/>
  <c r="BL29" i="21"/>
  <c r="BF29" i="21" s="1"/>
  <c r="BL16" i="21"/>
  <c r="BF16" i="21" s="1"/>
  <c r="BL28" i="21"/>
  <c r="BF28" i="21" s="1"/>
  <c r="BL91" i="21"/>
  <c r="BF91" i="21" s="1"/>
  <c r="BL61" i="21"/>
  <c r="BF61" i="21" s="1"/>
  <c r="BJ22" i="21"/>
  <c r="BL22" i="21"/>
  <c r="BF22" i="21" s="1"/>
  <c r="BB102" i="21"/>
  <c r="BD102" i="21" s="1"/>
  <c r="BH102" i="21" s="1"/>
  <c r="BB94" i="21"/>
  <c r="BD94" i="21" s="1"/>
  <c r="BH94" i="21" s="1"/>
  <c r="BJ20" i="21"/>
  <c r="BJ35" i="21"/>
  <c r="BB84" i="21"/>
  <c r="BD84" i="21" s="1"/>
  <c r="BH84" i="21" s="1"/>
  <c r="BB93" i="21"/>
  <c r="BD93" i="21" s="1"/>
  <c r="BH93" i="21" s="1"/>
  <c r="BJ28" i="21"/>
  <c r="BJ27" i="21"/>
  <c r="BB97" i="21"/>
  <c r="BD97" i="21" s="1"/>
  <c r="BH97" i="21" s="1"/>
  <c r="BB81" i="21"/>
  <c r="BD81" i="21" s="1"/>
  <c r="BH81" i="21" s="1"/>
  <c r="BB24" i="21"/>
  <c r="BD24" i="21" s="1"/>
  <c r="BH24" i="21" s="1"/>
  <c r="BB89" i="21"/>
  <c r="BD89" i="21" s="1"/>
  <c r="BH89" i="21" s="1"/>
  <c r="BB98" i="21"/>
  <c r="BD98" i="21" s="1"/>
  <c r="BH98" i="21" s="1"/>
  <c r="BB68" i="21"/>
  <c r="BD68" i="21" s="1"/>
  <c r="BH68" i="21" s="1"/>
  <c r="BB105" i="21"/>
  <c r="BD105" i="21" s="1"/>
  <c r="BH105" i="21" s="1"/>
  <c r="BB11" i="21"/>
  <c r="BD11" i="21" s="1"/>
  <c r="BH11" i="21" s="1"/>
  <c r="BJ59" i="21"/>
  <c r="BJ85" i="21"/>
  <c r="BJ68" i="21"/>
  <c r="BJ98" i="21"/>
  <c r="BB21" i="21"/>
  <c r="BD21" i="21" s="1"/>
  <c r="BH21" i="21" s="1"/>
  <c r="BJ25" i="21"/>
  <c r="BJ12" i="21"/>
  <c r="BJ89" i="21"/>
  <c r="BJ94" i="21"/>
  <c r="BJ71" i="21"/>
  <c r="BJ37" i="21"/>
  <c r="BJ30" i="21"/>
  <c r="AN23" i="21"/>
  <c r="BJ23" i="21" s="1"/>
  <c r="BJ26" i="21"/>
  <c r="BJ107" i="21"/>
  <c r="BJ105" i="21"/>
  <c r="BB46" i="21"/>
  <c r="BD46" i="21" s="1"/>
  <c r="BH46" i="21" s="1"/>
  <c r="BB49" i="21"/>
  <c r="BD49" i="21" s="1"/>
  <c r="BH49" i="21" s="1"/>
  <c r="BJ31" i="21"/>
  <c r="BJ13" i="21"/>
  <c r="BJ91" i="21"/>
  <c r="BB52" i="21"/>
  <c r="BD52" i="21" s="1"/>
  <c r="BH52" i="21" s="1"/>
  <c r="BJ29" i="21"/>
  <c r="BJ97" i="21"/>
  <c r="BB82" i="21"/>
  <c r="BD82" i="21" s="1"/>
  <c r="BH82" i="21" s="1"/>
  <c r="BB72" i="21"/>
  <c r="BD72" i="21" s="1"/>
  <c r="BH72" i="21" s="1"/>
  <c r="BJ41" i="21"/>
  <c r="BB41" i="21"/>
  <c r="BD41" i="21" s="1"/>
  <c r="BH41" i="21" s="1"/>
  <c r="BI43" i="21"/>
  <c r="BB43" i="21"/>
  <c r="BD43" i="21" s="1"/>
  <c r="BH43" i="21" s="1"/>
  <c r="BJ33" i="21"/>
  <c r="BJ19" i="21"/>
  <c r="BB50" i="21"/>
  <c r="BD50" i="21" s="1"/>
  <c r="BH50" i="21" s="1"/>
  <c r="BJ87" i="21"/>
  <c r="BB54" i="21"/>
  <c r="BD54" i="21" s="1"/>
  <c r="BH54" i="21" s="1"/>
  <c r="BB59" i="21"/>
  <c r="BD59" i="21" s="1"/>
  <c r="BB56" i="21"/>
  <c r="BD56" i="21" s="1"/>
  <c r="BH56" i="21" s="1"/>
  <c r="BJ40" i="21"/>
  <c r="BB40" i="21"/>
  <c r="BD40" i="21" s="1"/>
  <c r="BH40" i="21" s="1"/>
  <c r="BB48" i="21"/>
  <c r="BD48" i="21" s="1"/>
  <c r="BH48" i="21" s="1"/>
  <c r="BJ92" i="21"/>
  <c r="BJ108" i="21"/>
  <c r="BJ73" i="21"/>
  <c r="BJ77" i="21"/>
  <c r="BI75" i="21"/>
  <c r="BB75" i="21"/>
  <c r="BD75" i="21" s="1"/>
  <c r="BH75" i="21" s="1"/>
  <c r="BJ60" i="21"/>
  <c r="BI60" i="21"/>
  <c r="BB60" i="21"/>
  <c r="BD60" i="21" s="1"/>
  <c r="BH60" i="21" s="1"/>
  <c r="BI33" i="21"/>
  <c r="BB33" i="21"/>
  <c r="BD33" i="21" s="1"/>
  <c r="BH33" i="21" s="1"/>
  <c r="BJ104" i="21"/>
  <c r="BJ79" i="21"/>
  <c r="BJ80" i="21"/>
  <c r="BJ36" i="21"/>
  <c r="BI39" i="21"/>
  <c r="BB39" i="21"/>
  <c r="BD39" i="21" s="1"/>
  <c r="BH39" i="21" s="1"/>
  <c r="BI37" i="21"/>
  <c r="BB37" i="21"/>
  <c r="BD37" i="21" s="1"/>
  <c r="BH37" i="21" s="1"/>
  <c r="BJ95" i="21"/>
  <c r="BI78" i="21"/>
  <c r="BB78" i="21"/>
  <c r="BD78" i="21" s="1"/>
  <c r="BH78" i="21" s="1"/>
  <c r="BI26" i="21"/>
  <c r="BB26" i="21"/>
  <c r="BD26" i="21" s="1"/>
  <c r="BH26" i="21" s="1"/>
  <c r="BI28" i="21"/>
  <c r="BB28" i="21"/>
  <c r="BD28" i="21" s="1"/>
  <c r="BH28" i="21" s="1"/>
  <c r="BJ64" i="21"/>
  <c r="BI64" i="21"/>
  <c r="BB64" i="21"/>
  <c r="BD64" i="21" s="1"/>
  <c r="BH64" i="21" s="1"/>
  <c r="BI73" i="21"/>
  <c r="BB73" i="21"/>
  <c r="BD73" i="21" s="1"/>
  <c r="BH73" i="21" s="1"/>
  <c r="BI88" i="21"/>
  <c r="BB88" i="21"/>
  <c r="BD88" i="21" s="1"/>
  <c r="BH88" i="21" s="1"/>
  <c r="BI87" i="21"/>
  <c r="BB87" i="21"/>
  <c r="BD87" i="21" s="1"/>
  <c r="BH87" i="21" s="1"/>
  <c r="BB42" i="21"/>
  <c r="BD42" i="21" s="1"/>
  <c r="BH42" i="21" s="1"/>
  <c r="BI25" i="21"/>
  <c r="BB25" i="21"/>
  <c r="BD25" i="21" s="1"/>
  <c r="BH25" i="21" s="1"/>
  <c r="BJ75" i="21"/>
  <c r="BJ48" i="21"/>
  <c r="BJ96" i="21"/>
  <c r="BI79" i="21"/>
  <c r="BB79" i="21"/>
  <c r="BD79" i="21" s="1"/>
  <c r="BH79" i="21" s="1"/>
  <c r="BI77" i="21"/>
  <c r="BB77" i="21"/>
  <c r="BD77" i="21" s="1"/>
  <c r="BH77" i="21" s="1"/>
  <c r="BI19" i="21"/>
  <c r="BB19" i="21"/>
  <c r="BD19" i="21" s="1"/>
  <c r="BI95" i="21"/>
  <c r="BB95" i="21"/>
  <c r="BD95" i="21" s="1"/>
  <c r="BH95" i="21" s="1"/>
  <c r="BJ78" i="21"/>
  <c r="BJ38" i="21"/>
  <c r="BI34" i="21"/>
  <c r="BB34" i="21"/>
  <c r="BD34" i="21" s="1"/>
  <c r="BH34" i="21" s="1"/>
  <c r="BI10" i="21"/>
  <c r="BB10" i="21"/>
  <c r="BD10" i="21" s="1"/>
  <c r="BH10" i="21" s="1"/>
  <c r="BI108" i="21"/>
  <c r="BB108" i="21"/>
  <c r="BD108" i="21" s="1"/>
  <c r="BH108" i="21" s="1"/>
  <c r="BB36" i="21"/>
  <c r="BD36" i="21" s="1"/>
  <c r="BH36" i="21" s="1"/>
  <c r="BI17" i="21"/>
  <c r="BB17" i="21"/>
  <c r="BD17" i="21" s="1"/>
  <c r="BH17" i="21" s="1"/>
  <c r="BI18" i="21"/>
  <c r="BB18" i="21"/>
  <c r="BD18" i="21" s="1"/>
  <c r="BH18" i="21" s="1"/>
  <c r="BI20" i="21"/>
  <c r="BB20" i="21"/>
  <c r="BD20" i="21" s="1"/>
  <c r="BH20" i="21" s="1"/>
  <c r="BJ39" i="21"/>
  <c r="BI86" i="21"/>
  <c r="BB86" i="21"/>
  <c r="BD86" i="21" s="1"/>
  <c r="BH86" i="21" s="1"/>
  <c r="BJ69" i="21"/>
  <c r="BI69" i="21"/>
  <c r="BB69" i="21"/>
  <c r="BD69" i="21" s="1"/>
  <c r="BH69" i="21" s="1"/>
  <c r="BI16" i="21"/>
  <c r="BB16" i="21"/>
  <c r="BD16" i="21" s="1"/>
  <c r="BH16" i="21" s="1"/>
  <c r="BI96" i="21"/>
  <c r="BB96" i="21"/>
  <c r="BD96" i="21" s="1"/>
  <c r="BH96" i="21" s="1"/>
  <c r="BJ49" i="21"/>
  <c r="BI13" i="21"/>
  <c r="BB13" i="21"/>
  <c r="BD13" i="21" s="1"/>
  <c r="BH13" i="21" s="1"/>
  <c r="BI103" i="21"/>
  <c r="BB103" i="21"/>
  <c r="BD103" i="21" s="1"/>
  <c r="BH103" i="21" s="1"/>
  <c r="BI29" i="21"/>
  <c r="BB29" i="21"/>
  <c r="BD29" i="21" s="1"/>
  <c r="BH29" i="21" s="1"/>
  <c r="BB35" i="21"/>
  <c r="BD35" i="21" s="1"/>
  <c r="BH35" i="21" s="1"/>
  <c r="BI85" i="21"/>
  <c r="BB85" i="21"/>
  <c r="BD85" i="21" s="1"/>
  <c r="BH85" i="21" s="1"/>
  <c r="BI100" i="21"/>
  <c r="BB100" i="21"/>
  <c r="BD100" i="21" s="1"/>
  <c r="BH100" i="21" s="1"/>
  <c r="BI27" i="21"/>
  <c r="BB27" i="21"/>
  <c r="BD27" i="21" s="1"/>
  <c r="BH27" i="21" s="1"/>
  <c r="BJ61" i="21"/>
  <c r="BI61" i="21"/>
  <c r="BB61" i="21"/>
  <c r="BD61" i="21" s="1"/>
  <c r="BH61" i="21" s="1"/>
  <c r="BI91" i="21"/>
  <c r="BB91" i="21"/>
  <c r="BD91" i="21" s="1"/>
  <c r="BH91" i="21" s="1"/>
  <c r="BI107" i="21"/>
  <c r="BB107" i="21"/>
  <c r="BD107" i="21" s="1"/>
  <c r="BH107" i="21" s="1"/>
  <c r="BJ86" i="21"/>
  <c r="BI31" i="21"/>
  <c r="BB31" i="21"/>
  <c r="BD31" i="21" s="1"/>
  <c r="BH31" i="21" s="1"/>
  <c r="BI12" i="21"/>
  <c r="BB12" i="21"/>
  <c r="BD12" i="21" s="1"/>
  <c r="BH12" i="21" s="1"/>
  <c r="BI104" i="21"/>
  <c r="BB104" i="21"/>
  <c r="BD104" i="21" s="1"/>
  <c r="BH104" i="21" s="1"/>
  <c r="BI80" i="21"/>
  <c r="BB80" i="21"/>
  <c r="BD80" i="21" s="1"/>
  <c r="BH80" i="21" s="1"/>
  <c r="BJ54" i="21"/>
  <c r="BJ65" i="21"/>
  <c r="BI65" i="21"/>
  <c r="BB65" i="21"/>
  <c r="BD65" i="21" s="1"/>
  <c r="BH65" i="21" s="1"/>
  <c r="BJ52" i="21"/>
  <c r="BI23" i="21"/>
  <c r="BJ103" i="21"/>
  <c r="BB38" i="21"/>
  <c r="BD38" i="21" s="1"/>
  <c r="BH38" i="21" s="1"/>
  <c r="BJ50" i="21"/>
  <c r="BI32" i="21"/>
  <c r="BB32" i="21"/>
  <c r="BD32" i="21" s="1"/>
  <c r="BH32" i="21" s="1"/>
  <c r="BJ51" i="21"/>
  <c r="BI92" i="21"/>
  <c r="BB92" i="21"/>
  <c r="BD92" i="21" s="1"/>
  <c r="BH92" i="21" s="1"/>
  <c r="BJ100" i="21"/>
  <c r="BJ88" i="21"/>
  <c r="BJ46" i="21"/>
  <c r="BI99" i="21"/>
  <c r="BB99" i="21"/>
  <c r="BD99" i="21" s="1"/>
  <c r="BH99" i="21" s="1"/>
  <c r="BI71" i="21"/>
  <c r="BB71" i="21"/>
  <c r="BD71" i="21" s="1"/>
  <c r="BH71" i="21" s="1"/>
  <c r="BB51" i="21"/>
  <c r="BD51" i="21" s="1"/>
  <c r="BH51" i="21" s="1"/>
  <c r="BK202" i="20"/>
  <c r="BJ202" i="20"/>
  <c r="BI150" i="20"/>
  <c r="BB150" i="20"/>
  <c r="BD150" i="20" s="1"/>
  <c r="BH150" i="20" s="1"/>
  <c r="BK207" i="20"/>
  <c r="BK129" i="20"/>
  <c r="BJ129" i="20"/>
  <c r="BK113" i="20"/>
  <c r="BK169" i="20"/>
  <c r="BK112" i="20"/>
  <c r="BJ112" i="20"/>
  <c r="BJ163" i="20"/>
  <c r="BI163" i="20"/>
  <c r="BB163" i="20"/>
  <c r="BD163" i="20" s="1"/>
  <c r="BH163" i="20" s="1"/>
  <c r="BK194" i="20"/>
  <c r="BI202" i="20"/>
  <c r="BB202" i="20"/>
  <c r="BD202" i="20" s="1"/>
  <c r="BH202" i="20" s="1"/>
  <c r="BJ141" i="20"/>
  <c r="BI141" i="20"/>
  <c r="BB141" i="20"/>
  <c r="BD141" i="20" s="1"/>
  <c r="BH141" i="20" s="1"/>
  <c r="BK157" i="20"/>
  <c r="BK198" i="20"/>
  <c r="BJ187" i="20"/>
  <c r="BI176" i="20"/>
  <c r="BB176" i="20"/>
  <c r="BD176" i="20" s="1"/>
  <c r="BH176" i="20" s="1"/>
  <c r="BJ184" i="20"/>
  <c r="BI184" i="20"/>
  <c r="BB184" i="20"/>
  <c r="BD184" i="20" s="1"/>
  <c r="BH184" i="20" s="1"/>
  <c r="BK110" i="20"/>
  <c r="BJ125" i="20"/>
  <c r="BK125" i="20"/>
  <c r="BI125" i="20"/>
  <c r="BB125" i="20"/>
  <c r="BD125" i="20" s="1"/>
  <c r="BH125" i="20" s="1"/>
  <c r="BK133" i="20"/>
  <c r="BI133" i="20"/>
  <c r="BB133" i="20"/>
  <c r="BD133" i="20" s="1"/>
  <c r="BH133" i="20" s="1"/>
  <c r="BK119" i="20"/>
  <c r="BK209" i="20"/>
  <c r="BI177" i="20"/>
  <c r="BB177" i="20"/>
  <c r="BD177" i="20" s="1"/>
  <c r="BH177" i="20" s="1"/>
  <c r="BI186" i="20"/>
  <c r="BB186" i="20"/>
  <c r="BD186" i="20" s="1"/>
  <c r="BH186" i="20" s="1"/>
  <c r="BI132" i="20"/>
  <c r="BI198" i="20"/>
  <c r="BB198" i="20"/>
  <c r="BD198" i="20" s="1"/>
  <c r="BH198" i="20" s="1"/>
  <c r="BK162" i="20"/>
  <c r="BJ127" i="20"/>
  <c r="BI148" i="20"/>
  <c r="BK123" i="20"/>
  <c r="BK131" i="20"/>
  <c r="BI131" i="20"/>
  <c r="BB131" i="20"/>
  <c r="BD131" i="20" s="1"/>
  <c r="BH131" i="20" s="1"/>
  <c r="BJ205" i="20"/>
  <c r="BK168" i="20"/>
  <c r="BK135" i="20"/>
  <c r="BK175" i="20"/>
  <c r="BK114" i="20"/>
  <c r="BJ121" i="20"/>
  <c r="BI129" i="20"/>
  <c r="BB129" i="20"/>
  <c r="BD129" i="20" s="1"/>
  <c r="BH129" i="20" s="1"/>
  <c r="BI158" i="20"/>
  <c r="BB158" i="20"/>
  <c r="BD158" i="20" s="1"/>
  <c r="BH158" i="20" s="1"/>
  <c r="BI189" i="20"/>
  <c r="BB189" i="20"/>
  <c r="BD189" i="20" s="1"/>
  <c r="BH189" i="20" s="1"/>
  <c r="BK189" i="20"/>
  <c r="BI185" i="20"/>
  <c r="BB185" i="20"/>
  <c r="BD185" i="20" s="1"/>
  <c r="BH185" i="20" s="1"/>
  <c r="BJ182" i="20"/>
  <c r="BI208" i="20"/>
  <c r="BB208" i="20"/>
  <c r="BD208" i="20" s="1"/>
  <c r="BH208" i="20" s="1"/>
  <c r="BI161" i="20"/>
  <c r="BB161" i="20"/>
  <c r="BD161" i="20" s="1"/>
  <c r="BH161" i="20" s="1"/>
  <c r="BI134" i="20"/>
  <c r="BB134" i="20"/>
  <c r="BD134" i="20" s="1"/>
  <c r="BH134" i="20" s="1"/>
  <c r="BI199" i="20"/>
  <c r="BB199" i="20"/>
  <c r="BD199" i="20" s="1"/>
  <c r="BH199" i="20" s="1"/>
  <c r="BJ174" i="20"/>
  <c r="BI157" i="20"/>
  <c r="BB157" i="20"/>
  <c r="BD157" i="20" s="1"/>
  <c r="BH157" i="20" s="1"/>
  <c r="BK140" i="20"/>
  <c r="BI165" i="20"/>
  <c r="BB165" i="20"/>
  <c r="BD165" i="20" s="1"/>
  <c r="BH165" i="20" s="1"/>
  <c r="BJ110" i="20"/>
  <c r="BI110" i="20"/>
  <c r="BB110" i="20"/>
  <c r="BD110" i="20" s="1"/>
  <c r="BH110" i="20" s="1"/>
  <c r="BI126" i="20"/>
  <c r="BB126" i="20"/>
  <c r="BD126" i="20" s="1"/>
  <c r="BH126" i="20" s="1"/>
  <c r="BJ119" i="20"/>
  <c r="BJ209" i="20"/>
  <c r="BJ194" i="20"/>
  <c r="BJ201" i="20"/>
  <c r="BI201" i="20"/>
  <c r="BB201" i="20"/>
  <c r="BD201" i="20" s="1"/>
  <c r="BH201" i="20" s="1"/>
  <c r="BI123" i="20"/>
  <c r="BB123" i="20"/>
  <c r="BD123" i="20" s="1"/>
  <c r="BH123" i="20" s="1"/>
  <c r="BK147" i="20"/>
  <c r="BJ144" i="20"/>
  <c r="BI144" i="20"/>
  <c r="BB144" i="20"/>
  <c r="BD144" i="20" s="1"/>
  <c r="BH144" i="20" s="1"/>
  <c r="BK192" i="20"/>
  <c r="BK142" i="20"/>
  <c r="BJ153" i="20"/>
  <c r="BJ111" i="20"/>
  <c r="BK111" i="20"/>
  <c r="BI111" i="20"/>
  <c r="BB111" i="20"/>
  <c r="BD111" i="20" s="1"/>
  <c r="BH111" i="20" s="1"/>
  <c r="BI135" i="20"/>
  <c r="BB135" i="20"/>
  <c r="BD135" i="20" s="1"/>
  <c r="BH135" i="20" s="1"/>
  <c r="BI175" i="20"/>
  <c r="BB175" i="20"/>
  <c r="BD175" i="20" s="1"/>
  <c r="BH175" i="20" s="1"/>
  <c r="BJ114" i="20"/>
  <c r="BI114" i="20"/>
  <c r="BB114" i="20"/>
  <c r="BD114" i="20" s="1"/>
  <c r="BH114" i="20" s="1"/>
  <c r="BJ154" i="20"/>
  <c r="BJ170" i="20"/>
  <c r="BJ189" i="20"/>
  <c r="BJ164" i="20"/>
  <c r="BI164" i="20"/>
  <c r="BB164" i="20"/>
  <c r="BD164" i="20" s="1"/>
  <c r="BH164" i="20" s="1"/>
  <c r="BK200" i="20"/>
  <c r="BI174" i="20"/>
  <c r="BB174" i="20"/>
  <c r="BD174" i="20" s="1"/>
  <c r="BH174" i="20" s="1"/>
  <c r="BK174" i="20"/>
  <c r="BK141" i="20"/>
  <c r="BJ140" i="20"/>
  <c r="BI140" i="20"/>
  <c r="BB140" i="20"/>
  <c r="BD140" i="20" s="1"/>
  <c r="BH140" i="20" s="1"/>
  <c r="BJ113" i="20"/>
  <c r="BI113" i="20"/>
  <c r="BB113" i="20"/>
  <c r="BD113" i="20" s="1"/>
  <c r="BH113" i="20" s="1"/>
  <c r="BJ176" i="20"/>
  <c r="BK126" i="20"/>
  <c r="BK149" i="20"/>
  <c r="BI149" i="20"/>
  <c r="BB149" i="20"/>
  <c r="BD149" i="20" s="1"/>
  <c r="BH149" i="20" s="1"/>
  <c r="BJ200" i="20"/>
  <c r="BJ198" i="20"/>
  <c r="BK122" i="20"/>
  <c r="BI146" i="20"/>
  <c r="BB146" i="20"/>
  <c r="BD146" i="20" s="1"/>
  <c r="BH146" i="20" s="1"/>
  <c r="BJ178" i="20"/>
  <c r="BI178" i="20"/>
  <c r="BB178" i="20"/>
  <c r="BD178" i="20" s="1"/>
  <c r="BH178" i="20" s="1"/>
  <c r="BI136" i="20"/>
  <c r="BB136" i="20"/>
  <c r="BD136" i="20" s="1"/>
  <c r="BH136" i="20" s="1"/>
  <c r="BJ131" i="20"/>
  <c r="BJ147" i="20"/>
  <c r="BI147" i="20"/>
  <c r="BB147" i="20"/>
  <c r="BD147" i="20" s="1"/>
  <c r="BH147" i="20" s="1"/>
  <c r="BI197" i="20"/>
  <c r="BB197" i="20"/>
  <c r="BD197" i="20" s="1"/>
  <c r="BH197" i="20" s="1"/>
  <c r="BJ207" i="20"/>
  <c r="BI207" i="20"/>
  <c r="BB207" i="20"/>
  <c r="BD207" i="20" s="1"/>
  <c r="BH207" i="20" s="1"/>
  <c r="BI203" i="20"/>
  <c r="BB203" i="20"/>
  <c r="BD203" i="20" s="1"/>
  <c r="BH203" i="20" s="1"/>
  <c r="BI128" i="20"/>
  <c r="BB128" i="20"/>
  <c r="BD128" i="20" s="1"/>
  <c r="BH128" i="20" s="1"/>
  <c r="BK144" i="20"/>
  <c r="BI168" i="20"/>
  <c r="BB168" i="20"/>
  <c r="BD168" i="20" s="1"/>
  <c r="BH168" i="20" s="1"/>
  <c r="BJ192" i="20"/>
  <c r="BI192" i="20"/>
  <c r="BB192" i="20"/>
  <c r="BD192" i="20" s="1"/>
  <c r="BH192" i="20" s="1"/>
  <c r="BK195" i="20"/>
  <c r="BJ190" i="20"/>
  <c r="BI153" i="20"/>
  <c r="BB153" i="20"/>
  <c r="BD153" i="20" s="1"/>
  <c r="BH153" i="20" s="1"/>
  <c r="BK138" i="20"/>
  <c r="BI154" i="20"/>
  <c r="BB154" i="20"/>
  <c r="BD154" i="20" s="1"/>
  <c r="BH154" i="20" s="1"/>
  <c r="BI170" i="20"/>
  <c r="BB170" i="20"/>
  <c r="BD170" i="20" s="1"/>
  <c r="BH170" i="20" s="1"/>
  <c r="BJ145" i="20"/>
  <c r="BI112" i="20"/>
  <c r="BB112" i="20"/>
  <c r="BD112" i="20" s="1"/>
  <c r="BH112" i="20" s="1"/>
  <c r="BI142" i="20"/>
  <c r="BB142" i="20"/>
  <c r="BD142" i="20" s="1"/>
  <c r="BH142" i="20" s="1"/>
  <c r="BJ124" i="20"/>
  <c r="BK164" i="20"/>
  <c r="BI166" i="20"/>
  <c r="BB166" i="20"/>
  <c r="BD166" i="20" s="1"/>
  <c r="BH166" i="20" s="1"/>
  <c r="BI117" i="20"/>
  <c r="BB117" i="20"/>
  <c r="BD117" i="20" s="1"/>
  <c r="BH117" i="20" s="1"/>
  <c r="BI115" i="20"/>
  <c r="BB115" i="20"/>
  <c r="BD115" i="20" s="1"/>
  <c r="BH115" i="20" s="1"/>
  <c r="BI188" i="20"/>
  <c r="BB188" i="20"/>
  <c r="BD188" i="20" s="1"/>
  <c r="BH188" i="20" s="1"/>
  <c r="BK163" i="20"/>
  <c r="BK158" i="20"/>
  <c r="BJ157" i="20"/>
  <c r="BK187" i="20"/>
  <c r="BI187" i="20"/>
  <c r="BB187" i="20"/>
  <c r="BD187" i="20" s="1"/>
  <c r="BH187" i="20" s="1"/>
  <c r="BK184" i="20"/>
  <c r="BJ126" i="20"/>
  <c r="BJ133" i="20"/>
  <c r="BI119" i="20"/>
  <c r="BB119" i="20"/>
  <c r="BD119" i="20" s="1"/>
  <c r="BH119" i="20" s="1"/>
  <c r="BI209" i="20"/>
  <c r="BB209" i="20"/>
  <c r="BD209" i="20" s="1"/>
  <c r="BI200" i="20"/>
  <c r="BB200" i="20"/>
  <c r="BD200" i="20" s="1"/>
  <c r="BH200" i="20" s="1"/>
  <c r="BK177" i="20"/>
  <c r="BK186" i="20"/>
  <c r="BI194" i="20"/>
  <c r="BB194" i="20"/>
  <c r="BD194" i="20" s="1"/>
  <c r="BH194" i="20" s="1"/>
  <c r="BJ122" i="20"/>
  <c r="BI122" i="20"/>
  <c r="BB122" i="20"/>
  <c r="BD122" i="20" s="1"/>
  <c r="BH122" i="20" s="1"/>
  <c r="BI130" i="20"/>
  <c r="BB130" i="20"/>
  <c r="BD130" i="20" s="1"/>
  <c r="BH130" i="20" s="1"/>
  <c r="BI162" i="20"/>
  <c r="BB162" i="20"/>
  <c r="BD162" i="20" s="1"/>
  <c r="BH162" i="20" s="1"/>
  <c r="BI137" i="20"/>
  <c r="BB137" i="20"/>
  <c r="BD137" i="20" s="1"/>
  <c r="BH137" i="20" s="1"/>
  <c r="BK137" i="20"/>
  <c r="BI120" i="20"/>
  <c r="BB120" i="20"/>
  <c r="BD120" i="20" s="1"/>
  <c r="BH120" i="20" s="1"/>
  <c r="BK127" i="20"/>
  <c r="BI127" i="20"/>
  <c r="BB127" i="20"/>
  <c r="BD127" i="20" s="1"/>
  <c r="BH127" i="20" s="1"/>
  <c r="BJ197" i="20"/>
  <c r="BK197" i="20"/>
  <c r="BI205" i="20"/>
  <c r="BB205" i="20"/>
  <c r="BD205" i="20" s="1"/>
  <c r="BH205" i="20" s="1"/>
  <c r="BK205" i="20"/>
  <c r="BJ128" i="20"/>
  <c r="BK128" i="20"/>
  <c r="BJ168" i="20"/>
  <c r="BJ195" i="20"/>
  <c r="BI195" i="20"/>
  <c r="BB195" i="20"/>
  <c r="BD195" i="20" s="1"/>
  <c r="BH195" i="20" s="1"/>
  <c r="BJ169" i="20"/>
  <c r="BI169" i="20"/>
  <c r="BB169" i="20"/>
  <c r="BD169" i="20" s="1"/>
  <c r="BH169" i="20" s="1"/>
  <c r="BI190" i="20"/>
  <c r="BB190" i="20"/>
  <c r="BD190" i="20" s="1"/>
  <c r="BH190" i="20" s="1"/>
  <c r="BK190" i="20"/>
  <c r="BK153" i="20"/>
  <c r="BI160" i="20"/>
  <c r="BB160" i="20"/>
  <c r="BD160" i="20" s="1"/>
  <c r="BH160" i="20" s="1"/>
  <c r="BK160" i="20"/>
  <c r="BJ175" i="20"/>
  <c r="BK185" i="20"/>
  <c r="BJ138" i="20"/>
  <c r="BI138" i="20"/>
  <c r="BB138" i="20"/>
  <c r="BD138" i="20" s="1"/>
  <c r="BH138" i="20" s="1"/>
  <c r="BK154" i="20"/>
  <c r="BK170" i="20"/>
  <c r="BK121" i="20"/>
  <c r="BI121" i="20"/>
  <c r="BB121" i="20"/>
  <c r="BD121" i="20" s="1"/>
  <c r="BH121" i="20" s="1"/>
  <c r="BK145" i="20"/>
  <c r="BI145" i="20"/>
  <c r="BB145" i="20"/>
  <c r="BD145" i="20" s="1"/>
  <c r="BH145" i="20" s="1"/>
  <c r="BJ158" i="20"/>
  <c r="BI124" i="20"/>
  <c r="BB124" i="20"/>
  <c r="BD124" i="20" s="1"/>
  <c r="BH124" i="20" s="1"/>
  <c r="BK124" i="20"/>
  <c r="BJ180" i="20"/>
  <c r="BK180" i="20"/>
  <c r="BI180" i="20"/>
  <c r="BB180" i="20"/>
  <c r="BD180" i="20" s="1"/>
  <c r="BH180" i="20" s="1"/>
  <c r="BK182" i="20"/>
  <c r="BI182" i="20"/>
  <c r="BB182" i="20"/>
  <c r="BD182" i="20" s="1"/>
  <c r="BH182" i="20" s="1"/>
  <c r="BK117" i="20"/>
  <c r="BJ117" i="20"/>
  <c r="BK115" i="20"/>
  <c r="BK199" i="20"/>
  <c r="AV54" i="20"/>
  <c r="BL54" i="20" s="1"/>
  <c r="BI32" i="20"/>
  <c r="BJ22" i="20"/>
  <c r="R17" i="20"/>
  <c r="T17" i="20" s="1"/>
  <c r="BI17" i="20" s="1"/>
  <c r="AV30" i="20"/>
  <c r="BL30" i="20" s="1"/>
  <c r="BB28" i="20"/>
  <c r="BD28" i="20" s="1"/>
  <c r="BH28" i="20" s="1"/>
  <c r="BJ40" i="20"/>
  <c r="AG50" i="20"/>
  <c r="AI50" i="20" s="1"/>
  <c r="BF50" i="20" s="1"/>
  <c r="AV50" i="20"/>
  <c r="BL50" i="20" s="1"/>
  <c r="AS74" i="20"/>
  <c r="R74" i="20"/>
  <c r="T74" i="20" s="1"/>
  <c r="BI74" i="20" s="1"/>
  <c r="AS90" i="20"/>
  <c r="R90" i="20"/>
  <c r="T90" i="20" s="1"/>
  <c r="BI90" i="20" s="1"/>
  <c r="BJ20" i="20"/>
  <c r="BK71" i="20"/>
  <c r="AG65" i="20"/>
  <c r="AI65" i="20" s="1"/>
  <c r="AV65" i="20"/>
  <c r="BL65" i="20" s="1"/>
  <c r="AS69" i="20"/>
  <c r="R69" i="20"/>
  <c r="T69" i="20" s="1"/>
  <c r="BI69" i="20" s="1"/>
  <c r="AV66" i="20"/>
  <c r="BL66" i="20" s="1"/>
  <c r="AV77" i="20"/>
  <c r="BL77" i="20" s="1"/>
  <c r="AK73" i="20"/>
  <c r="AN73" i="20" s="1"/>
  <c r="BE73" i="20" s="1"/>
  <c r="AV73" i="20"/>
  <c r="BL73" i="20" s="1"/>
  <c r="AV69" i="20"/>
  <c r="BL69" i="20" s="1"/>
  <c r="R18" i="20"/>
  <c r="T18" i="20" s="1"/>
  <c r="BI18" i="20" s="1"/>
  <c r="R14" i="20"/>
  <c r="T14" i="20" s="1"/>
  <c r="BI14" i="20" s="1"/>
  <c r="BB40" i="20"/>
  <c r="BD40" i="20" s="1"/>
  <c r="BH40" i="20" s="1"/>
  <c r="R106" i="20"/>
  <c r="T106" i="20" s="1"/>
  <c r="BI106" i="20" s="1"/>
  <c r="BJ9" i="20"/>
  <c r="BJ11" i="20"/>
  <c r="AS109" i="20"/>
  <c r="R109" i="20"/>
  <c r="T109" i="20" s="1"/>
  <c r="BJ24" i="20"/>
  <c r="BJ16" i="20"/>
  <c r="BJ35" i="20"/>
  <c r="BJ103" i="20"/>
  <c r="BJ87" i="20"/>
  <c r="AV26" i="20"/>
  <c r="BL26" i="20" s="1"/>
  <c r="AG26" i="20"/>
  <c r="BJ95" i="20"/>
  <c r="BK51" i="20"/>
  <c r="BJ75" i="20"/>
  <c r="BJ68" i="20"/>
  <c r="BJ51" i="20"/>
  <c r="BJ84" i="20"/>
  <c r="AK33" i="20"/>
  <c r="AV33" i="20"/>
  <c r="BL33" i="20" s="1"/>
  <c r="AG25" i="20"/>
  <c r="AI25" i="20" s="1"/>
  <c r="AV25" i="20"/>
  <c r="BL25" i="20" s="1"/>
  <c r="BI40" i="20"/>
  <c r="BB84" i="20"/>
  <c r="BD84" i="20" s="1"/>
  <c r="BH84" i="20" s="1"/>
  <c r="BK9" i="20"/>
  <c r="BB55" i="20"/>
  <c r="BD55" i="20" s="1"/>
  <c r="BH55" i="20" s="1"/>
  <c r="BB103" i="20"/>
  <c r="BD103" i="20" s="1"/>
  <c r="BH103" i="20" s="1"/>
  <c r="BK17" i="20"/>
  <c r="BB95" i="20"/>
  <c r="BD95" i="20" s="1"/>
  <c r="BH95" i="20" s="1"/>
  <c r="BB68" i="20"/>
  <c r="BD68" i="20" s="1"/>
  <c r="BH68" i="20" s="1"/>
  <c r="BK68" i="20"/>
  <c r="BK103" i="20"/>
  <c r="BI95" i="20"/>
  <c r="BB87" i="20"/>
  <c r="BD87" i="20" s="1"/>
  <c r="BH87" i="20" s="1"/>
  <c r="BK13" i="20"/>
  <c r="AV14" i="20"/>
  <c r="BL14" i="20" s="1"/>
  <c r="BK35" i="20"/>
  <c r="R38" i="20"/>
  <c r="T38" i="20" s="1"/>
  <c r="BB51" i="20"/>
  <c r="BD51" i="20" s="1"/>
  <c r="BH51" i="20" s="1"/>
  <c r="AG14" i="20"/>
  <c r="AI14" i="20" s="1"/>
  <c r="BK59" i="20"/>
  <c r="BB11" i="20"/>
  <c r="BD11" i="20" s="1"/>
  <c r="BH11" i="20" s="1"/>
  <c r="BK67" i="20"/>
  <c r="BB20" i="20"/>
  <c r="BD20" i="20" s="1"/>
  <c r="BH20" i="20" s="1"/>
  <c r="BB16" i="20"/>
  <c r="BD16" i="20" s="1"/>
  <c r="BH16" i="20" s="1"/>
  <c r="BB9" i="20"/>
  <c r="BD9" i="20" s="1"/>
  <c r="BB22" i="20"/>
  <c r="BD22" i="20" s="1"/>
  <c r="BH22" i="20" s="1"/>
  <c r="BB24" i="20"/>
  <c r="BD24" i="20" s="1"/>
  <c r="BH24" i="20" s="1"/>
  <c r="BK24" i="20"/>
  <c r="BK11" i="20"/>
  <c r="BI20" i="20"/>
  <c r="BI16" i="20"/>
  <c r="BI11" i="20"/>
  <c r="BK10" i="20"/>
  <c r="BK19" i="20"/>
  <c r="BK15" i="20"/>
  <c r="BK16" i="20"/>
  <c r="BK12" i="20"/>
  <c r="BK20" i="20"/>
  <c r="N13" i="8"/>
  <c r="E43" i="1"/>
  <c r="Q3" i="17"/>
  <c r="K4" i="17"/>
  <c r="BB71" i="20" l="1"/>
  <c r="BD71" i="20" s="1"/>
  <c r="BH71" i="20" s="1"/>
  <c r="BF78" i="20"/>
  <c r="BJ71" i="20"/>
  <c r="BB43" i="20"/>
  <c r="BD43" i="20" s="1"/>
  <c r="BH43" i="20" s="1"/>
  <c r="BJ43" i="20"/>
  <c r="BE43" i="20"/>
  <c r="BF88" i="20"/>
  <c r="BF79" i="20"/>
  <c r="BJ105" i="20"/>
  <c r="BI67" i="20"/>
  <c r="BB67" i="20"/>
  <c r="BD67" i="20" s="1"/>
  <c r="BH67" i="20" s="1"/>
  <c r="BK86" i="20"/>
  <c r="BB56" i="20"/>
  <c r="BD56" i="20" s="1"/>
  <c r="BH56" i="20" s="1"/>
  <c r="BJ56" i="20"/>
  <c r="BI35" i="20"/>
  <c r="BB35" i="20"/>
  <c r="BD35" i="20" s="1"/>
  <c r="BH35" i="20" s="1"/>
  <c r="BJ48" i="20"/>
  <c r="BB48" i="20"/>
  <c r="BD48" i="20" s="1"/>
  <c r="BH48" i="20" s="1"/>
  <c r="BJ59" i="20"/>
  <c r="BE107" i="20"/>
  <c r="BB75" i="20"/>
  <c r="BD75" i="20" s="1"/>
  <c r="BH75" i="20" s="1"/>
  <c r="BI48" i="20"/>
  <c r="BJ67" i="20"/>
  <c r="BF14" i="20"/>
  <c r="BJ37" i="20"/>
  <c r="BF82" i="20"/>
  <c r="BJ77" i="20"/>
  <c r="BJ15" i="20"/>
  <c r="BB15" i="20"/>
  <c r="BD15" i="20" s="1"/>
  <c r="BH15" i="20" s="1"/>
  <c r="BB59" i="20"/>
  <c r="BD59" i="20" s="1"/>
  <c r="BH59" i="20" s="1"/>
  <c r="BI15" i="20"/>
  <c r="BF44" i="20"/>
  <c r="BF89" i="20"/>
  <c r="BJ89" i="20"/>
  <c r="BB63" i="20"/>
  <c r="BD63" i="20" s="1"/>
  <c r="BH63" i="20" s="1"/>
  <c r="BJ63" i="20"/>
  <c r="BF81" i="20"/>
  <c r="BK77" i="20"/>
  <c r="BK107" i="20"/>
  <c r="BF70" i="20"/>
  <c r="BE53" i="20"/>
  <c r="BE44" i="20"/>
  <c r="BF72" i="20"/>
  <c r="BE69" i="20"/>
  <c r="BF66" i="20"/>
  <c r="BJ78" i="20"/>
  <c r="BJ86" i="20"/>
  <c r="BK73" i="20"/>
  <c r="BJ10" i="20"/>
  <c r="BB148" i="20"/>
  <c r="BD148" i="20" s="1"/>
  <c r="BH148" i="20" s="1"/>
  <c r="BF101" i="20"/>
  <c r="BK93" i="20"/>
  <c r="BJ93" i="20"/>
  <c r="BE105" i="20"/>
  <c r="BB104" i="20"/>
  <c r="BD104" i="20" s="1"/>
  <c r="BH104" i="20" s="1"/>
  <c r="BB86" i="20"/>
  <c r="BD86" i="20" s="1"/>
  <c r="BH86" i="20" s="1"/>
  <c r="BB62" i="20"/>
  <c r="BD62" i="20" s="1"/>
  <c r="BH62" i="20" s="1"/>
  <c r="BB19" i="20"/>
  <c r="BD19" i="20" s="1"/>
  <c r="BH19" i="20" s="1"/>
  <c r="BJ19" i="20"/>
  <c r="BB93" i="20"/>
  <c r="BD93" i="20" s="1"/>
  <c r="BH93" i="20" s="1"/>
  <c r="BF62" i="20"/>
  <c r="BJ62" i="20"/>
  <c r="BJ17" i="20"/>
  <c r="BJ52" i="20"/>
  <c r="BK98" i="20"/>
  <c r="BK148" i="20"/>
  <c r="BB101" i="20"/>
  <c r="BD101" i="20" s="1"/>
  <c r="BH101" i="20" s="1"/>
  <c r="BK44" i="20"/>
  <c r="BJ101" i="20"/>
  <c r="BE26" i="20"/>
  <c r="BJ107" i="20"/>
  <c r="BJ12" i="20"/>
  <c r="BJ36" i="20"/>
  <c r="BJ44" i="20"/>
  <c r="BE30" i="20"/>
  <c r="BB12" i="20"/>
  <c r="BD12" i="20" s="1"/>
  <c r="BH12" i="20" s="1"/>
  <c r="BB98" i="20"/>
  <c r="BD98" i="20" s="1"/>
  <c r="BH98" i="20" s="1"/>
  <c r="BK104" i="20"/>
  <c r="BB89" i="20"/>
  <c r="BD89" i="20" s="1"/>
  <c r="BH89" i="20" s="1"/>
  <c r="BJ23" i="20"/>
  <c r="BJ104" i="20"/>
  <c r="BJ98" i="20"/>
  <c r="BB105" i="20"/>
  <c r="BD105" i="20" s="1"/>
  <c r="BH105" i="20" s="1"/>
  <c r="BB36" i="20"/>
  <c r="BD36" i="20" s="1"/>
  <c r="BH36" i="20" s="1"/>
  <c r="BB52" i="20"/>
  <c r="BD52" i="20" s="1"/>
  <c r="BH52" i="20" s="1"/>
  <c r="BK78" i="20"/>
  <c r="BJ69" i="20"/>
  <c r="BE17" i="20"/>
  <c r="BB78" i="20"/>
  <c r="BD78" i="20" s="1"/>
  <c r="BH78" i="20" s="1"/>
  <c r="BJ49" i="20"/>
  <c r="BB44" i="20"/>
  <c r="BD44" i="20" s="1"/>
  <c r="BH44" i="20" s="1"/>
  <c r="BJ72" i="20"/>
  <c r="BB72" i="20"/>
  <c r="BD72" i="20" s="1"/>
  <c r="BH72" i="20" s="1"/>
  <c r="BK66" i="20"/>
  <c r="BB107" i="20"/>
  <c r="BD107" i="20" s="1"/>
  <c r="BH107" i="20" s="1"/>
  <c r="BJ88" i="20"/>
  <c r="BB23" i="20"/>
  <c r="BD23" i="20" s="1"/>
  <c r="BH23" i="20" s="1"/>
  <c r="BF65" i="20"/>
  <c r="BJ66" i="20"/>
  <c r="BF46" i="20"/>
  <c r="BF21" i="20"/>
  <c r="BK72" i="20"/>
  <c r="BB88" i="20"/>
  <c r="BD88" i="20" s="1"/>
  <c r="BH88" i="20" s="1"/>
  <c r="BE29" i="20"/>
  <c r="BF30" i="20"/>
  <c r="BF74" i="20"/>
  <c r="BF69" i="20"/>
  <c r="BF58" i="20"/>
  <c r="BF53" i="20"/>
  <c r="BK58" i="20"/>
  <c r="BJ13" i="20"/>
  <c r="BE54" i="20"/>
  <c r="BK38" i="20"/>
  <c r="BK74" i="20"/>
  <c r="BJ31" i="20"/>
  <c r="BB53" i="20"/>
  <c r="BD53" i="20" s="1"/>
  <c r="BH53" i="20" s="1"/>
  <c r="BJ30" i="20"/>
  <c r="BJ53" i="20"/>
  <c r="BJ92" i="20"/>
  <c r="BJ42" i="20"/>
  <c r="BE50" i="20"/>
  <c r="BB42" i="20"/>
  <c r="BD42" i="20" s="1"/>
  <c r="BH42" i="20" s="1"/>
  <c r="BJ58" i="20"/>
  <c r="BF41" i="20"/>
  <c r="BB49" i="20"/>
  <c r="BD49" i="20" s="1"/>
  <c r="BH49" i="20" s="1"/>
  <c r="BJ39" i="20"/>
  <c r="BB45" i="20"/>
  <c r="BD45" i="20" s="1"/>
  <c r="BH45" i="20" s="1"/>
  <c r="BJ41" i="20"/>
  <c r="BJ57" i="20"/>
  <c r="BE37" i="20"/>
  <c r="BK29" i="20"/>
  <c r="BB17" i="20"/>
  <c r="BD17" i="20" s="1"/>
  <c r="BH17" i="20" s="1"/>
  <c r="BB37" i="20"/>
  <c r="BD37" i="20" s="1"/>
  <c r="BH37" i="20" s="1"/>
  <c r="BB76" i="20"/>
  <c r="BD76" i="20" s="1"/>
  <c r="BH76" i="20" s="1"/>
  <c r="BB57" i="20"/>
  <c r="BD57" i="20" s="1"/>
  <c r="BH57" i="20" s="1"/>
  <c r="BJ46" i="20"/>
  <c r="BJ99" i="20"/>
  <c r="BJ45" i="20"/>
  <c r="BJ18" i="20"/>
  <c r="BJ27" i="20"/>
  <c r="BF27" i="20"/>
  <c r="BF25" i="20"/>
  <c r="BE38" i="20"/>
  <c r="BF39" i="20"/>
  <c r="BB30" i="20"/>
  <c r="BD30" i="20" s="1"/>
  <c r="BH30" i="20" s="1"/>
  <c r="BF45" i="20"/>
  <c r="BB31" i="20"/>
  <c r="BD31" i="20" s="1"/>
  <c r="BH31" i="20" s="1"/>
  <c r="BB60" i="20"/>
  <c r="BD60" i="20" s="1"/>
  <c r="BH60" i="20" s="1"/>
  <c r="BB99" i="20"/>
  <c r="BD99" i="20" s="1"/>
  <c r="BH99" i="20" s="1"/>
  <c r="BB92" i="20"/>
  <c r="BD92" i="20" s="1"/>
  <c r="BH92" i="20" s="1"/>
  <c r="BB91" i="20"/>
  <c r="BD91" i="20" s="1"/>
  <c r="BH91" i="20" s="1"/>
  <c r="BK27" i="20"/>
  <c r="BJ76" i="20"/>
  <c r="BJ91" i="20"/>
  <c r="BJ60" i="20"/>
  <c r="BK54" i="20"/>
  <c r="BB10" i="20"/>
  <c r="BD10" i="20" s="1"/>
  <c r="BH10" i="20" s="1"/>
  <c r="BF61" i="20"/>
  <c r="BJ61" i="20"/>
  <c r="BK61" i="20"/>
  <c r="BI10" i="20"/>
  <c r="BB13" i="20"/>
  <c r="BD13" i="20" s="1"/>
  <c r="BH13" i="20" s="1"/>
  <c r="BB100" i="20"/>
  <c r="BD100" i="20" s="1"/>
  <c r="BH100" i="20" s="1"/>
  <c r="BB41" i="20"/>
  <c r="BD41" i="20" s="1"/>
  <c r="BH41" i="20" s="1"/>
  <c r="BJ34" i="20"/>
  <c r="BK132" i="20"/>
  <c r="BJ74" i="20"/>
  <c r="BB46" i="20"/>
  <c r="BD46" i="20" s="1"/>
  <c r="BH46" i="20" s="1"/>
  <c r="BB97" i="20"/>
  <c r="BD97" i="20" s="1"/>
  <c r="BH97" i="20" s="1"/>
  <c r="BB39" i="20"/>
  <c r="BD39" i="20" s="1"/>
  <c r="BH39" i="20" s="1"/>
  <c r="BB58" i="20"/>
  <c r="BD58" i="20" s="1"/>
  <c r="BH58" i="20" s="1"/>
  <c r="BB82" i="20"/>
  <c r="BD82" i="20" s="1"/>
  <c r="BH82" i="20" s="1"/>
  <c r="H4" i="21"/>
  <c r="BB79" i="20"/>
  <c r="BD79" i="20" s="1"/>
  <c r="BH79" i="20" s="1"/>
  <c r="BB94" i="20"/>
  <c r="BD94" i="20" s="1"/>
  <c r="BH94" i="20" s="1"/>
  <c r="BB102" i="20"/>
  <c r="BD102" i="20" s="1"/>
  <c r="BH102" i="20" s="1"/>
  <c r="BB108" i="20"/>
  <c r="BD108" i="20" s="1"/>
  <c r="BH108" i="20" s="1"/>
  <c r="BK100" i="20"/>
  <c r="BK109" i="20"/>
  <c r="BJ97" i="20"/>
  <c r="BJ94" i="20"/>
  <c r="BJ82" i="20"/>
  <c r="BJ79" i="20"/>
  <c r="BJ108" i="20"/>
  <c r="BJ102" i="20"/>
  <c r="BJ106" i="20"/>
  <c r="BB81" i="20"/>
  <c r="BD81" i="20" s="1"/>
  <c r="BH81" i="20" s="1"/>
  <c r="BJ21" i="20"/>
  <c r="BB132" i="20"/>
  <c r="BD132" i="20" s="1"/>
  <c r="BH132" i="20" s="1"/>
  <c r="BF57" i="20"/>
  <c r="BJ90" i="20"/>
  <c r="BH9" i="20"/>
  <c r="B456" i="2" s="1"/>
  <c r="H2" i="20"/>
  <c r="BH209" i="20"/>
  <c r="B457" i="2" s="1"/>
  <c r="H4" i="20"/>
  <c r="BJ54" i="20"/>
  <c r="BK76" i="20"/>
  <c r="BB61" i="20"/>
  <c r="BD61" i="20" s="1"/>
  <c r="BH61" i="20" s="1"/>
  <c r="BK82" i="20"/>
  <c r="BK108" i="20"/>
  <c r="BK60" i="20"/>
  <c r="BK46" i="20"/>
  <c r="BJ148" i="20"/>
  <c r="BK81" i="20"/>
  <c r="BJ100" i="20"/>
  <c r="BK92" i="20"/>
  <c r="BK102" i="20"/>
  <c r="BK94" i="20"/>
  <c r="BK91" i="20"/>
  <c r="AI26" i="20"/>
  <c r="BK106" i="20"/>
  <c r="BK79" i="20"/>
  <c r="BJ132" i="20"/>
  <c r="BK97" i="20"/>
  <c r="BK99" i="20"/>
  <c r="AN33" i="20"/>
  <c r="BE33" i="20" s="1"/>
  <c r="BK23" i="21"/>
  <c r="BE23" i="21" s="1"/>
  <c r="BB23" i="21"/>
  <c r="BD23" i="21" s="1"/>
  <c r="BH23" i="21" s="1"/>
  <c r="BH19" i="21"/>
  <c r="H2" i="21"/>
  <c r="BH59" i="21"/>
  <c r="H3" i="21"/>
  <c r="BB54" i="20"/>
  <c r="BD54" i="20" s="1"/>
  <c r="BH54" i="20" s="1"/>
  <c r="BB34" i="20"/>
  <c r="BD34" i="20" s="1"/>
  <c r="BH34" i="20" s="1"/>
  <c r="BJ81" i="20"/>
  <c r="BB85" i="20"/>
  <c r="BD85" i="20" s="1"/>
  <c r="BH85" i="20" s="1"/>
  <c r="BB21" i="20"/>
  <c r="BD21" i="20" s="1"/>
  <c r="BH21" i="20" s="1"/>
  <c r="BB18" i="20"/>
  <c r="BD18" i="20" s="1"/>
  <c r="BH18" i="20" s="1"/>
  <c r="BB90" i="20"/>
  <c r="BD90" i="20" s="1"/>
  <c r="BH90" i="20" s="1"/>
  <c r="BK90" i="20"/>
  <c r="BB69" i="20"/>
  <c r="BD69" i="20" s="1"/>
  <c r="BH69" i="20" s="1"/>
  <c r="BI21" i="20"/>
  <c r="BJ38" i="20"/>
  <c r="BB65" i="20"/>
  <c r="BD65" i="20" s="1"/>
  <c r="BH65" i="20" s="1"/>
  <c r="BJ65" i="20"/>
  <c r="BK65" i="20"/>
  <c r="BK70" i="20"/>
  <c r="BK50" i="20"/>
  <c r="BJ50" i="20"/>
  <c r="BB74" i="20"/>
  <c r="BD74" i="20" s="1"/>
  <c r="BH74" i="20" s="1"/>
  <c r="BB70" i="20"/>
  <c r="BD70" i="20" s="1"/>
  <c r="BH70" i="20" s="1"/>
  <c r="BJ70" i="20"/>
  <c r="BJ109" i="20"/>
  <c r="BK85" i="20"/>
  <c r="BJ85" i="20"/>
  <c r="BB50" i="20"/>
  <c r="BD50" i="20" s="1"/>
  <c r="BH50" i="20" s="1"/>
  <c r="BB66" i="20"/>
  <c r="BD66" i="20" s="1"/>
  <c r="BH66" i="20" s="1"/>
  <c r="BB73" i="20"/>
  <c r="BD73" i="20" s="1"/>
  <c r="BH73" i="20" s="1"/>
  <c r="BJ73" i="20"/>
  <c r="BB77" i="20"/>
  <c r="BD77" i="20" s="1"/>
  <c r="BH77" i="20" s="1"/>
  <c r="BB106" i="20"/>
  <c r="BD106" i="20" s="1"/>
  <c r="BH106" i="20" s="1"/>
  <c r="BB29" i="20"/>
  <c r="BD29" i="20" s="1"/>
  <c r="BH29" i="20" s="1"/>
  <c r="BI109" i="20"/>
  <c r="BB109" i="20"/>
  <c r="BD109" i="20" s="1"/>
  <c r="BJ14" i="20"/>
  <c r="BK25" i="20"/>
  <c r="BJ25" i="20"/>
  <c r="BB25" i="20"/>
  <c r="BD25" i="20" s="1"/>
  <c r="BH25" i="20" s="1"/>
  <c r="BJ29" i="20"/>
  <c r="BB14" i="20"/>
  <c r="BD14" i="20" s="1"/>
  <c r="BH14" i="20" s="1"/>
  <c r="BB38" i="20"/>
  <c r="BD38" i="20" s="1"/>
  <c r="BH38" i="20" s="1"/>
  <c r="BI38" i="20"/>
  <c r="BK14" i="20"/>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3" i="8"/>
  <c r="B462" i="2" s="1"/>
  <c r="BJ26" i="20" l="1"/>
  <c r="BF26" i="20"/>
  <c r="BB26" i="20"/>
  <c r="BD26" i="20" s="1"/>
  <c r="BH26" i="20" s="1"/>
  <c r="BK26" i="20"/>
  <c r="BH109" i="20"/>
  <c r="B458" i="2" s="1"/>
  <c r="H3" i="20"/>
  <c r="BB33" i="20"/>
  <c r="BD33" i="20" s="1"/>
  <c r="BH33" i="20" s="1"/>
  <c r="BJ33" i="20"/>
  <c r="G622" i="17"/>
  <c r="H622" i="17"/>
  <c r="F622" i="17"/>
  <c r="E622" i="17"/>
  <c r="D622" i="17"/>
  <c r="C622" i="17"/>
  <c r="G4" i="8"/>
  <c r="O14" i="8" s="1"/>
  <c r="E31" i="1" s="1"/>
  <c r="B140" i="2" l="1"/>
  <c r="O6" i="8"/>
  <c r="B463" i="2" s="1"/>
  <c r="B461" i="2" l="1"/>
  <c r="A461" i="2" l="1"/>
  <c r="D71" i="16"/>
  <c r="E70" i="1" l="1"/>
  <c r="D65" i="16"/>
  <c r="C637" i="17" l="1"/>
  <c r="A628" i="17"/>
  <c r="O622" i="17"/>
  <c r="P623" i="17"/>
  <c r="P622" i="17"/>
  <c r="AB622" i="17" s="1"/>
  <c r="O626" i="17"/>
  <c r="AA626" i="17" s="1"/>
  <c r="O623" i="17"/>
  <c r="AA623" i="17" s="1"/>
  <c r="P626" i="17"/>
  <c r="AB626" i="17" s="1"/>
  <c r="N4" i="17"/>
  <c r="P573" i="17" s="1"/>
  <c r="AB573" i="17" s="1"/>
  <c r="B78" i="1"/>
  <c r="N7" i="8"/>
  <c r="O7" i="8" s="1"/>
  <c r="G628" i="17" l="1"/>
  <c r="H628" i="17"/>
  <c r="AA622" i="17"/>
  <c r="E632" i="17" s="1"/>
  <c r="AB623" i="17"/>
  <c r="D628" i="17"/>
  <c r="F628" i="17"/>
  <c r="P628" i="17"/>
  <c r="C628" i="17"/>
  <c r="E628" i="17"/>
  <c r="O628" i="17"/>
  <c r="E636" i="17"/>
  <c r="N27" i="8"/>
  <c r="O27" i="8"/>
  <c r="C78"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423" i="2"/>
  <c r="B423" i="2"/>
  <c r="C64" i="16"/>
  <c r="D64" i="16" s="1"/>
  <c r="B322" i="2"/>
  <c r="B79" i="1" l="1"/>
  <c r="AA628" i="17"/>
  <c r="E637" i="17" s="1"/>
  <c r="A441" i="2"/>
  <c r="B441" i="2"/>
  <c r="D52" i="16" l="1"/>
  <c r="C3" i="8" l="1"/>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N28" i="8" s="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O28" i="8" l="1"/>
  <c r="C79" i="1" s="1"/>
  <c r="O29" i="8"/>
  <c r="C80" i="1" s="1"/>
  <c r="N29" i="8"/>
  <c r="B323" i="2" l="1"/>
  <c r="B442" i="2" s="1"/>
  <c r="C50" i="16"/>
  <c r="D50" i="16" s="1"/>
  <c r="B310" i="2" l="1"/>
  <c r="A442" i="2"/>
  <c r="B324" i="2"/>
  <c r="B443" i="2" s="1"/>
  <c r="C51" i="16"/>
  <c r="D51" i="16" s="1"/>
  <c r="B329" i="2"/>
  <c r="A443" i="2" l="1"/>
  <c r="B311" i="2"/>
  <c r="C7" i="17" s="1"/>
  <c r="B330" i="2"/>
  <c r="F78" i="1"/>
  <c r="C5" i="17"/>
  <c r="E72" i="1"/>
  <c r="F79" i="1"/>
  <c r="C4" i="17"/>
  <c r="F80" i="1" l="1"/>
  <c r="A629" i="17"/>
  <c r="A627" i="17"/>
  <c r="H627" i="17" s="1"/>
  <c r="N592" i="17"/>
  <c r="N628" i="17"/>
  <c r="M628" i="17"/>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M67" i="17"/>
  <c r="M76" i="17"/>
  <c r="M199" i="17"/>
  <c r="N74" i="17"/>
  <c r="M111" i="17"/>
  <c r="N36" i="17"/>
  <c r="N123" i="17"/>
  <c r="N57" i="17"/>
  <c r="N200" i="17"/>
  <c r="N251" i="17"/>
  <c r="M41" i="17"/>
  <c r="M108" i="17"/>
  <c r="M44" i="17"/>
  <c r="M85" i="17"/>
  <c r="N100" i="17"/>
  <c r="N89" i="17"/>
  <c r="N25" i="17"/>
  <c r="N136" i="17"/>
  <c r="N264" i="17"/>
  <c r="N187" i="17"/>
  <c r="N341" i="17"/>
  <c r="M315" i="17"/>
  <c r="N469" i="17"/>
  <c r="M379" i="17"/>
  <c r="N405" i="17"/>
  <c r="M495" i="17"/>
  <c r="M555" i="17"/>
  <c r="M431" i="17"/>
  <c r="M570" i="17"/>
  <c r="M251" i="17"/>
  <c r="N110" i="17"/>
  <c r="M81" i="17"/>
  <c r="N106" i="17"/>
  <c r="N42" i="17"/>
  <c r="M92" i="17"/>
  <c r="M60" i="17"/>
  <c r="M28" i="17"/>
  <c r="M175" i="17"/>
  <c r="M99" i="17"/>
  <c r="M35" i="17"/>
  <c r="N68" i="17"/>
  <c r="N105" i="17"/>
  <c r="N73" i="17"/>
  <c r="N41" i="17"/>
  <c r="M123" i="17"/>
  <c r="M189" i="17"/>
  <c r="N168" i="17"/>
  <c r="N232" i="17"/>
  <c r="N296" i="17"/>
  <c r="N155" i="17"/>
  <c r="N219" i="17"/>
  <c r="Y219" i="17" s="1"/>
  <c r="N283" i="17"/>
  <c r="M347" i="17"/>
  <c r="M411" i="17"/>
  <c r="N373" i="17"/>
  <c r="N437" i="17"/>
  <c r="N501" i="17"/>
  <c r="M463" i="17"/>
  <c r="M525" i="17"/>
  <c r="M540" i="17"/>
  <c r="N600" i="17"/>
  <c r="M137" i="17"/>
  <c r="N142" i="17"/>
  <c r="M622" i="17"/>
  <c r="M57" i="17"/>
  <c r="M25" i="17"/>
  <c r="N90" i="17"/>
  <c r="N58" i="17"/>
  <c r="N26" i="17"/>
  <c r="M100" i="17"/>
  <c r="M84" i="17"/>
  <c r="M68" i="17"/>
  <c r="M52" i="17"/>
  <c r="M36" i="17"/>
  <c r="M20" i="17"/>
  <c r="M143" i="17"/>
  <c r="N626" i="17"/>
  <c r="M626" i="17"/>
  <c r="M83" i="17"/>
  <c r="M51" i="17"/>
  <c r="M19" i="17"/>
  <c r="N84" i="17"/>
  <c r="N52" i="17"/>
  <c r="N20" i="17"/>
  <c r="N97" i="17"/>
  <c r="N81" i="17"/>
  <c r="N65" i="17"/>
  <c r="N49" i="17"/>
  <c r="N33" i="17"/>
  <c r="N17" i="17"/>
  <c r="M155" i="17"/>
  <c r="M157" i="17"/>
  <c r="N120" i="17"/>
  <c r="N152" i="17"/>
  <c r="N184" i="17"/>
  <c r="N216" i="17"/>
  <c r="N248" i="17"/>
  <c r="N280" i="17"/>
  <c r="N312" i="17"/>
  <c r="N139" i="17"/>
  <c r="N171" i="17"/>
  <c r="N203" i="17"/>
  <c r="N235" i="17"/>
  <c r="N267" i="17"/>
  <c r="N299" i="17"/>
  <c r="M331" i="17"/>
  <c r="M363" i="17"/>
  <c r="M395" i="17"/>
  <c r="N325" i="17"/>
  <c r="N357" i="17"/>
  <c r="N389" i="17"/>
  <c r="N421" i="17"/>
  <c r="N453" i="17"/>
  <c r="N485" i="17"/>
  <c r="N517" i="17"/>
  <c r="M447" i="17"/>
  <c r="M479" i="17"/>
  <c r="M511" i="17"/>
  <c r="M541" i="17"/>
  <c r="M524" i="17"/>
  <c r="N569" i="17"/>
  <c r="M587" i="17"/>
  <c r="M219" i="17"/>
  <c r="M195" i="17"/>
  <c r="M169" i="17"/>
  <c r="N126" i="17"/>
  <c r="N158" i="17"/>
  <c r="N174" i="17"/>
  <c r="N190" i="17"/>
  <c r="N206" i="17"/>
  <c r="N222" i="17"/>
  <c r="N238" i="17"/>
  <c r="N254" i="17"/>
  <c r="N270" i="17"/>
  <c r="N286" i="17"/>
  <c r="N302" i="17"/>
  <c r="N113" i="17"/>
  <c r="N129" i="17"/>
  <c r="M97" i="17"/>
  <c r="M65" i="17"/>
  <c r="M49" i="17"/>
  <c r="M33" i="17"/>
  <c r="M17" i="17"/>
  <c r="N98" i="17"/>
  <c r="N82" i="17"/>
  <c r="N66" i="17"/>
  <c r="N50" i="17"/>
  <c r="N34" i="17"/>
  <c r="N18" i="17"/>
  <c r="M104" i="17"/>
  <c r="M96" i="17"/>
  <c r="M88" i="17"/>
  <c r="M80" i="17"/>
  <c r="M72" i="17"/>
  <c r="M64" i="17"/>
  <c r="M56" i="17"/>
  <c r="M48" i="17"/>
  <c r="M40" i="17"/>
  <c r="M32" i="17"/>
  <c r="M24" i="17"/>
  <c r="M16" i="17"/>
  <c r="M127" i="17"/>
  <c r="M159" i="17"/>
  <c r="M117" i="17"/>
  <c r="M101" i="17"/>
  <c r="M69" i="17"/>
  <c r="M107" i="17"/>
  <c r="M91" i="17"/>
  <c r="M75" i="17"/>
  <c r="M59" i="17"/>
  <c r="M43" i="17"/>
  <c r="M27" i="17"/>
  <c r="N108" i="17"/>
  <c r="N92" i="17"/>
  <c r="N76" i="17"/>
  <c r="N60" i="17"/>
  <c r="N44" i="17"/>
  <c r="N28" i="17"/>
  <c r="N109" i="17"/>
  <c r="N101" i="17"/>
  <c r="N93" i="17"/>
  <c r="N85" i="17"/>
  <c r="N77" i="17"/>
  <c r="N69" i="17"/>
  <c r="N61" i="17"/>
  <c r="N53" i="17"/>
  <c r="N45" i="17"/>
  <c r="N37" i="17"/>
  <c r="N29" i="17"/>
  <c r="N21" i="17"/>
  <c r="N13" i="17"/>
  <c r="M139" i="17"/>
  <c r="M171" i="17"/>
  <c r="M141" i="17"/>
  <c r="M173" i="17"/>
  <c r="N112" i="17"/>
  <c r="N128" i="17"/>
  <c r="N144" i="17"/>
  <c r="N160" i="17"/>
  <c r="N176" i="17"/>
  <c r="N192" i="17"/>
  <c r="N208" i="17"/>
  <c r="N224" i="17"/>
  <c r="N240" i="17"/>
  <c r="N256" i="17"/>
  <c r="N272" i="17"/>
  <c r="N288" i="17"/>
  <c r="N304" i="17"/>
  <c r="N115" i="17"/>
  <c r="N131" i="17"/>
  <c r="N147" i="17"/>
  <c r="N163" i="17"/>
  <c r="N179" i="17"/>
  <c r="N195" i="17"/>
  <c r="N211" i="17"/>
  <c r="N227" i="17"/>
  <c r="N243" i="17"/>
  <c r="N259" i="17"/>
  <c r="N275" i="17"/>
  <c r="N291" i="17"/>
  <c r="N307" i="17"/>
  <c r="M323" i="17"/>
  <c r="M339" i="17"/>
  <c r="M355" i="17"/>
  <c r="M371" i="17"/>
  <c r="M387" i="17"/>
  <c r="M403" i="17"/>
  <c r="N317" i="17"/>
  <c r="N333" i="17"/>
  <c r="N349" i="17"/>
  <c r="N365" i="17"/>
  <c r="N381" i="17"/>
  <c r="N397" i="17"/>
  <c r="N413" i="17"/>
  <c r="N429" i="17"/>
  <c r="N445" i="17"/>
  <c r="N461" i="17"/>
  <c r="N477" i="17"/>
  <c r="N493" i="17"/>
  <c r="N509" i="17"/>
  <c r="M423" i="17"/>
  <c r="M439" i="17"/>
  <c r="M455" i="17"/>
  <c r="M471" i="17"/>
  <c r="M487" i="17"/>
  <c r="M503" i="17"/>
  <c r="M520" i="17"/>
  <c r="M533" i="17"/>
  <c r="M554" i="17"/>
  <c r="M586" i="17"/>
  <c r="M532" i="17"/>
  <c r="N553" i="17"/>
  <c r="N585" i="17"/>
  <c r="M571" i="17"/>
  <c r="N603" i="17"/>
  <c r="M203" i="17"/>
  <c r="M235" i="17"/>
  <c r="M179" i="17"/>
  <c r="M121" i="17"/>
  <c r="M153" i="17"/>
  <c r="M185" i="17"/>
  <c r="N118" i="17"/>
  <c r="N134" i="17"/>
  <c r="N150" i="17"/>
  <c r="N166" i="17"/>
  <c r="N182" i="17"/>
  <c r="N198" i="17"/>
  <c r="N214" i="17"/>
  <c r="N230" i="17"/>
  <c r="N246" i="17"/>
  <c r="N262" i="17"/>
  <c r="N278" i="17"/>
  <c r="N294" i="17"/>
  <c r="N310" i="17"/>
  <c r="N121" i="17"/>
  <c r="N137" i="17"/>
  <c r="N145" i="17"/>
  <c r="N153" i="17"/>
  <c r="N161" i="17"/>
  <c r="N169" i="17"/>
  <c r="N177" i="17"/>
  <c r="N185" i="17"/>
  <c r="N193" i="17"/>
  <c r="N201" i="17"/>
  <c r="N209" i="17"/>
  <c r="N217" i="17"/>
  <c r="N225" i="17"/>
  <c r="N233" i="17"/>
  <c r="N241" i="17"/>
  <c r="N249" i="17"/>
  <c r="N257" i="17"/>
  <c r="N265" i="17"/>
  <c r="N273" i="17"/>
  <c r="N281" i="17"/>
  <c r="N289" i="17"/>
  <c r="N297" i="17"/>
  <c r="N305" i="17"/>
  <c r="N313" i="17"/>
  <c r="M321" i="17"/>
  <c r="M329" i="17"/>
  <c r="M345" i="17"/>
  <c r="M361" i="17"/>
  <c r="M377" i="17"/>
  <c r="M393" i="17"/>
  <c r="M409" i="17"/>
  <c r="N323" i="17"/>
  <c r="N339" i="17"/>
  <c r="N355" i="17"/>
  <c r="N371" i="17"/>
  <c r="N387" i="17"/>
  <c r="N403" i="17"/>
  <c r="N419" i="17"/>
  <c r="N435" i="17"/>
  <c r="N451" i="17"/>
  <c r="N467" i="17"/>
  <c r="N483" i="17"/>
  <c r="N499" i="17"/>
  <c r="N515" i="17"/>
  <c r="M429" i="17"/>
  <c r="M445" i="17"/>
  <c r="M461" i="17"/>
  <c r="M477" i="17"/>
  <c r="M493" i="17"/>
  <c r="M509" i="17"/>
  <c r="M523" i="17"/>
  <c r="M539" i="17"/>
  <c r="M566" i="17"/>
  <c r="M522" i="17"/>
  <c r="M538" i="17"/>
  <c r="N565" i="17"/>
  <c r="M551" i="17"/>
  <c r="M583" i="17"/>
  <c r="N596" i="17"/>
  <c r="M215" i="17"/>
  <c r="M247" i="17"/>
  <c r="M271" i="17"/>
  <c r="M287" i="17"/>
  <c r="M303" i="17"/>
  <c r="M114" i="17"/>
  <c r="M130" i="17"/>
  <c r="M146" i="17"/>
  <c r="M162" i="17"/>
  <c r="M178" i="17"/>
  <c r="M194" i="17"/>
  <c r="M210" i="17"/>
  <c r="M226" i="17"/>
  <c r="M242" i="17"/>
  <c r="M258" i="17"/>
  <c r="M274" i="17"/>
  <c r="M290" i="17"/>
  <c r="M306" i="17"/>
  <c r="N322" i="17"/>
  <c r="N338" i="17"/>
  <c r="N354" i="17"/>
  <c r="N370" i="17"/>
  <c r="N386" i="17"/>
  <c r="N402" i="17"/>
  <c r="M316" i="17"/>
  <c r="M332" i="17"/>
  <c r="M348" i="17"/>
  <c r="M364" i="17"/>
  <c r="M380" i="17"/>
  <c r="M396" i="17"/>
  <c r="M412" i="17"/>
  <c r="M428" i="17"/>
  <c r="M444" i="17"/>
  <c r="M460" i="17"/>
  <c r="M476" i="17"/>
  <c r="M492" i="17"/>
  <c r="M508" i="17"/>
  <c r="N422" i="17"/>
  <c r="N438" i="17"/>
  <c r="N454" i="17"/>
  <c r="N470" i="17"/>
  <c r="N486" i="17"/>
  <c r="N502" i="17"/>
  <c r="M518" i="17"/>
  <c r="N532" i="17"/>
  <c r="M552" i="17"/>
  <c r="M584" i="17"/>
  <c r="N531" i="17"/>
  <c r="N551" i="17"/>
  <c r="N583" i="17"/>
  <c r="N554" i="17"/>
  <c r="N570" i="17"/>
  <c r="N586" i="17"/>
  <c r="M602" i="17"/>
  <c r="M599" i="17"/>
  <c r="N589" i="17"/>
  <c r="M557" i="17"/>
  <c r="M573" i="17"/>
  <c r="M589" i="17"/>
  <c r="N605" i="17"/>
  <c r="N602" i="17"/>
  <c r="M205" i="17"/>
  <c r="M221" i="17"/>
  <c r="M237" i="17"/>
  <c r="M253" i="17"/>
  <c r="M269" i="17"/>
  <c r="M285" i="17"/>
  <c r="M301" i="17"/>
  <c r="M112" i="17"/>
  <c r="M128" i="17"/>
  <c r="M144" i="17"/>
  <c r="M168" i="17"/>
  <c r="M200" i="17"/>
  <c r="M232" i="17"/>
  <c r="M264" i="17"/>
  <c r="M296" i="17"/>
  <c r="N328" i="17"/>
  <c r="N360" i="17"/>
  <c r="N392" i="17"/>
  <c r="M322" i="17"/>
  <c r="M354" i="17"/>
  <c r="M386" i="17"/>
  <c r="M418" i="17"/>
  <c r="M450" i="17"/>
  <c r="M482" i="17"/>
  <c r="M514" i="17"/>
  <c r="N444" i="17"/>
  <c r="N476" i="17"/>
  <c r="N508" i="17"/>
  <c r="N538" i="17"/>
  <c r="N521" i="17"/>
  <c r="N563" i="17"/>
  <c r="N560" i="17"/>
  <c r="M613" i="17"/>
  <c r="M597" i="17"/>
  <c r="M600" i="17"/>
  <c r="N584" i="17"/>
  <c r="N568" i="17"/>
  <c r="N552" i="17"/>
  <c r="N579" i="17"/>
  <c r="N547" i="17"/>
  <c r="N529" i="17"/>
  <c r="M580" i="17"/>
  <c r="M548" i="17"/>
  <c r="N530" i="17"/>
  <c r="N516" i="17"/>
  <c r="N500" i="17"/>
  <c r="N484" i="17"/>
  <c r="N468" i="17"/>
  <c r="N452" i="17"/>
  <c r="N436" i="17"/>
  <c r="N420" i="17"/>
  <c r="M506" i="17"/>
  <c r="M490" i="17"/>
  <c r="M474" i="17"/>
  <c r="M458" i="17"/>
  <c r="M442" i="17"/>
  <c r="M426" i="17"/>
  <c r="M410" i="17"/>
  <c r="M394" i="17"/>
  <c r="M378" i="17"/>
  <c r="M362" i="17"/>
  <c r="M346" i="17"/>
  <c r="M330" i="17"/>
  <c r="N416" i="17"/>
  <c r="N400" i="17"/>
  <c r="N384" i="17"/>
  <c r="N368" i="17"/>
  <c r="N352" i="17"/>
  <c r="N336" i="17"/>
  <c r="N320" i="17"/>
  <c r="M304" i="17"/>
  <c r="M288" i="17"/>
  <c r="M272" i="17"/>
  <c r="M256" i="17"/>
  <c r="M240" i="17"/>
  <c r="M224" i="17"/>
  <c r="M208" i="17"/>
  <c r="M192" i="17"/>
  <c r="M176" i="17"/>
  <c r="M160" i="17"/>
  <c r="M148" i="17"/>
  <c r="M140" i="17"/>
  <c r="M132" i="17"/>
  <c r="M124" i="17"/>
  <c r="M116" i="17"/>
  <c r="M313" i="17"/>
  <c r="M305" i="17"/>
  <c r="M297" i="17"/>
  <c r="M289" i="17"/>
  <c r="M281" i="17"/>
  <c r="M273" i="17"/>
  <c r="M265" i="17"/>
  <c r="M257" i="17"/>
  <c r="M249" i="17"/>
  <c r="M241" i="17"/>
  <c r="M233" i="17"/>
  <c r="M225" i="17"/>
  <c r="M217" i="17"/>
  <c r="M209" i="17"/>
  <c r="M201" i="17"/>
  <c r="N606" i="17"/>
  <c r="N598" i="17"/>
  <c r="N609" i="17"/>
  <c r="N601" i="17"/>
  <c r="M593" i="17"/>
  <c r="M585" i="17"/>
  <c r="M577" i="17"/>
  <c r="M569" i="17"/>
  <c r="M561" i="17"/>
  <c r="M553" i="17"/>
  <c r="M545" i="17"/>
  <c r="M611" i="17"/>
  <c r="M603" i="17"/>
  <c r="M595" i="17"/>
  <c r="M606" i="17"/>
  <c r="M598" i="17"/>
  <c r="N590" i="17"/>
  <c r="N582" i="17"/>
  <c r="N574" i="17"/>
  <c r="N566" i="17"/>
  <c r="N558" i="17"/>
  <c r="N550" i="17"/>
  <c r="N591" i="17"/>
  <c r="N575" i="17"/>
  <c r="N559" i="17"/>
  <c r="N543" i="17"/>
  <c r="N535" i="17"/>
  <c r="N527" i="17"/>
  <c r="M592" i="17"/>
  <c r="M576" i="17"/>
  <c r="M560" i="17"/>
  <c r="M544" i="17"/>
  <c r="N536" i="17"/>
  <c r="N528" i="17"/>
  <c r="N520" i="17"/>
  <c r="N514" i="17"/>
  <c r="N506" i="17"/>
  <c r="N498" i="17"/>
  <c r="N490" i="17"/>
  <c r="N482" i="17"/>
  <c r="N474" i="17"/>
  <c r="N466" i="17"/>
  <c r="N458" i="17"/>
  <c r="N450" i="17"/>
  <c r="N442" i="17"/>
  <c r="N434" i="17"/>
  <c r="N426" i="17"/>
  <c r="N418" i="17"/>
  <c r="M512" i="17"/>
  <c r="M504" i="17"/>
  <c r="M496" i="17"/>
  <c r="M488" i="17"/>
  <c r="M480" i="17"/>
  <c r="M472" i="17"/>
  <c r="M464" i="17"/>
  <c r="M456" i="17"/>
  <c r="M448" i="17"/>
  <c r="M440" i="17"/>
  <c r="M432" i="17"/>
  <c r="M424" i="17"/>
  <c r="M416" i="17"/>
  <c r="M408" i="17"/>
  <c r="M400" i="17"/>
  <c r="M392" i="17"/>
  <c r="M384" i="17"/>
  <c r="M376" i="17"/>
  <c r="M368" i="17"/>
  <c r="M360" i="17"/>
  <c r="M352" i="17"/>
  <c r="M344" i="17"/>
  <c r="M336" i="17"/>
  <c r="M328" i="17"/>
  <c r="M320" i="17"/>
  <c r="N414" i="17"/>
  <c r="N406" i="17"/>
  <c r="N398" i="17"/>
  <c r="N390" i="17"/>
  <c r="N382" i="17"/>
  <c r="N374" i="17"/>
  <c r="N366" i="17"/>
  <c r="N358" i="17"/>
  <c r="N350" i="17"/>
  <c r="N342" i="17"/>
  <c r="N334" i="17"/>
  <c r="N326" i="17"/>
  <c r="N318" i="17"/>
  <c r="M310" i="17"/>
  <c r="M302" i="17"/>
  <c r="M294" i="17"/>
  <c r="M286" i="17"/>
  <c r="M278" i="17"/>
  <c r="M270" i="17"/>
  <c r="M262" i="17"/>
  <c r="M254" i="17"/>
  <c r="M246" i="17"/>
  <c r="M238" i="17"/>
  <c r="M230" i="17"/>
  <c r="M222" i="17"/>
  <c r="M214" i="17"/>
  <c r="M206" i="17"/>
  <c r="M198" i="17"/>
  <c r="M190" i="17"/>
  <c r="M182" i="17"/>
  <c r="M174" i="17"/>
  <c r="M166" i="17"/>
  <c r="M158" i="17"/>
  <c r="M150" i="17"/>
  <c r="M142" i="17"/>
  <c r="M134" i="17"/>
  <c r="M126" i="17"/>
  <c r="M118" i="17"/>
  <c r="M110" i="17"/>
  <c r="M307" i="17"/>
  <c r="M299" i="17"/>
  <c r="M291" i="17"/>
  <c r="M283" i="17"/>
  <c r="M275" i="17"/>
  <c r="M267" i="17"/>
  <c r="M255" i="17"/>
  <c r="M239" i="17"/>
  <c r="M223" i="17"/>
  <c r="M207" i="17"/>
  <c r="N604" i="17"/>
  <c r="N607" i="17"/>
  <c r="M591" i="17"/>
  <c r="M575" i="17"/>
  <c r="M559" i="17"/>
  <c r="N593" i="17"/>
  <c r="N573" i="17"/>
  <c r="N557" i="17"/>
  <c r="M542" i="17"/>
  <c r="M534" i="17"/>
  <c r="M526" i="17"/>
  <c r="M590" i="17"/>
  <c r="M574" i="17"/>
  <c r="M558" i="17"/>
  <c r="M543" i="17"/>
  <c r="M535" i="17"/>
  <c r="M527" i="17"/>
  <c r="M519" i="17"/>
  <c r="M513" i="17"/>
  <c r="M505" i="17"/>
  <c r="M497" i="17"/>
  <c r="M489" i="17"/>
  <c r="M481" i="17"/>
  <c r="M473" i="17"/>
  <c r="M465" i="17"/>
  <c r="M457" i="17"/>
  <c r="M449" i="17"/>
  <c r="M441" i="17"/>
  <c r="M433" i="17"/>
  <c r="M425" i="17"/>
  <c r="M417" i="17"/>
  <c r="N511" i="17"/>
  <c r="N503" i="17"/>
  <c r="N495" i="17"/>
  <c r="N487" i="17"/>
  <c r="N479" i="17"/>
  <c r="N471" i="17"/>
  <c r="N463" i="17"/>
  <c r="N455" i="17"/>
  <c r="N447" i="17"/>
  <c r="N439" i="17"/>
  <c r="N431" i="17"/>
  <c r="N423" i="17"/>
  <c r="N415" i="17"/>
  <c r="N407" i="17"/>
  <c r="N399" i="17"/>
  <c r="N391" i="17"/>
  <c r="N383" i="17"/>
  <c r="N375" i="17"/>
  <c r="N367" i="17"/>
  <c r="N359" i="17"/>
  <c r="N351" i="17"/>
  <c r="N343" i="17"/>
  <c r="N335" i="17"/>
  <c r="N327" i="17"/>
  <c r="N319" i="17"/>
  <c r="M413" i="17"/>
  <c r="M405" i="17"/>
  <c r="M397" i="17"/>
  <c r="M389" i="17"/>
  <c r="M381" i="17"/>
  <c r="M373" i="17"/>
  <c r="M365" i="17"/>
  <c r="M357" i="17"/>
  <c r="M349" i="17"/>
  <c r="M341" i="17"/>
  <c r="M333" i="17"/>
  <c r="N623" i="17"/>
  <c r="M105" i="17"/>
  <c r="M89" i="17"/>
  <c r="M73" i="17"/>
  <c r="M61" i="17"/>
  <c r="M53" i="17"/>
  <c r="M45" i="17"/>
  <c r="M37" i="17"/>
  <c r="M29" i="17"/>
  <c r="M21" i="17"/>
  <c r="M13" i="17"/>
  <c r="N102" i="17"/>
  <c r="N94" i="17"/>
  <c r="N86" i="17"/>
  <c r="N78" i="17"/>
  <c r="N70" i="17"/>
  <c r="N62" i="17"/>
  <c r="N54" i="17"/>
  <c r="N46" i="17"/>
  <c r="N38" i="17"/>
  <c r="N30" i="17"/>
  <c r="N22" i="17"/>
  <c r="N14" i="17"/>
  <c r="M106" i="17"/>
  <c r="M102" i="17"/>
  <c r="M98" i="17"/>
  <c r="M94" i="17"/>
  <c r="M90" i="17"/>
  <c r="M86" i="17"/>
  <c r="M82" i="17"/>
  <c r="M78" i="17"/>
  <c r="M74" i="17"/>
  <c r="M70" i="17"/>
  <c r="M66" i="17"/>
  <c r="M62" i="17"/>
  <c r="M58" i="17"/>
  <c r="M54" i="17"/>
  <c r="M50" i="17"/>
  <c r="M46" i="17"/>
  <c r="M42" i="17"/>
  <c r="M38" i="17"/>
  <c r="M34" i="17"/>
  <c r="M30" i="17"/>
  <c r="M26" i="17"/>
  <c r="M22" i="17"/>
  <c r="M18" i="17"/>
  <c r="M14" i="17"/>
  <c r="M119" i="17"/>
  <c r="M135" i="17"/>
  <c r="M151" i="17"/>
  <c r="M167" i="17"/>
  <c r="M191" i="17"/>
  <c r="M133" i="17"/>
  <c r="M109" i="17"/>
  <c r="M93" i="17"/>
  <c r="M77" i="17"/>
  <c r="M623" i="17"/>
  <c r="N622" i="17"/>
  <c r="M103" i="17"/>
  <c r="M95" i="17"/>
  <c r="M87" i="17"/>
  <c r="M79" i="17"/>
  <c r="M71" i="17"/>
  <c r="M63" i="17"/>
  <c r="M55" i="17"/>
  <c r="M47" i="17"/>
  <c r="M39" i="17"/>
  <c r="M31" i="17"/>
  <c r="M23" i="17"/>
  <c r="M15" i="17"/>
  <c r="N104" i="17"/>
  <c r="N96" i="17"/>
  <c r="N88" i="17"/>
  <c r="N80" i="17"/>
  <c r="N72" i="17"/>
  <c r="N64" i="17"/>
  <c r="N56" i="17"/>
  <c r="N48" i="17"/>
  <c r="N40" i="17"/>
  <c r="N32" i="17"/>
  <c r="N24" i="17"/>
  <c r="N16" i="17"/>
  <c r="N107" i="17"/>
  <c r="N103" i="17"/>
  <c r="N99" i="17"/>
  <c r="N95" i="17"/>
  <c r="N91" i="17"/>
  <c r="N87" i="17"/>
  <c r="N83" i="17"/>
  <c r="N79" i="17"/>
  <c r="N75" i="17"/>
  <c r="N71" i="17"/>
  <c r="N67" i="17"/>
  <c r="N63" i="17"/>
  <c r="N59" i="17"/>
  <c r="N55" i="17"/>
  <c r="N51" i="17"/>
  <c r="N47" i="17"/>
  <c r="N43" i="17"/>
  <c r="N39" i="17"/>
  <c r="N35" i="17"/>
  <c r="N31" i="17"/>
  <c r="N27" i="17"/>
  <c r="N23" i="17"/>
  <c r="N19" i="17"/>
  <c r="N15" i="17"/>
  <c r="M115" i="17"/>
  <c r="M131" i="17"/>
  <c r="M147" i="17"/>
  <c r="M163" i="17"/>
  <c r="M183" i="17"/>
  <c r="M125" i="17"/>
  <c r="M149" i="17"/>
  <c r="M165" i="17"/>
  <c r="M181" i="17"/>
  <c r="M197" i="17"/>
  <c r="N116" i="17"/>
  <c r="N124" i="17"/>
  <c r="N132" i="17"/>
  <c r="N140" i="17"/>
  <c r="N148" i="17"/>
  <c r="N156" i="17"/>
  <c r="N164" i="17"/>
  <c r="N172" i="17"/>
  <c r="N180" i="17"/>
  <c r="N188" i="17"/>
  <c r="N196" i="17"/>
  <c r="N204" i="17"/>
  <c r="N212" i="17"/>
  <c r="N220" i="17"/>
  <c r="N228" i="17"/>
  <c r="N236" i="17"/>
  <c r="N244" i="17"/>
  <c r="N252" i="17"/>
  <c r="N260" i="17"/>
  <c r="N268" i="17"/>
  <c r="N276" i="17"/>
  <c r="N284" i="17"/>
  <c r="N292" i="17"/>
  <c r="N300" i="17"/>
  <c r="N308" i="17"/>
  <c r="N111" i="17"/>
  <c r="N119" i="17"/>
  <c r="N127" i="17"/>
  <c r="N135" i="17"/>
  <c r="N143" i="17"/>
  <c r="N151" i="17"/>
  <c r="N159" i="17"/>
  <c r="N167" i="17"/>
  <c r="N175" i="17"/>
  <c r="N183" i="17"/>
  <c r="N191" i="17"/>
  <c r="N199" i="17"/>
  <c r="N207" i="17"/>
  <c r="N215" i="17"/>
  <c r="N223" i="17"/>
  <c r="N231" i="17"/>
  <c r="N239" i="17"/>
  <c r="N247" i="17"/>
  <c r="N255" i="17"/>
  <c r="N263" i="17"/>
  <c r="N271" i="17"/>
  <c r="N279" i="17"/>
  <c r="N287" i="17"/>
  <c r="N295" i="17"/>
  <c r="N303" i="17"/>
  <c r="N311" i="17"/>
  <c r="M319" i="17"/>
  <c r="M327" i="17"/>
  <c r="M335" i="17"/>
  <c r="M343" i="17"/>
  <c r="M351" i="17"/>
  <c r="M359" i="17"/>
  <c r="M367" i="17"/>
  <c r="M375" i="17"/>
  <c r="M383" i="17"/>
  <c r="M391" i="17"/>
  <c r="M399" i="17"/>
  <c r="M407" i="17"/>
  <c r="M415" i="17"/>
  <c r="N321" i="17"/>
  <c r="N329" i="17"/>
  <c r="N337" i="17"/>
  <c r="N345" i="17"/>
  <c r="N353" i="17"/>
  <c r="N361" i="17"/>
  <c r="N369" i="17"/>
  <c r="N377" i="17"/>
  <c r="N385" i="17"/>
  <c r="N393" i="17"/>
  <c r="N401" i="17"/>
  <c r="N409" i="17"/>
  <c r="N417" i="17"/>
  <c r="N425" i="17"/>
  <c r="N433" i="17"/>
  <c r="N441" i="17"/>
  <c r="N449" i="17"/>
  <c r="N457" i="17"/>
  <c r="N465" i="17"/>
  <c r="N473" i="17"/>
  <c r="N481" i="17"/>
  <c r="N489" i="17"/>
  <c r="N497" i="17"/>
  <c r="N505" i="17"/>
  <c r="N513" i="17"/>
  <c r="M419" i="17"/>
  <c r="M427" i="17"/>
  <c r="M435" i="17"/>
  <c r="M443" i="17"/>
  <c r="M451" i="17"/>
  <c r="M459" i="17"/>
  <c r="M467" i="17"/>
  <c r="M475" i="17"/>
  <c r="M483" i="17"/>
  <c r="M491" i="17"/>
  <c r="M499" i="17"/>
  <c r="M507" i="17"/>
  <c r="M515" i="17"/>
  <c r="M521" i="17"/>
  <c r="M529" i="17"/>
  <c r="M537" i="17"/>
  <c r="M546" i="17"/>
  <c r="M562" i="17"/>
  <c r="M578" i="17"/>
  <c r="M594" i="17"/>
  <c r="M528" i="17"/>
  <c r="M536" i="17"/>
  <c r="N545" i="17"/>
  <c r="N561" i="17"/>
  <c r="N577" i="17"/>
  <c r="M547" i="17"/>
  <c r="M563" i="17"/>
  <c r="M579" i="17"/>
  <c r="N595" i="17"/>
  <c r="N611" i="17"/>
  <c r="N608" i="17"/>
  <c r="M211" i="17"/>
  <c r="M227" i="17"/>
  <c r="M243" i="17"/>
  <c r="M259" i="17"/>
  <c r="M187" i="17"/>
  <c r="M113" i="17"/>
  <c r="M129" i="17"/>
  <c r="M145" i="17"/>
  <c r="M161" i="17"/>
  <c r="M177" i="17"/>
  <c r="M193" i="17"/>
  <c r="N114" i="17"/>
  <c r="N122" i="17"/>
  <c r="N130" i="17"/>
  <c r="N138" i="17"/>
  <c r="N146" i="17"/>
  <c r="N154" i="17"/>
  <c r="N162" i="17"/>
  <c r="N170" i="17"/>
  <c r="N178" i="17"/>
  <c r="N186" i="17"/>
  <c r="N194" i="17"/>
  <c r="N202" i="17"/>
  <c r="N210" i="17"/>
  <c r="N218" i="17"/>
  <c r="N226" i="17"/>
  <c r="N234" i="17"/>
  <c r="N242" i="17"/>
  <c r="N250" i="17"/>
  <c r="N258" i="17"/>
  <c r="N266" i="17"/>
  <c r="N274" i="17"/>
  <c r="N282" i="17"/>
  <c r="N290" i="17"/>
  <c r="N298" i="17"/>
  <c r="N306" i="17"/>
  <c r="N314" i="17"/>
  <c r="N117" i="17"/>
  <c r="N125" i="17"/>
  <c r="N133" i="17"/>
  <c r="N141" i="17"/>
  <c r="N149" i="17"/>
  <c r="N157" i="17"/>
  <c r="N165" i="17"/>
  <c r="N173" i="17"/>
  <c r="N181" i="17"/>
  <c r="N189" i="17"/>
  <c r="N197" i="17"/>
  <c r="N205" i="17"/>
  <c r="N213" i="17"/>
  <c r="N221" i="17"/>
  <c r="N229" i="17"/>
  <c r="N237" i="17"/>
  <c r="N245" i="17"/>
  <c r="N253" i="17"/>
  <c r="N261" i="17"/>
  <c r="N269" i="17"/>
  <c r="N277" i="17"/>
  <c r="N285" i="17"/>
  <c r="N293" i="17"/>
  <c r="N301" i="17"/>
  <c r="N309" i="17"/>
  <c r="M317" i="17"/>
  <c r="M325" i="17"/>
  <c r="M337" i="17"/>
  <c r="M353" i="17"/>
  <c r="M369" i="17"/>
  <c r="M385" i="17"/>
  <c r="M401" i="17"/>
  <c r="N315" i="17"/>
  <c r="N331" i="17"/>
  <c r="N347" i="17"/>
  <c r="N363" i="17"/>
  <c r="N379" i="17"/>
  <c r="N395" i="17"/>
  <c r="N411" i="17"/>
  <c r="N427" i="17"/>
  <c r="N443" i="17"/>
  <c r="N459" i="17"/>
  <c r="N475" i="17"/>
  <c r="N491" i="17"/>
  <c r="N507" i="17"/>
  <c r="M421" i="17"/>
  <c r="M437" i="17"/>
  <c r="M453" i="17"/>
  <c r="M469" i="17"/>
  <c r="M485" i="17"/>
  <c r="M501" i="17"/>
  <c r="M517" i="17"/>
  <c r="M531" i="17"/>
  <c r="M550" i="17"/>
  <c r="M582" i="17"/>
  <c r="M530" i="17"/>
  <c r="N549" i="17"/>
  <c r="N581" i="17"/>
  <c r="M567" i="17"/>
  <c r="N599" i="17"/>
  <c r="N612" i="17"/>
  <c r="M231" i="17"/>
  <c r="M263" i="17"/>
  <c r="M279" i="17"/>
  <c r="M295" i="17"/>
  <c r="M311" i="17"/>
  <c r="M122" i="17"/>
  <c r="M138" i="17"/>
  <c r="M154" i="17"/>
  <c r="M170" i="17"/>
  <c r="M186" i="17"/>
  <c r="M202" i="17"/>
  <c r="M218" i="17"/>
  <c r="M234" i="17"/>
  <c r="M250" i="17"/>
  <c r="M266" i="17"/>
  <c r="M282" i="17"/>
  <c r="M298" i="17"/>
  <c r="M314" i="17"/>
  <c r="N330" i="17"/>
  <c r="N346" i="17"/>
  <c r="N362" i="17"/>
  <c r="N378" i="17"/>
  <c r="N394" i="17"/>
  <c r="N410" i="17"/>
  <c r="M324" i="17"/>
  <c r="M340" i="17"/>
  <c r="M356" i="17"/>
  <c r="M372" i="17"/>
  <c r="M388" i="17"/>
  <c r="M404" i="17"/>
  <c r="M420" i="17"/>
  <c r="M436" i="17"/>
  <c r="M452" i="17"/>
  <c r="M468" i="17"/>
  <c r="M484" i="17"/>
  <c r="M500" i="17"/>
  <c r="M516" i="17"/>
  <c r="N430" i="17"/>
  <c r="N446" i="17"/>
  <c r="N462" i="17"/>
  <c r="N478" i="17"/>
  <c r="N494" i="17"/>
  <c r="N510" i="17"/>
  <c r="N524" i="17"/>
  <c r="N540" i="17"/>
  <c r="M568" i="17"/>
  <c r="N523" i="17"/>
  <c r="N539" i="17"/>
  <c r="N567" i="17"/>
  <c r="N546" i="17"/>
  <c r="N562" i="17"/>
  <c r="N578" i="17"/>
  <c r="N594" i="17"/>
  <c r="M610" i="17"/>
  <c r="M607" i="17"/>
  <c r="M549" i="17"/>
  <c r="M565" i="17"/>
  <c r="M581" i="17"/>
  <c r="N597" i="17"/>
  <c r="N613" i="17"/>
  <c r="N610" i="17"/>
  <c r="M213" i="17"/>
  <c r="M229" i="17"/>
  <c r="M245" i="17"/>
  <c r="M261" i="17"/>
  <c r="M277" i="17"/>
  <c r="M293" i="17"/>
  <c r="M309" i="17"/>
  <c r="M120" i="17"/>
  <c r="M136" i="17"/>
  <c r="M152" i="17"/>
  <c r="M184" i="17"/>
  <c r="M216" i="17"/>
  <c r="M248" i="17"/>
  <c r="M280" i="17"/>
  <c r="M312" i="17"/>
  <c r="N344" i="17"/>
  <c r="N376" i="17"/>
  <c r="N408" i="17"/>
  <c r="M338" i="17"/>
  <c r="M370" i="17"/>
  <c r="M402" i="17"/>
  <c r="M434" i="17"/>
  <c r="M466" i="17"/>
  <c r="M498" i="17"/>
  <c r="N428" i="17"/>
  <c r="N460" i="17"/>
  <c r="N492" i="17"/>
  <c r="N522" i="17"/>
  <c r="M564" i="17"/>
  <c r="N537" i="17"/>
  <c r="N544" i="17"/>
  <c r="N576" i="17"/>
  <c r="M608" i="17"/>
  <c r="M605" i="17"/>
  <c r="M156" i="17"/>
  <c r="M164" i="17"/>
  <c r="M172" i="17"/>
  <c r="M180" i="17"/>
  <c r="M188" i="17"/>
  <c r="M196" i="17"/>
  <c r="M204" i="17"/>
  <c r="M212" i="17"/>
  <c r="M220" i="17"/>
  <c r="M228" i="17"/>
  <c r="M236" i="17"/>
  <c r="M244" i="17"/>
  <c r="M252" i="17"/>
  <c r="M260" i="17"/>
  <c r="M268" i="17"/>
  <c r="M276" i="17"/>
  <c r="M284" i="17"/>
  <c r="M292" i="17"/>
  <c r="M300" i="17"/>
  <c r="M308" i="17"/>
  <c r="N316" i="17"/>
  <c r="N324" i="17"/>
  <c r="N332" i="17"/>
  <c r="N340" i="17"/>
  <c r="N348" i="17"/>
  <c r="N356" i="17"/>
  <c r="N364" i="17"/>
  <c r="N372" i="17"/>
  <c r="N380" i="17"/>
  <c r="N388" i="17"/>
  <c r="N396" i="17"/>
  <c r="N404" i="17"/>
  <c r="N412" i="17"/>
  <c r="M318" i="17"/>
  <c r="M326" i="17"/>
  <c r="M334" i="17"/>
  <c r="M342" i="17"/>
  <c r="M350" i="17"/>
  <c r="M358" i="17"/>
  <c r="M366" i="17"/>
  <c r="M374" i="17"/>
  <c r="M382" i="17"/>
  <c r="M390" i="17"/>
  <c r="M398" i="17"/>
  <c r="M406" i="17"/>
  <c r="M414" i="17"/>
  <c r="M422" i="17"/>
  <c r="M430" i="17"/>
  <c r="M438" i="17"/>
  <c r="M446" i="17"/>
  <c r="M454" i="17"/>
  <c r="M462" i="17"/>
  <c r="M470" i="17"/>
  <c r="M478" i="17"/>
  <c r="M486" i="17"/>
  <c r="M494" i="17"/>
  <c r="M502" i="17"/>
  <c r="M510" i="17"/>
  <c r="N519" i="17"/>
  <c r="N424" i="17"/>
  <c r="N432" i="17"/>
  <c r="N440" i="17"/>
  <c r="N448" i="17"/>
  <c r="N456" i="17"/>
  <c r="N464" i="17"/>
  <c r="N472" i="17"/>
  <c r="N480" i="17"/>
  <c r="N488" i="17"/>
  <c r="N496" i="17"/>
  <c r="N504" i="17"/>
  <c r="N512" i="17"/>
  <c r="N518" i="17"/>
  <c r="N526" i="17"/>
  <c r="N534" i="17"/>
  <c r="N542" i="17"/>
  <c r="M556" i="17"/>
  <c r="M572" i="17"/>
  <c r="M588" i="17"/>
  <c r="N525" i="17"/>
  <c r="N533" i="17"/>
  <c r="N541" i="17"/>
  <c r="N555" i="17"/>
  <c r="N571" i="17"/>
  <c r="N587" i="17"/>
  <c r="N548" i="17"/>
  <c r="N556" i="17"/>
  <c r="N564" i="17"/>
  <c r="N572" i="17"/>
  <c r="N580" i="17"/>
  <c r="N588" i="17"/>
  <c r="M596" i="17"/>
  <c r="M604" i="17"/>
  <c r="M612" i="17"/>
  <c r="M601" i="17"/>
  <c r="M609" i="17"/>
  <c r="Y100" i="17" l="1"/>
  <c r="Y58" i="17"/>
  <c r="X365" i="17"/>
  <c r="X339" i="17"/>
  <c r="Y160" i="17"/>
  <c r="F627" i="17"/>
  <c r="X305" i="17"/>
  <c r="E627" i="17"/>
  <c r="N627" i="17"/>
  <c r="M627" i="17"/>
  <c r="J627" i="17"/>
  <c r="D627" i="17"/>
  <c r="L627" i="17"/>
  <c r="K627" i="17"/>
  <c r="I627" i="17"/>
  <c r="P627" i="17"/>
  <c r="O627" i="17"/>
  <c r="C627" i="17"/>
  <c r="G627" i="17"/>
  <c r="R592" i="17"/>
  <c r="S592" i="17" s="1"/>
  <c r="H624" i="17"/>
  <c r="G624" i="17"/>
  <c r="R628" i="17"/>
  <c r="S628" i="17" s="1"/>
  <c r="M625" i="17"/>
  <c r="H625" i="17"/>
  <c r="G625" i="17"/>
  <c r="Q628" i="17"/>
  <c r="D637" i="17" s="1"/>
  <c r="R609" i="17"/>
  <c r="S609" i="17" s="1"/>
  <c r="Q577" i="17"/>
  <c r="U577" i="17" s="1"/>
  <c r="Q545" i="17"/>
  <c r="U545" i="17" s="1"/>
  <c r="R539" i="17"/>
  <c r="S539" i="17" s="1"/>
  <c r="R567" i="17"/>
  <c r="S567" i="17" s="1"/>
  <c r="Q523" i="17"/>
  <c r="U523" i="17" s="1"/>
  <c r="R492" i="17"/>
  <c r="S492" i="17" s="1"/>
  <c r="R460" i="17"/>
  <c r="S460" i="17" s="1"/>
  <c r="R428" i="17"/>
  <c r="S428" i="17" s="1"/>
  <c r="R499" i="17"/>
  <c r="S499" i="17" s="1"/>
  <c r="R467" i="17"/>
  <c r="S467" i="17" s="1"/>
  <c r="R435" i="17"/>
  <c r="S435" i="17" s="1"/>
  <c r="R403" i="17"/>
  <c r="S403" i="17" s="1"/>
  <c r="R371" i="17"/>
  <c r="S371" i="17" s="1"/>
  <c r="R339" i="17"/>
  <c r="S339" i="17" s="1"/>
  <c r="Q409" i="17"/>
  <c r="U409" i="17" s="1"/>
  <c r="Q606" i="17"/>
  <c r="U606" i="17" s="1"/>
  <c r="R574" i="17"/>
  <c r="S574" i="17" s="1"/>
  <c r="Q592" i="17"/>
  <c r="U592" i="17" s="1"/>
  <c r="Q536" i="17"/>
  <c r="U536" i="17" s="1"/>
  <c r="R561" i="17"/>
  <c r="S561" i="17" s="1"/>
  <c r="R520" i="17"/>
  <c r="S520" i="17" s="1"/>
  <c r="Q489" i="17"/>
  <c r="U489" i="17" s="1"/>
  <c r="Q457" i="17"/>
  <c r="U457" i="17" s="1"/>
  <c r="Q425" i="17"/>
  <c r="U425" i="17" s="1"/>
  <c r="Q496" i="17"/>
  <c r="U496" i="17" s="1"/>
  <c r="Q464" i="17"/>
  <c r="U464" i="17" s="1"/>
  <c r="Q432" i="17"/>
  <c r="U432" i="17" s="1"/>
  <c r="Q400" i="17"/>
  <c r="U400" i="17" s="1"/>
  <c r="Q368" i="17"/>
  <c r="U368" i="17" s="1"/>
  <c r="Q336" i="17"/>
  <c r="U336" i="17" s="1"/>
  <c r="R390" i="17"/>
  <c r="S390" i="17" s="1"/>
  <c r="R372" i="17"/>
  <c r="S372" i="17" s="1"/>
  <c r="R356" i="17"/>
  <c r="S356" i="17" s="1"/>
  <c r="R340" i="17"/>
  <c r="S340" i="17" s="1"/>
  <c r="R324" i="17"/>
  <c r="S324" i="17" s="1"/>
  <c r="Q308" i="17"/>
  <c r="U308" i="17" s="1"/>
  <c r="Q292" i="17"/>
  <c r="U292" i="17" s="1"/>
  <c r="Q276" i="17"/>
  <c r="U276" i="17" s="1"/>
  <c r="Q260" i="17"/>
  <c r="U260" i="17" s="1"/>
  <c r="Q244" i="17"/>
  <c r="U244" i="17" s="1"/>
  <c r="Q228" i="17"/>
  <c r="U228" i="17" s="1"/>
  <c r="Q212" i="17"/>
  <c r="U212" i="17" s="1"/>
  <c r="Q196" i="17"/>
  <c r="U196" i="17" s="1"/>
  <c r="Q180" i="17"/>
  <c r="U180" i="17" s="1"/>
  <c r="Q164" i="17"/>
  <c r="U164" i="17" s="1"/>
  <c r="Q148" i="17"/>
  <c r="U148" i="17" s="1"/>
  <c r="Q132" i="17"/>
  <c r="U132" i="17" s="1"/>
  <c r="Q116" i="17"/>
  <c r="U116" i="17" s="1"/>
  <c r="Q305" i="17"/>
  <c r="U305" i="17" s="1"/>
  <c r="Q289" i="17"/>
  <c r="U289" i="17" s="1"/>
  <c r="Q273" i="17"/>
  <c r="U273" i="17" s="1"/>
  <c r="Q257" i="17"/>
  <c r="U257" i="17" s="1"/>
  <c r="Q241" i="17"/>
  <c r="U241" i="17" s="1"/>
  <c r="Q225" i="17"/>
  <c r="U225" i="17" s="1"/>
  <c r="Q209" i="17"/>
  <c r="U209" i="17" s="1"/>
  <c r="Q193" i="17"/>
  <c r="U193" i="17" s="1"/>
  <c r="Q177" i="17"/>
  <c r="U177" i="17" s="1"/>
  <c r="Q161" i="17"/>
  <c r="U161" i="17" s="1"/>
  <c r="Q145" i="17"/>
  <c r="U145" i="17" s="1"/>
  <c r="Q129" i="17"/>
  <c r="U129" i="17" s="1"/>
  <c r="Q318" i="17"/>
  <c r="U318" i="17" s="1"/>
  <c r="Q397" i="17"/>
  <c r="U397" i="17" s="1"/>
  <c r="Q381" i="17"/>
  <c r="U381" i="17" s="1"/>
  <c r="Q365" i="17"/>
  <c r="U365" i="17" s="1"/>
  <c r="Q349" i="17"/>
  <c r="U349" i="17" s="1"/>
  <c r="Q333" i="17"/>
  <c r="U333" i="17" s="1"/>
  <c r="Q317" i="17"/>
  <c r="U317" i="17" s="1"/>
  <c r="R301" i="17"/>
  <c r="S301" i="17" s="1"/>
  <c r="R285" i="17"/>
  <c r="S285" i="17" s="1"/>
  <c r="R269" i="17"/>
  <c r="S269" i="17" s="1"/>
  <c r="R253" i="17"/>
  <c r="S253" i="17" s="1"/>
  <c r="R237" i="17"/>
  <c r="S237" i="17" s="1"/>
  <c r="R221" i="17"/>
  <c r="S221" i="17" s="1"/>
  <c r="R205" i="17"/>
  <c r="S205" i="17" s="1"/>
  <c r="R189" i="17"/>
  <c r="S189" i="17" s="1"/>
  <c r="R173" i="17"/>
  <c r="S173" i="17" s="1"/>
  <c r="R157" i="17"/>
  <c r="S157" i="17" s="1"/>
  <c r="R141" i="17"/>
  <c r="S141" i="17" s="1"/>
  <c r="R125" i="17"/>
  <c r="S125" i="17" s="1"/>
  <c r="R314" i="17"/>
  <c r="S314" i="17" s="1"/>
  <c r="R298" i="17"/>
  <c r="S298" i="17" s="1"/>
  <c r="R282" i="17"/>
  <c r="S282" i="17" s="1"/>
  <c r="R266" i="17"/>
  <c r="S266" i="17" s="1"/>
  <c r="R250" i="17"/>
  <c r="S250" i="17" s="1"/>
  <c r="R234" i="17"/>
  <c r="S234" i="17" s="1"/>
  <c r="R218" i="17"/>
  <c r="S218" i="17" s="1"/>
  <c r="R202" i="17"/>
  <c r="S202" i="17" s="1"/>
  <c r="R186" i="17"/>
  <c r="S186" i="17" s="1"/>
  <c r="R170" i="17"/>
  <c r="S170" i="17" s="1"/>
  <c r="R154" i="17"/>
  <c r="S154" i="17" s="1"/>
  <c r="R138" i="17"/>
  <c r="S138" i="17" s="1"/>
  <c r="R122" i="17"/>
  <c r="S122" i="17" s="1"/>
  <c r="Q121" i="17"/>
  <c r="U121" i="17" s="1"/>
  <c r="Q13" i="17"/>
  <c r="U13" i="17" s="1"/>
  <c r="Q29" i="17"/>
  <c r="U29" i="17" s="1"/>
  <c r="Q45" i="17"/>
  <c r="U45" i="17" s="1"/>
  <c r="Q61" i="17"/>
  <c r="U61" i="17" s="1"/>
  <c r="Q77" i="17"/>
  <c r="U77" i="17" s="1"/>
  <c r="Q93" i="17"/>
  <c r="U93" i="17" s="1"/>
  <c r="Q109" i="17"/>
  <c r="U109" i="17" s="1"/>
  <c r="R23" i="17"/>
  <c r="S23" i="17" s="1"/>
  <c r="R31" i="17"/>
  <c r="S31" i="17" s="1"/>
  <c r="R39" i="17"/>
  <c r="S39" i="17" s="1"/>
  <c r="R47" i="17"/>
  <c r="S47" i="17" s="1"/>
  <c r="R55" i="17"/>
  <c r="S55" i="17" s="1"/>
  <c r="R63" i="17"/>
  <c r="S63" i="17" s="1"/>
  <c r="R71" i="17"/>
  <c r="S71" i="17" s="1"/>
  <c r="R79" i="17"/>
  <c r="S79" i="17" s="1"/>
  <c r="R87" i="17"/>
  <c r="S87" i="17" s="1"/>
  <c r="R95" i="17"/>
  <c r="S95" i="17" s="1"/>
  <c r="R103" i="17"/>
  <c r="S103" i="17" s="1"/>
  <c r="R16" i="17"/>
  <c r="S16" i="17" s="1"/>
  <c r="R32" i="17"/>
  <c r="S32" i="17" s="1"/>
  <c r="R48" i="17"/>
  <c r="S48" i="17" s="1"/>
  <c r="R64" i="17"/>
  <c r="S64" i="17" s="1"/>
  <c r="R80" i="17"/>
  <c r="S80" i="17" s="1"/>
  <c r="R96" i="17"/>
  <c r="S96" i="17" s="1"/>
  <c r="Q622" i="17"/>
  <c r="D632" i="17" s="1"/>
  <c r="R392" i="17"/>
  <c r="S392" i="17" s="1"/>
  <c r="R410" i="17"/>
  <c r="S410" i="17" s="1"/>
  <c r="Q338" i="17"/>
  <c r="U338" i="17" s="1"/>
  <c r="Q354" i="17"/>
  <c r="U354" i="17" s="1"/>
  <c r="Q370" i="17"/>
  <c r="U370" i="17" s="1"/>
  <c r="Q386" i="17"/>
  <c r="U386" i="17" s="1"/>
  <c r="Q402" i="17"/>
  <c r="U402" i="17" s="1"/>
  <c r="Q418" i="17"/>
  <c r="U418" i="17" s="1"/>
  <c r="Q434" i="17"/>
  <c r="U434" i="17" s="1"/>
  <c r="Q450" i="17"/>
  <c r="U450" i="17" s="1"/>
  <c r="Q466" i="17"/>
  <c r="U466" i="17" s="1"/>
  <c r="Q482" i="17"/>
  <c r="U482" i="17" s="1"/>
  <c r="Q498" i="17"/>
  <c r="U498" i="17" s="1"/>
  <c r="Q514" i="17"/>
  <c r="U514" i="17" s="1"/>
  <c r="Q427" i="17"/>
  <c r="U427" i="17" s="1"/>
  <c r="Q443" i="17"/>
  <c r="U443" i="17" s="1"/>
  <c r="Q459" i="17"/>
  <c r="U459" i="17" s="1"/>
  <c r="Q475" i="17"/>
  <c r="U475" i="17" s="1"/>
  <c r="Q491" i="17"/>
  <c r="U491" i="17" s="1"/>
  <c r="Q507" i="17"/>
  <c r="U507" i="17" s="1"/>
  <c r="R522" i="17"/>
  <c r="S522" i="17" s="1"/>
  <c r="R538" i="17"/>
  <c r="S538" i="17" s="1"/>
  <c r="R565" i="17"/>
  <c r="S565" i="17" s="1"/>
  <c r="Q522" i="17"/>
  <c r="U522" i="17" s="1"/>
  <c r="Q538" i="17"/>
  <c r="U538" i="17" s="1"/>
  <c r="Q564" i="17"/>
  <c r="U564" i="17" s="1"/>
  <c r="R544" i="17"/>
  <c r="S544" i="17" s="1"/>
  <c r="R560" i="17"/>
  <c r="S560" i="17" s="1"/>
  <c r="R576" i="17"/>
  <c r="S576" i="17" s="1"/>
  <c r="Q608" i="17"/>
  <c r="U608" i="17" s="1"/>
  <c r="Q605" i="17"/>
  <c r="U605" i="17" s="1"/>
  <c r="Q411" i="17"/>
  <c r="U411" i="17" s="1"/>
  <c r="R325" i="17"/>
  <c r="S325" i="17" s="1"/>
  <c r="R341" i="17"/>
  <c r="S341" i="17" s="1"/>
  <c r="R357" i="17"/>
  <c r="S357" i="17" s="1"/>
  <c r="R373" i="17"/>
  <c r="S373" i="17" s="1"/>
  <c r="R389" i="17"/>
  <c r="S389" i="17" s="1"/>
  <c r="R405" i="17"/>
  <c r="S405" i="17" s="1"/>
  <c r="R421" i="17"/>
  <c r="S421" i="17" s="1"/>
  <c r="R437" i="17"/>
  <c r="S437" i="17" s="1"/>
  <c r="R453" i="17"/>
  <c r="S453" i="17" s="1"/>
  <c r="R469" i="17"/>
  <c r="S469" i="17" s="1"/>
  <c r="R485" i="17"/>
  <c r="S485" i="17" s="1"/>
  <c r="R501" i="17"/>
  <c r="S501" i="17" s="1"/>
  <c r="R517" i="17"/>
  <c r="S517" i="17" s="1"/>
  <c r="R430" i="17"/>
  <c r="S430" i="17" s="1"/>
  <c r="R446" i="17"/>
  <c r="S446" i="17" s="1"/>
  <c r="R462" i="17"/>
  <c r="S462" i="17" s="1"/>
  <c r="R478" i="17"/>
  <c r="S478" i="17" s="1"/>
  <c r="R494" i="17"/>
  <c r="S494" i="17" s="1"/>
  <c r="R510" i="17"/>
  <c r="S510" i="17" s="1"/>
  <c r="Q525" i="17"/>
  <c r="U525" i="17" s="1"/>
  <c r="Q541" i="17"/>
  <c r="U541" i="17" s="1"/>
  <c r="R571" i="17"/>
  <c r="S571" i="17" s="1"/>
  <c r="R601" i="17"/>
  <c r="S601" i="17" s="1"/>
  <c r="Q569" i="17"/>
  <c r="U569" i="17" s="1"/>
  <c r="Q582" i="17"/>
  <c r="U582" i="17" s="1"/>
  <c r="R531" i="17"/>
  <c r="S531" i="17" s="1"/>
  <c r="R551" i="17"/>
  <c r="S551" i="17" s="1"/>
  <c r="R516" i="17"/>
  <c r="S516" i="17" s="1"/>
  <c r="R484" i="17"/>
  <c r="S484" i="17" s="1"/>
  <c r="R452" i="17"/>
  <c r="S452" i="17" s="1"/>
  <c r="R420" i="17"/>
  <c r="S420" i="17" s="1"/>
  <c r="R491" i="17"/>
  <c r="S491" i="17" s="1"/>
  <c r="R459" i="17"/>
  <c r="S459" i="17" s="1"/>
  <c r="R427" i="17"/>
  <c r="S427" i="17" s="1"/>
  <c r="R395" i="17"/>
  <c r="S395" i="17" s="1"/>
  <c r="R363" i="17"/>
  <c r="S363" i="17" s="1"/>
  <c r="R331" i="17"/>
  <c r="S331" i="17" s="1"/>
  <c r="Q611" i="17"/>
  <c r="U611" i="17" s="1"/>
  <c r="Q598" i="17"/>
  <c r="U598" i="17" s="1"/>
  <c r="R566" i="17"/>
  <c r="S566" i="17" s="1"/>
  <c r="Q576" i="17"/>
  <c r="U576" i="17" s="1"/>
  <c r="Q528" i="17"/>
  <c r="U528" i="17" s="1"/>
  <c r="R545" i="17"/>
  <c r="S545" i="17" s="1"/>
  <c r="Q513" i="17"/>
  <c r="U513" i="17" s="1"/>
  <c r="Q481" i="17"/>
  <c r="U481" i="17" s="1"/>
  <c r="Q449" i="17"/>
  <c r="U449" i="17" s="1"/>
  <c r="Q417" i="17"/>
  <c r="U417" i="17" s="1"/>
  <c r="Q488" i="17"/>
  <c r="U488" i="17" s="1"/>
  <c r="Q456" i="17"/>
  <c r="U456" i="17" s="1"/>
  <c r="Q424" i="17"/>
  <c r="U424" i="17" s="1"/>
  <c r="Q392" i="17"/>
  <c r="U392" i="17" s="1"/>
  <c r="Q360" i="17"/>
  <c r="U360" i="17" s="1"/>
  <c r="Q320" i="17"/>
  <c r="U320" i="17" s="1"/>
  <c r="R384" i="17"/>
  <c r="S384" i="17" s="1"/>
  <c r="R368" i="17"/>
  <c r="S368" i="17" s="1"/>
  <c r="R352" i="17"/>
  <c r="S352" i="17" s="1"/>
  <c r="R336" i="17"/>
  <c r="S336" i="17" s="1"/>
  <c r="R320" i="17"/>
  <c r="S320" i="17" s="1"/>
  <c r="Q304" i="17"/>
  <c r="U304" i="17" s="1"/>
  <c r="Q288" i="17"/>
  <c r="U288" i="17" s="1"/>
  <c r="Q272" i="17"/>
  <c r="U272" i="17" s="1"/>
  <c r="Q256" i="17"/>
  <c r="U256" i="17" s="1"/>
  <c r="Q240" i="17"/>
  <c r="U240" i="17" s="1"/>
  <c r="Q224" i="17"/>
  <c r="U224" i="17" s="1"/>
  <c r="Q208" i="17"/>
  <c r="U208" i="17" s="1"/>
  <c r="Q192" i="17"/>
  <c r="U192" i="17" s="1"/>
  <c r="Q176" i="17"/>
  <c r="U176" i="17" s="1"/>
  <c r="Q160" i="17"/>
  <c r="U160" i="17" s="1"/>
  <c r="Q144" i="17"/>
  <c r="U144" i="17" s="1"/>
  <c r="Q128" i="17"/>
  <c r="U128" i="17" s="1"/>
  <c r="Q112" i="17"/>
  <c r="U112" i="17" s="1"/>
  <c r="Q301" i="17"/>
  <c r="U301" i="17" s="1"/>
  <c r="Q285" i="17"/>
  <c r="U285" i="17" s="1"/>
  <c r="Q269" i="17"/>
  <c r="U269" i="17" s="1"/>
  <c r="Q253" i="17"/>
  <c r="U253" i="17" s="1"/>
  <c r="Q237" i="17"/>
  <c r="U237" i="17" s="1"/>
  <c r="Q221" i="17"/>
  <c r="U221" i="17" s="1"/>
  <c r="Q205" i="17"/>
  <c r="U205" i="17" s="1"/>
  <c r="Q189" i="17"/>
  <c r="U189" i="17" s="1"/>
  <c r="Q173" i="17"/>
  <c r="U173" i="17" s="1"/>
  <c r="Q157" i="17"/>
  <c r="U157" i="17" s="1"/>
  <c r="Q141" i="17"/>
  <c r="U141" i="17" s="1"/>
  <c r="Q125" i="17"/>
  <c r="U125" i="17" s="1"/>
  <c r="R412" i="17"/>
  <c r="S412" i="17" s="1"/>
  <c r="Q393" i="17"/>
  <c r="U393" i="17" s="1"/>
  <c r="Q377" i="17"/>
  <c r="U377" i="17" s="1"/>
  <c r="Q361" i="17"/>
  <c r="U361" i="17" s="1"/>
  <c r="Q345" i="17"/>
  <c r="U345" i="17" s="1"/>
  <c r="Q329" i="17"/>
  <c r="U329" i="17" s="1"/>
  <c r="R313" i="17"/>
  <c r="S313" i="17" s="1"/>
  <c r="R297" i="17"/>
  <c r="S297" i="17" s="1"/>
  <c r="R281" i="17"/>
  <c r="S281" i="17" s="1"/>
  <c r="R265" i="17"/>
  <c r="S265" i="17" s="1"/>
  <c r="R249" i="17"/>
  <c r="S249" i="17" s="1"/>
  <c r="R233" i="17"/>
  <c r="S233" i="17" s="1"/>
  <c r="R217" i="17"/>
  <c r="S217" i="17" s="1"/>
  <c r="R201" i="17"/>
  <c r="S201" i="17" s="1"/>
  <c r="R185" i="17"/>
  <c r="S185" i="17" s="1"/>
  <c r="R169" i="17"/>
  <c r="S169" i="17" s="1"/>
  <c r="R153" i="17"/>
  <c r="S153" i="17" s="1"/>
  <c r="R137" i="17"/>
  <c r="S137" i="17" s="1"/>
  <c r="R121" i="17"/>
  <c r="S121" i="17" s="1"/>
  <c r="R310" i="17"/>
  <c r="S310" i="17" s="1"/>
  <c r="R294" i="17"/>
  <c r="S294" i="17" s="1"/>
  <c r="R278" i="17"/>
  <c r="S278" i="17" s="1"/>
  <c r="R262" i="17"/>
  <c r="S262" i="17" s="1"/>
  <c r="R246" i="17"/>
  <c r="S246" i="17" s="1"/>
  <c r="R230" i="17"/>
  <c r="S230" i="17" s="1"/>
  <c r="R214" i="17"/>
  <c r="S214" i="17" s="1"/>
  <c r="R198" i="17"/>
  <c r="S198" i="17" s="1"/>
  <c r="R182" i="17"/>
  <c r="S182" i="17" s="1"/>
  <c r="R166" i="17"/>
  <c r="S166" i="17" s="1"/>
  <c r="R150" i="17"/>
  <c r="S150" i="17" s="1"/>
  <c r="R134" i="17"/>
  <c r="S134" i="17" s="1"/>
  <c r="R118" i="17"/>
  <c r="S118" i="17" s="1"/>
  <c r="R114" i="17"/>
  <c r="S114" i="17" s="1"/>
  <c r="Q17" i="17"/>
  <c r="U17" i="17" s="1"/>
  <c r="Q33" i="17"/>
  <c r="U33" i="17" s="1"/>
  <c r="Q49" i="17"/>
  <c r="U49" i="17" s="1"/>
  <c r="Q65" i="17"/>
  <c r="U65" i="17" s="1"/>
  <c r="Q81" i="17"/>
  <c r="U81" i="17" s="1"/>
  <c r="Q97" i="17"/>
  <c r="U97" i="17" s="1"/>
  <c r="R15" i="17"/>
  <c r="S15" i="17" s="1"/>
  <c r="R25" i="17"/>
  <c r="S25" i="17" s="1"/>
  <c r="R33" i="17"/>
  <c r="S33" i="17" s="1"/>
  <c r="R41" i="17"/>
  <c r="S41" i="17" s="1"/>
  <c r="R49" i="17"/>
  <c r="S49" i="17" s="1"/>
  <c r="R57" i="17"/>
  <c r="S57" i="17" s="1"/>
  <c r="R65" i="17"/>
  <c r="S65" i="17" s="1"/>
  <c r="R73" i="17"/>
  <c r="S73" i="17" s="1"/>
  <c r="R81" i="17"/>
  <c r="S81" i="17" s="1"/>
  <c r="R89" i="17"/>
  <c r="S89" i="17" s="1"/>
  <c r="R97" i="17"/>
  <c r="S97" i="17" s="1"/>
  <c r="R105" i="17"/>
  <c r="S105" i="17" s="1"/>
  <c r="R20" i="17"/>
  <c r="S20" i="17" s="1"/>
  <c r="R36" i="17"/>
  <c r="S36" i="17" s="1"/>
  <c r="R52" i="17"/>
  <c r="S52" i="17" s="1"/>
  <c r="R68" i="17"/>
  <c r="S68" i="17" s="1"/>
  <c r="R84" i="17"/>
  <c r="S84" i="17" s="1"/>
  <c r="R100" i="17"/>
  <c r="S100" i="17" s="1"/>
  <c r="R626" i="17"/>
  <c r="S626" i="17" s="1"/>
  <c r="R396" i="17"/>
  <c r="S396" i="17" s="1"/>
  <c r="Q316" i="17"/>
  <c r="U316" i="17" s="1"/>
  <c r="Q342" i="17"/>
  <c r="U342" i="17" s="1"/>
  <c r="Q358" i="17"/>
  <c r="U358" i="17" s="1"/>
  <c r="Q374" i="17"/>
  <c r="U374" i="17" s="1"/>
  <c r="Q390" i="17"/>
  <c r="U390" i="17" s="1"/>
  <c r="Q406" i="17"/>
  <c r="U406" i="17" s="1"/>
  <c r="Q422" i="17"/>
  <c r="U422" i="17" s="1"/>
  <c r="Q438" i="17"/>
  <c r="U438" i="17" s="1"/>
  <c r="Q454" i="17"/>
  <c r="U454" i="17" s="1"/>
  <c r="Q470" i="17"/>
  <c r="U470" i="17" s="1"/>
  <c r="Q486" i="17"/>
  <c r="U486" i="17" s="1"/>
  <c r="Q502" i="17"/>
  <c r="U502" i="17" s="1"/>
  <c r="Q518" i="17"/>
  <c r="U518" i="17" s="1"/>
  <c r="Q431" i="17"/>
  <c r="U431" i="17" s="1"/>
  <c r="Q447" i="17"/>
  <c r="U447" i="17" s="1"/>
  <c r="Q463" i="17"/>
  <c r="U463" i="17" s="1"/>
  <c r="Q479" i="17"/>
  <c r="U479" i="17" s="1"/>
  <c r="Q495" i="17"/>
  <c r="U495" i="17" s="1"/>
  <c r="Q511" i="17"/>
  <c r="U511" i="17" s="1"/>
  <c r="R526" i="17"/>
  <c r="S526" i="17" s="1"/>
  <c r="R542" i="17"/>
  <c r="S542" i="17" s="1"/>
  <c r="R573" i="17"/>
  <c r="S573" i="17" s="1"/>
  <c r="Q526" i="17"/>
  <c r="U526" i="17" s="1"/>
  <c r="Q542" i="17"/>
  <c r="U542" i="17" s="1"/>
  <c r="Q572" i="17"/>
  <c r="U572" i="17" s="1"/>
  <c r="R548" i="17"/>
  <c r="S548" i="17" s="1"/>
  <c r="R564" i="17"/>
  <c r="S564" i="17" s="1"/>
  <c r="R580" i="17"/>
  <c r="S580" i="17" s="1"/>
  <c r="Q596" i="17"/>
  <c r="U596" i="17" s="1"/>
  <c r="Q612" i="17"/>
  <c r="U612" i="17" s="1"/>
  <c r="Q609" i="17"/>
  <c r="U609" i="17" s="1"/>
  <c r="Q415" i="17"/>
  <c r="U415" i="17" s="1"/>
  <c r="R329" i="17"/>
  <c r="S329" i="17" s="1"/>
  <c r="R345" i="17"/>
  <c r="S345" i="17" s="1"/>
  <c r="R361" i="17"/>
  <c r="S361" i="17" s="1"/>
  <c r="R377" i="17"/>
  <c r="S377" i="17" s="1"/>
  <c r="R393" i="17"/>
  <c r="S393" i="17" s="1"/>
  <c r="R409" i="17"/>
  <c r="S409" i="17" s="1"/>
  <c r="R425" i="17"/>
  <c r="S425" i="17" s="1"/>
  <c r="R441" i="17"/>
  <c r="S441" i="17" s="1"/>
  <c r="R457" i="17"/>
  <c r="S457" i="17" s="1"/>
  <c r="R473" i="17"/>
  <c r="S473" i="17" s="1"/>
  <c r="R489" i="17"/>
  <c r="S489" i="17" s="1"/>
  <c r="R505" i="17"/>
  <c r="S505" i="17" s="1"/>
  <c r="R418" i="17"/>
  <c r="S418" i="17" s="1"/>
  <c r="R434" i="17"/>
  <c r="S434" i="17" s="1"/>
  <c r="R450" i="17"/>
  <c r="S450" i="17" s="1"/>
  <c r="R466" i="17"/>
  <c r="S466" i="17" s="1"/>
  <c r="R482" i="17"/>
  <c r="S482" i="17" s="1"/>
  <c r="R498" i="17"/>
  <c r="S498" i="17" s="1"/>
  <c r="R514" i="17"/>
  <c r="S514" i="17" s="1"/>
  <c r="Q529" i="17"/>
  <c r="U529" i="17" s="1"/>
  <c r="R547" i="17"/>
  <c r="S547" i="17" s="1"/>
  <c r="R579" i="17"/>
  <c r="S579" i="17" s="1"/>
  <c r="R521" i="17"/>
  <c r="S521" i="17" s="1"/>
  <c r="R537" i="17"/>
  <c r="S537" i="17" s="1"/>
  <c r="Q562" i="17"/>
  <c r="U562" i="17" s="1"/>
  <c r="Q594" i="17"/>
  <c r="U594" i="17" s="1"/>
  <c r="Q559" i="17"/>
  <c r="U559" i="17" s="1"/>
  <c r="Q575" i="17"/>
  <c r="U575" i="17" s="1"/>
  <c r="Q591" i="17"/>
  <c r="U591" i="17" s="1"/>
  <c r="R607" i="17"/>
  <c r="S607" i="17" s="1"/>
  <c r="R604" i="17"/>
  <c r="S604" i="17" s="1"/>
  <c r="R613" i="17"/>
  <c r="S613" i="17" s="1"/>
  <c r="Q549" i="17"/>
  <c r="U549" i="17" s="1"/>
  <c r="R575" i="17"/>
  <c r="S575" i="17" s="1"/>
  <c r="R496" i="17"/>
  <c r="S496" i="17" s="1"/>
  <c r="R432" i="17"/>
  <c r="S432" i="17" s="1"/>
  <c r="R471" i="17"/>
  <c r="S471" i="17" s="1"/>
  <c r="R407" i="17"/>
  <c r="S407" i="17" s="1"/>
  <c r="R343" i="17"/>
  <c r="S343" i="17" s="1"/>
  <c r="Q610" i="17"/>
  <c r="U610" i="17" s="1"/>
  <c r="R546" i="17"/>
  <c r="S546" i="17" s="1"/>
  <c r="R569" i="17"/>
  <c r="S569" i="17" s="1"/>
  <c r="Q493" i="17"/>
  <c r="U493" i="17" s="1"/>
  <c r="Q429" i="17"/>
  <c r="U429" i="17" s="1"/>
  <c r="Q468" i="17"/>
  <c r="U468" i="17" s="1"/>
  <c r="Q404" i="17"/>
  <c r="U404" i="17" s="1"/>
  <c r="Q340" i="17"/>
  <c r="U340" i="17" s="1"/>
  <c r="R374" i="17"/>
  <c r="S374" i="17" s="1"/>
  <c r="R342" i="17"/>
  <c r="S342" i="17" s="1"/>
  <c r="Q310" i="17"/>
  <c r="U310" i="17" s="1"/>
  <c r="Q278" i="17"/>
  <c r="U278" i="17" s="1"/>
  <c r="Q246" i="17"/>
  <c r="U246" i="17" s="1"/>
  <c r="Q214" i="17"/>
  <c r="U214" i="17" s="1"/>
  <c r="Q182" i="17"/>
  <c r="U182" i="17" s="1"/>
  <c r="Q150" i="17"/>
  <c r="U150" i="17" s="1"/>
  <c r="Q118" i="17"/>
  <c r="U118" i="17" s="1"/>
  <c r="Q291" i="17"/>
  <c r="U291" i="17" s="1"/>
  <c r="Q259" i="17"/>
  <c r="U259" i="17" s="1"/>
  <c r="Q227" i="17"/>
  <c r="U227" i="17" s="1"/>
  <c r="Q195" i="17"/>
  <c r="U195" i="17" s="1"/>
  <c r="Q163" i="17"/>
  <c r="U163" i="17" s="1"/>
  <c r="Q131" i="17"/>
  <c r="U131" i="17" s="1"/>
  <c r="Q399" i="17"/>
  <c r="U399" i="17" s="1"/>
  <c r="Q367" i="17"/>
  <c r="U367" i="17" s="1"/>
  <c r="Q335" i="17"/>
  <c r="U335" i="17" s="1"/>
  <c r="R303" i="17"/>
  <c r="S303" i="17" s="1"/>
  <c r="R271" i="17"/>
  <c r="S271" i="17" s="1"/>
  <c r="R239" i="17"/>
  <c r="S239" i="17" s="1"/>
  <c r="R207" i="17"/>
  <c r="S207" i="17" s="1"/>
  <c r="R175" i="17"/>
  <c r="S175" i="17" s="1"/>
  <c r="R143" i="17"/>
  <c r="S143" i="17" s="1"/>
  <c r="R111" i="17"/>
  <c r="S111" i="17" s="1"/>
  <c r="R284" i="17"/>
  <c r="S284" i="17" s="1"/>
  <c r="R252" i="17"/>
  <c r="S252" i="17" s="1"/>
  <c r="R220" i="17"/>
  <c r="S220" i="17" s="1"/>
  <c r="R188" i="17"/>
  <c r="S188" i="17" s="1"/>
  <c r="R156" i="17"/>
  <c r="S156" i="17" s="1"/>
  <c r="R124" i="17"/>
  <c r="S124" i="17" s="1"/>
  <c r="Q18" i="17"/>
  <c r="Q43" i="17"/>
  <c r="U43" i="17" s="1"/>
  <c r="Q75" i="17"/>
  <c r="U75" i="17" s="1"/>
  <c r="Q107" i="17"/>
  <c r="U107" i="17" s="1"/>
  <c r="Q30" i="17"/>
  <c r="U30" i="17" s="1"/>
  <c r="Q46" i="17"/>
  <c r="U46" i="17" s="1"/>
  <c r="Q62" i="17"/>
  <c r="U62" i="17" s="1"/>
  <c r="Q78" i="17"/>
  <c r="U78" i="17" s="1"/>
  <c r="Q94" i="17"/>
  <c r="U94" i="17" s="1"/>
  <c r="R14" i="17"/>
  <c r="S14" i="17" s="1"/>
  <c r="R46" i="17"/>
  <c r="S46" i="17" s="1"/>
  <c r="R78" i="17"/>
  <c r="S78" i="17" s="1"/>
  <c r="R622" i="17"/>
  <c r="S622" i="17" s="1"/>
  <c r="Q557" i="17"/>
  <c r="U557" i="17" s="1"/>
  <c r="R504" i="17"/>
  <c r="S504" i="17" s="1"/>
  <c r="R479" i="17"/>
  <c r="S479" i="17" s="1"/>
  <c r="R351" i="17"/>
  <c r="S351" i="17" s="1"/>
  <c r="R554" i="17"/>
  <c r="S554" i="17" s="1"/>
  <c r="Q501" i="17"/>
  <c r="U501" i="17" s="1"/>
  <c r="Q476" i="17"/>
  <c r="U476" i="17" s="1"/>
  <c r="Q348" i="17"/>
  <c r="U348" i="17" s="1"/>
  <c r="R346" i="17"/>
  <c r="S346" i="17" s="1"/>
  <c r="Q282" i="17"/>
  <c r="U282" i="17" s="1"/>
  <c r="Q218" i="17"/>
  <c r="U218" i="17" s="1"/>
  <c r="Q154" i="17"/>
  <c r="U154" i="17" s="1"/>
  <c r="Q295" i="17"/>
  <c r="U295" i="17" s="1"/>
  <c r="Q231" i="17"/>
  <c r="U231" i="17" s="1"/>
  <c r="Q167" i="17"/>
  <c r="U167" i="17" s="1"/>
  <c r="Q403" i="17"/>
  <c r="U403" i="17" s="1"/>
  <c r="Q339" i="17"/>
  <c r="U339" i="17" s="1"/>
  <c r="R275" i="17"/>
  <c r="S275" i="17" s="1"/>
  <c r="R211" i="17"/>
  <c r="S211" i="17" s="1"/>
  <c r="R147" i="17"/>
  <c r="S147" i="17" s="1"/>
  <c r="R288" i="17"/>
  <c r="S288" i="17" s="1"/>
  <c r="R224" i="17"/>
  <c r="S224" i="17" s="1"/>
  <c r="R160" i="17"/>
  <c r="S160" i="17" s="1"/>
  <c r="Q14" i="17"/>
  <c r="U14" i="17" s="1"/>
  <c r="Q71" i="17"/>
  <c r="U71" i="17" s="1"/>
  <c r="Q28" i="17"/>
  <c r="U28" i="17" s="1"/>
  <c r="Q60" i="17"/>
  <c r="U60" i="17" s="1"/>
  <c r="Q92" i="17"/>
  <c r="U92" i="17" s="1"/>
  <c r="R42" i="17"/>
  <c r="S42" i="17" s="1"/>
  <c r="R106" i="17"/>
  <c r="S106" i="17" s="1"/>
  <c r="R488" i="17"/>
  <c r="S488" i="17" s="1"/>
  <c r="R335" i="17"/>
  <c r="S335" i="17" s="1"/>
  <c r="Q485" i="17"/>
  <c r="U485" i="17" s="1"/>
  <c r="Q328" i="17"/>
  <c r="U328" i="17" s="1"/>
  <c r="Q274" i="17"/>
  <c r="U274" i="17" s="1"/>
  <c r="Q146" i="17"/>
  <c r="U146" i="17" s="1"/>
  <c r="Q223" i="17"/>
  <c r="U223" i="17" s="1"/>
  <c r="Q395" i="17"/>
  <c r="U395" i="17" s="1"/>
  <c r="R267" i="17"/>
  <c r="S267" i="17" s="1"/>
  <c r="R139" i="17"/>
  <c r="S139" i="17" s="1"/>
  <c r="R216" i="17"/>
  <c r="S216" i="17" s="1"/>
  <c r="Q15" i="17"/>
  <c r="U15" i="17" s="1"/>
  <c r="Q32" i="17"/>
  <c r="U32" i="17" s="1"/>
  <c r="Q96" i="17"/>
  <c r="U96" i="17" s="1"/>
  <c r="Q626" i="17"/>
  <c r="D636" i="17" s="1"/>
  <c r="R367" i="17"/>
  <c r="S367" i="17" s="1"/>
  <c r="Q364" i="17"/>
  <c r="U364" i="17" s="1"/>
  <c r="Q162" i="17"/>
  <c r="U162" i="17" s="1"/>
  <c r="R416" i="17"/>
  <c r="S416" i="17" s="1"/>
  <c r="R155" i="17"/>
  <c r="S155" i="17" s="1"/>
  <c r="Q117" i="17"/>
  <c r="Q88" i="17"/>
  <c r="U88" i="17" s="1"/>
  <c r="R431" i="17"/>
  <c r="S431" i="17" s="1"/>
  <c r="Q194" i="17"/>
  <c r="U194" i="17" s="1"/>
  <c r="R187" i="17"/>
  <c r="S187" i="17" s="1"/>
  <c r="Q72" i="17"/>
  <c r="U72" i="17" s="1"/>
  <c r="Q258" i="17"/>
  <c r="U258" i="17" s="1"/>
  <c r="Q40" i="17"/>
  <c r="U40" i="17" s="1"/>
  <c r="Q104" i="17"/>
  <c r="U104" i="17" s="1"/>
  <c r="R533" i="17"/>
  <c r="S533" i="17" s="1"/>
  <c r="Q554" i="17"/>
  <c r="U554" i="17" s="1"/>
  <c r="Q586" i="17"/>
  <c r="U586" i="17" s="1"/>
  <c r="Q555" i="17"/>
  <c r="U555" i="17" s="1"/>
  <c r="Q571" i="17"/>
  <c r="U571" i="17" s="1"/>
  <c r="Q587" i="17"/>
  <c r="U587" i="17" s="1"/>
  <c r="R603" i="17"/>
  <c r="S603" i="17" s="1"/>
  <c r="R600" i="17"/>
  <c r="S600" i="17" s="1"/>
  <c r="Q565" i="17"/>
  <c r="U565" i="17" s="1"/>
  <c r="R527" i="17"/>
  <c r="S527" i="17" s="1"/>
  <c r="R512" i="17"/>
  <c r="S512" i="17" s="1"/>
  <c r="R448" i="17"/>
  <c r="S448" i="17" s="1"/>
  <c r="R487" i="17"/>
  <c r="S487" i="17" s="1"/>
  <c r="R423" i="17"/>
  <c r="S423" i="17" s="1"/>
  <c r="R359" i="17"/>
  <c r="S359" i="17" s="1"/>
  <c r="Q607" i="17"/>
  <c r="U607" i="17" s="1"/>
  <c r="R562" i="17"/>
  <c r="S562" i="17" s="1"/>
  <c r="Q524" i="17"/>
  <c r="U524" i="17" s="1"/>
  <c r="Q509" i="17"/>
  <c r="U509" i="17" s="1"/>
  <c r="Q445" i="17"/>
  <c r="U445" i="17" s="1"/>
  <c r="Q484" i="17"/>
  <c r="U484" i="17" s="1"/>
  <c r="Q420" i="17"/>
  <c r="U420" i="17" s="1"/>
  <c r="Q356" i="17"/>
  <c r="U356" i="17" s="1"/>
  <c r="R382" i="17"/>
  <c r="S382" i="17" s="1"/>
  <c r="R350" i="17"/>
  <c r="S350" i="17" s="1"/>
  <c r="R318" i="17"/>
  <c r="S318" i="17" s="1"/>
  <c r="Q286" i="17"/>
  <c r="U286" i="17" s="1"/>
  <c r="Q254" i="17"/>
  <c r="U254" i="17" s="1"/>
  <c r="Q222" i="17"/>
  <c r="U222" i="17" s="1"/>
  <c r="Q190" i="17"/>
  <c r="U190" i="17" s="1"/>
  <c r="Q158" i="17"/>
  <c r="U158" i="17" s="1"/>
  <c r="Q126" i="17"/>
  <c r="U126" i="17" s="1"/>
  <c r="Q299" i="17"/>
  <c r="U299" i="17" s="1"/>
  <c r="Q267" i="17"/>
  <c r="U267" i="17" s="1"/>
  <c r="Q235" i="17"/>
  <c r="U235" i="17" s="1"/>
  <c r="Q203" i="17"/>
  <c r="U203" i="17" s="1"/>
  <c r="Q171" i="17"/>
  <c r="U171" i="17" s="1"/>
  <c r="Q139" i="17"/>
  <c r="U139" i="17" s="1"/>
  <c r="R408" i="17"/>
  <c r="S408" i="17" s="1"/>
  <c r="Q375" i="17"/>
  <c r="U375" i="17" s="1"/>
  <c r="Q343" i="17"/>
  <c r="U343" i="17" s="1"/>
  <c r="R311" i="17"/>
  <c r="S311" i="17" s="1"/>
  <c r="R279" i="17"/>
  <c r="S279" i="17" s="1"/>
  <c r="R247" i="17"/>
  <c r="S247" i="17" s="1"/>
  <c r="R215" i="17"/>
  <c r="S215" i="17" s="1"/>
  <c r="R183" i="17"/>
  <c r="S183" i="17" s="1"/>
  <c r="R151" i="17"/>
  <c r="S151" i="17" s="1"/>
  <c r="R119" i="17"/>
  <c r="S119" i="17" s="1"/>
  <c r="R292" i="17"/>
  <c r="S292" i="17" s="1"/>
  <c r="R260" i="17"/>
  <c r="S260" i="17" s="1"/>
  <c r="R228" i="17"/>
  <c r="S228" i="17" s="1"/>
  <c r="R196" i="17"/>
  <c r="S196" i="17" s="1"/>
  <c r="R164" i="17"/>
  <c r="S164" i="17" s="1"/>
  <c r="R132" i="17"/>
  <c r="S132" i="17" s="1"/>
  <c r="R112" i="17"/>
  <c r="S112" i="17" s="1"/>
  <c r="Q35" i="17"/>
  <c r="U35" i="17" s="1"/>
  <c r="Q67" i="17"/>
  <c r="U67" i="17" s="1"/>
  <c r="Q99" i="17"/>
  <c r="U99" i="17" s="1"/>
  <c r="Q26" i="17"/>
  <c r="U26" i="17" s="1"/>
  <c r="Q42" i="17"/>
  <c r="U42" i="17" s="1"/>
  <c r="Q58" i="17"/>
  <c r="U58" i="17" s="1"/>
  <c r="Q74" i="17"/>
  <c r="U74" i="17" s="1"/>
  <c r="Q90" i="17"/>
  <c r="U90" i="17" s="1"/>
  <c r="Q106" i="17"/>
  <c r="U106" i="17" s="1"/>
  <c r="R38" i="17"/>
  <c r="S38" i="17" s="1"/>
  <c r="R70" i="17"/>
  <c r="S70" i="17" s="1"/>
  <c r="R102" i="17"/>
  <c r="S102" i="17" s="1"/>
  <c r="Q589" i="17"/>
  <c r="U589" i="17" s="1"/>
  <c r="Q535" i="17"/>
  <c r="U535" i="17" s="1"/>
  <c r="R511" i="17"/>
  <c r="S511" i="17" s="1"/>
  <c r="R383" i="17"/>
  <c r="S383" i="17" s="1"/>
  <c r="R586" i="17"/>
  <c r="S586" i="17" s="1"/>
  <c r="R532" i="17"/>
  <c r="S532" i="17" s="1"/>
  <c r="Q508" i="17"/>
  <c r="U508" i="17" s="1"/>
  <c r="Q380" i="17"/>
  <c r="U380" i="17" s="1"/>
  <c r="R362" i="17"/>
  <c r="S362" i="17" s="1"/>
  <c r="Q298" i="17"/>
  <c r="U298" i="17" s="1"/>
  <c r="Q234" i="17"/>
  <c r="U234" i="17" s="1"/>
  <c r="Q170" i="17"/>
  <c r="U170" i="17" s="1"/>
  <c r="Q311" i="17"/>
  <c r="U311" i="17" s="1"/>
  <c r="Q247" i="17"/>
  <c r="U247" i="17" s="1"/>
  <c r="Q183" i="17"/>
  <c r="U183" i="17" s="1"/>
  <c r="Q330" i="17"/>
  <c r="Q355" i="17"/>
  <c r="U355" i="17" s="1"/>
  <c r="R291" i="17"/>
  <c r="S291" i="17" s="1"/>
  <c r="R227" i="17"/>
  <c r="S227" i="17" s="1"/>
  <c r="R163" i="17"/>
  <c r="S163" i="17" s="1"/>
  <c r="R304" i="17"/>
  <c r="S304" i="17" s="1"/>
  <c r="R240" i="17"/>
  <c r="S240" i="17" s="1"/>
  <c r="R176" i="17"/>
  <c r="S176" i="17" s="1"/>
  <c r="Q115" i="17"/>
  <c r="U115" i="17" s="1"/>
  <c r="Q55" i="17"/>
  <c r="U55" i="17" s="1"/>
  <c r="Q20" i="17"/>
  <c r="U20" i="17" s="1"/>
  <c r="Q52" i="17"/>
  <c r="U52" i="17" s="1"/>
  <c r="Q84" i="17"/>
  <c r="U84" i="17" s="1"/>
  <c r="R26" i="17"/>
  <c r="S26" i="17" s="1"/>
  <c r="R90" i="17"/>
  <c r="S90" i="17" s="1"/>
  <c r="R559" i="17"/>
  <c r="S559" i="17" s="1"/>
  <c r="R399" i="17"/>
  <c r="S399" i="17" s="1"/>
  <c r="R553" i="17"/>
  <c r="S553" i="17" s="1"/>
  <c r="Q396" i="17"/>
  <c r="U396" i="17" s="1"/>
  <c r="Q306" i="17"/>
  <c r="U306" i="17" s="1"/>
  <c r="Q178" i="17"/>
  <c r="U178" i="17" s="1"/>
  <c r="Q255" i="17"/>
  <c r="U255" i="17" s="1"/>
  <c r="Q127" i="17"/>
  <c r="U127" i="17" s="1"/>
  <c r="R299" i="17"/>
  <c r="S299" i="17" s="1"/>
  <c r="R171" i="17"/>
  <c r="S171" i="17" s="1"/>
  <c r="R248" i="17"/>
  <c r="S248" i="17" s="1"/>
  <c r="R120" i="17"/>
  <c r="S120" i="17" s="1"/>
  <c r="R13" i="17"/>
  <c r="S13" i="17" s="1"/>
  <c r="Q80" i="17"/>
  <c r="U80" i="17" s="1"/>
  <c r="R82" i="17"/>
  <c r="S82" i="17" s="1"/>
  <c r="R495" i="17"/>
  <c r="S495" i="17" s="1"/>
  <c r="Q492" i="17"/>
  <c r="U492" i="17" s="1"/>
  <c r="Q226" i="17"/>
  <c r="U226" i="17" s="1"/>
  <c r="Q175" i="17"/>
  <c r="U175" i="17" s="1"/>
  <c r="R219" i="17"/>
  <c r="S219" i="17" s="1"/>
  <c r="R168" i="17"/>
  <c r="S168" i="17" s="1"/>
  <c r="Q56" i="17"/>
  <c r="U56" i="17" s="1"/>
  <c r="R535" i="17"/>
  <c r="S535" i="17" s="1"/>
  <c r="R322" i="17"/>
  <c r="S322" i="17" s="1"/>
  <c r="Q315" i="17"/>
  <c r="U315" i="17" s="1"/>
  <c r="Q95" i="17"/>
  <c r="U95" i="17" s="1"/>
  <c r="Q453" i="17"/>
  <c r="U453" i="17" s="1"/>
  <c r="R200" i="17"/>
  <c r="S200" i="17" s="1"/>
  <c r="R123" i="17"/>
  <c r="S123" i="17" s="1"/>
  <c r="Q379" i="17"/>
  <c r="U379" i="17" s="1"/>
  <c r="R606" i="17"/>
  <c r="S606" i="17" s="1"/>
  <c r="Q593" i="17"/>
  <c r="U593" i="17" s="1"/>
  <c r="Q561" i="17"/>
  <c r="U561" i="17" s="1"/>
  <c r="Q566" i="17"/>
  <c r="U566" i="17" s="1"/>
  <c r="R523" i="17"/>
  <c r="S523" i="17" s="1"/>
  <c r="Q539" i="17"/>
  <c r="U539" i="17" s="1"/>
  <c r="R508" i="17"/>
  <c r="S508" i="17" s="1"/>
  <c r="R476" i="17"/>
  <c r="S476" i="17" s="1"/>
  <c r="R444" i="17"/>
  <c r="S444" i="17" s="1"/>
  <c r="R515" i="17"/>
  <c r="S515" i="17" s="1"/>
  <c r="R483" i="17"/>
  <c r="S483" i="17" s="1"/>
  <c r="R451" i="17"/>
  <c r="S451" i="17" s="1"/>
  <c r="R419" i="17"/>
  <c r="S419" i="17" s="1"/>
  <c r="R387" i="17"/>
  <c r="S387" i="17" s="1"/>
  <c r="R355" i="17"/>
  <c r="S355" i="17" s="1"/>
  <c r="R323" i="17"/>
  <c r="S323" i="17" s="1"/>
  <c r="Q603" i="17"/>
  <c r="U603" i="17" s="1"/>
  <c r="R590" i="17"/>
  <c r="S590" i="17" s="1"/>
  <c r="R558" i="17"/>
  <c r="S558" i="17" s="1"/>
  <c r="Q560" i="17"/>
  <c r="U560" i="17" s="1"/>
  <c r="R593" i="17"/>
  <c r="S593" i="17" s="1"/>
  <c r="R536" i="17"/>
  <c r="S536" i="17" s="1"/>
  <c r="Q505" i="17"/>
  <c r="U505" i="17" s="1"/>
  <c r="Q473" i="17"/>
  <c r="U473" i="17" s="1"/>
  <c r="Q441" i="17"/>
  <c r="U441" i="17" s="1"/>
  <c r="Q512" i="17"/>
  <c r="U512" i="17" s="1"/>
  <c r="Q480" i="17"/>
  <c r="U480" i="17" s="1"/>
  <c r="Q448" i="17"/>
  <c r="U448" i="17" s="1"/>
  <c r="Q416" i="17"/>
  <c r="U416" i="17" s="1"/>
  <c r="Q384" i="17"/>
  <c r="U384" i="17" s="1"/>
  <c r="Q352" i="17"/>
  <c r="U352" i="17" s="1"/>
  <c r="R406" i="17"/>
  <c r="S406" i="17" s="1"/>
  <c r="R380" i="17"/>
  <c r="S380" i="17" s="1"/>
  <c r="R364" i="17"/>
  <c r="S364" i="17" s="1"/>
  <c r="R348" i="17"/>
  <c r="S348" i="17" s="1"/>
  <c r="R332" i="17"/>
  <c r="S332" i="17" s="1"/>
  <c r="R316" i="17"/>
  <c r="S316" i="17" s="1"/>
  <c r="Q300" i="17"/>
  <c r="Q284" i="17"/>
  <c r="U284" i="17" s="1"/>
  <c r="Q268" i="17"/>
  <c r="U268" i="17" s="1"/>
  <c r="Q252" i="17"/>
  <c r="U252" i="17" s="1"/>
  <c r="Q236" i="17"/>
  <c r="U236" i="17" s="1"/>
  <c r="Q220" i="17"/>
  <c r="U220" i="17" s="1"/>
  <c r="Q204" i="17"/>
  <c r="U204" i="17" s="1"/>
  <c r="Q188" i="17"/>
  <c r="U188" i="17" s="1"/>
  <c r="Q172" i="17"/>
  <c r="U172" i="17" s="1"/>
  <c r="Q156" i="17"/>
  <c r="U156" i="17" s="1"/>
  <c r="Q140" i="17"/>
  <c r="U140" i="17" s="1"/>
  <c r="Q124" i="17"/>
  <c r="U124" i="17" s="1"/>
  <c r="Q313" i="17"/>
  <c r="U313" i="17" s="1"/>
  <c r="Q297" i="17"/>
  <c r="U297" i="17" s="1"/>
  <c r="Q281" i="17"/>
  <c r="U281" i="17" s="1"/>
  <c r="Q265" i="17"/>
  <c r="U265" i="17" s="1"/>
  <c r="Q249" i="17"/>
  <c r="U249" i="17" s="1"/>
  <c r="Q233" i="17"/>
  <c r="U233" i="17" s="1"/>
  <c r="Q217" i="17"/>
  <c r="U217" i="17" s="1"/>
  <c r="Q201" i="17"/>
  <c r="U201" i="17" s="1"/>
  <c r="Q185" i="17"/>
  <c r="U185" i="17" s="1"/>
  <c r="Q169" i="17"/>
  <c r="U169" i="17" s="1"/>
  <c r="Q153" i="17"/>
  <c r="U153" i="17" s="1"/>
  <c r="Q137" i="17"/>
  <c r="U137" i="17" s="1"/>
  <c r="Q334" i="17"/>
  <c r="U334" i="17" s="1"/>
  <c r="Q405" i="17"/>
  <c r="U405" i="17" s="1"/>
  <c r="Q389" i="17"/>
  <c r="U389" i="17" s="1"/>
  <c r="Q373" i="17"/>
  <c r="U373" i="17" s="1"/>
  <c r="Q357" i="17"/>
  <c r="U357" i="17" s="1"/>
  <c r="Q341" i="17"/>
  <c r="U341" i="17" s="1"/>
  <c r="Q325" i="17"/>
  <c r="U325" i="17" s="1"/>
  <c r="R309" i="17"/>
  <c r="S309" i="17" s="1"/>
  <c r="R293" i="17"/>
  <c r="S293" i="17" s="1"/>
  <c r="R277" i="17"/>
  <c r="S277" i="17" s="1"/>
  <c r="R261" i="17"/>
  <c r="S261" i="17" s="1"/>
  <c r="R245" i="17"/>
  <c r="S245" i="17" s="1"/>
  <c r="R229" i="17"/>
  <c r="S229" i="17" s="1"/>
  <c r="R213" i="17"/>
  <c r="S213" i="17" s="1"/>
  <c r="R197" i="17"/>
  <c r="S197" i="17" s="1"/>
  <c r="R181" i="17"/>
  <c r="S181" i="17" s="1"/>
  <c r="R165" i="17"/>
  <c r="S165" i="17" s="1"/>
  <c r="R149" i="17"/>
  <c r="S149" i="17" s="1"/>
  <c r="R133" i="17"/>
  <c r="S133" i="17" s="1"/>
  <c r="R117" i="17"/>
  <c r="S117" i="17" s="1"/>
  <c r="R306" i="17"/>
  <c r="S306" i="17" s="1"/>
  <c r="R290" i="17"/>
  <c r="S290" i="17" s="1"/>
  <c r="R274" i="17"/>
  <c r="S274" i="17" s="1"/>
  <c r="R258" i="17"/>
  <c r="S258" i="17" s="1"/>
  <c r="R242" i="17"/>
  <c r="S242" i="17" s="1"/>
  <c r="R226" i="17"/>
  <c r="S226" i="17" s="1"/>
  <c r="R210" i="17"/>
  <c r="S210" i="17" s="1"/>
  <c r="R194" i="17"/>
  <c r="S194" i="17" s="1"/>
  <c r="R178" i="17"/>
  <c r="S178" i="17" s="1"/>
  <c r="R162" i="17"/>
  <c r="S162" i="17" s="1"/>
  <c r="R146" i="17"/>
  <c r="S146" i="17" s="1"/>
  <c r="R130" i="17"/>
  <c r="S130" i="17" s="1"/>
  <c r="Q119" i="17"/>
  <c r="U119" i="17" s="1"/>
  <c r="R110" i="17"/>
  <c r="S110" i="17" s="1"/>
  <c r="Q21" i="17"/>
  <c r="U21" i="17" s="1"/>
  <c r="Q37" i="17"/>
  <c r="U37" i="17" s="1"/>
  <c r="Q53" i="17"/>
  <c r="U53" i="17" s="1"/>
  <c r="Q69" i="17"/>
  <c r="U69" i="17" s="1"/>
  <c r="Q85" i="17"/>
  <c r="U85" i="17" s="1"/>
  <c r="Q101" i="17"/>
  <c r="U101" i="17" s="1"/>
  <c r="R19" i="17"/>
  <c r="S19" i="17" s="1"/>
  <c r="R27" i="17"/>
  <c r="S27" i="17" s="1"/>
  <c r="R35" i="17"/>
  <c r="S35" i="17" s="1"/>
  <c r="R43" i="17"/>
  <c r="S43" i="17" s="1"/>
  <c r="R51" i="17"/>
  <c r="S51" i="17" s="1"/>
  <c r="R59" i="17"/>
  <c r="S59" i="17" s="1"/>
  <c r="R67" i="17"/>
  <c r="S67" i="17" s="1"/>
  <c r="R75" i="17"/>
  <c r="S75" i="17" s="1"/>
  <c r="R83" i="17"/>
  <c r="S83" i="17" s="1"/>
  <c r="R91" i="17"/>
  <c r="S91" i="17" s="1"/>
  <c r="R99" i="17"/>
  <c r="S99" i="17" s="1"/>
  <c r="R107" i="17"/>
  <c r="S107" i="17" s="1"/>
  <c r="R24" i="17"/>
  <c r="S24" i="17" s="1"/>
  <c r="R40" i="17"/>
  <c r="S40" i="17" s="1"/>
  <c r="R56" i="17"/>
  <c r="S56" i="17" s="1"/>
  <c r="R72" i="17"/>
  <c r="S72" i="17" s="1"/>
  <c r="R88" i="17"/>
  <c r="S88" i="17" s="1"/>
  <c r="R104" i="17"/>
  <c r="S104" i="17" s="1"/>
  <c r="R623" i="17"/>
  <c r="S623" i="17" s="1"/>
  <c r="R400" i="17"/>
  <c r="S400" i="17" s="1"/>
  <c r="Q324" i="17"/>
  <c r="U324" i="17" s="1"/>
  <c r="Q346" i="17"/>
  <c r="U346" i="17" s="1"/>
  <c r="Q362" i="17"/>
  <c r="U362" i="17" s="1"/>
  <c r="Q378" i="17"/>
  <c r="U378" i="17" s="1"/>
  <c r="Q394" i="17"/>
  <c r="U394" i="17" s="1"/>
  <c r="Q410" i="17"/>
  <c r="U410" i="17" s="1"/>
  <c r="Q426" i="17"/>
  <c r="U426" i="17" s="1"/>
  <c r="Q442" i="17"/>
  <c r="U442" i="17" s="1"/>
  <c r="Q458" i="17"/>
  <c r="U458" i="17" s="1"/>
  <c r="Q474" i="17"/>
  <c r="U474" i="17" s="1"/>
  <c r="Q490" i="17"/>
  <c r="U490" i="17" s="1"/>
  <c r="Q506" i="17"/>
  <c r="U506" i="17" s="1"/>
  <c r="Q419" i="17"/>
  <c r="U419" i="17" s="1"/>
  <c r="Q435" i="17"/>
  <c r="U435" i="17" s="1"/>
  <c r="Q451" i="17"/>
  <c r="U451" i="17" s="1"/>
  <c r="Q467" i="17"/>
  <c r="U467" i="17" s="1"/>
  <c r="Q483" i="17"/>
  <c r="U483" i="17" s="1"/>
  <c r="Q499" i="17"/>
  <c r="U499" i="17" s="1"/>
  <c r="Q515" i="17"/>
  <c r="U515" i="17" s="1"/>
  <c r="R530" i="17"/>
  <c r="S530" i="17" s="1"/>
  <c r="R549" i="17"/>
  <c r="S549" i="17" s="1"/>
  <c r="R581" i="17"/>
  <c r="S581" i="17" s="1"/>
  <c r="Q530" i="17"/>
  <c r="U530" i="17" s="1"/>
  <c r="Q548" i="17"/>
  <c r="U548" i="17" s="1"/>
  <c r="Q580" i="17"/>
  <c r="U580" i="17" s="1"/>
  <c r="R552" i="17"/>
  <c r="S552" i="17" s="1"/>
  <c r="R568" i="17"/>
  <c r="S568" i="17" s="1"/>
  <c r="R584" i="17"/>
  <c r="S584" i="17" s="1"/>
  <c r="Q600" i="17"/>
  <c r="U600" i="17" s="1"/>
  <c r="Q597" i="17"/>
  <c r="U597" i="17" s="1"/>
  <c r="Q613" i="17"/>
  <c r="R317" i="17"/>
  <c r="S317" i="17" s="1"/>
  <c r="R333" i="17"/>
  <c r="S333" i="17" s="1"/>
  <c r="R349" i="17"/>
  <c r="S349" i="17" s="1"/>
  <c r="R365" i="17"/>
  <c r="S365" i="17" s="1"/>
  <c r="R381" i="17"/>
  <c r="S381" i="17" s="1"/>
  <c r="R397" i="17"/>
  <c r="S397" i="17" s="1"/>
  <c r="R413" i="17"/>
  <c r="S413" i="17" s="1"/>
  <c r="R429" i="17"/>
  <c r="S429" i="17" s="1"/>
  <c r="R445" i="17"/>
  <c r="S445" i="17" s="1"/>
  <c r="R461" i="17"/>
  <c r="S461" i="17" s="1"/>
  <c r="R477" i="17"/>
  <c r="S477" i="17" s="1"/>
  <c r="R493" i="17"/>
  <c r="S493" i="17" s="1"/>
  <c r="R509" i="17"/>
  <c r="S509" i="17" s="1"/>
  <c r="R422" i="17"/>
  <c r="S422" i="17" s="1"/>
  <c r="R438" i="17"/>
  <c r="S438" i="17" s="1"/>
  <c r="R454" i="17"/>
  <c r="S454" i="17" s="1"/>
  <c r="R470" i="17"/>
  <c r="S470" i="17" s="1"/>
  <c r="R486" i="17"/>
  <c r="S486" i="17" s="1"/>
  <c r="R502" i="17"/>
  <c r="S502" i="17" s="1"/>
  <c r="R519" i="17"/>
  <c r="S519" i="17" s="1"/>
  <c r="Q533" i="17"/>
  <c r="U533" i="17" s="1"/>
  <c r="R555" i="17"/>
  <c r="S555" i="17" s="1"/>
  <c r="R587" i="17"/>
  <c r="S587" i="17" s="1"/>
  <c r="R598" i="17"/>
  <c r="S598" i="17" s="1"/>
  <c r="Q585" i="17"/>
  <c r="U585" i="17" s="1"/>
  <c r="Q553" i="17"/>
  <c r="U553" i="17" s="1"/>
  <c r="Q550" i="17"/>
  <c r="U550" i="17" s="1"/>
  <c r="R583" i="17"/>
  <c r="S583" i="17" s="1"/>
  <c r="Q531" i="17"/>
  <c r="U531" i="17" s="1"/>
  <c r="R500" i="17"/>
  <c r="S500" i="17" s="1"/>
  <c r="R468" i="17"/>
  <c r="S468" i="17" s="1"/>
  <c r="R436" i="17"/>
  <c r="S436" i="17" s="1"/>
  <c r="R507" i="17"/>
  <c r="S507" i="17" s="1"/>
  <c r="R475" i="17"/>
  <c r="S475" i="17" s="1"/>
  <c r="R443" i="17"/>
  <c r="S443" i="17" s="1"/>
  <c r="R411" i="17"/>
  <c r="S411" i="17" s="1"/>
  <c r="R379" i="17"/>
  <c r="S379" i="17" s="1"/>
  <c r="R347" i="17"/>
  <c r="S347" i="17" s="1"/>
  <c r="R315" i="17"/>
  <c r="S315" i="17" s="1"/>
  <c r="Q595" i="17"/>
  <c r="U595" i="17" s="1"/>
  <c r="R582" i="17"/>
  <c r="S582" i="17" s="1"/>
  <c r="R550" i="17"/>
  <c r="S550" i="17" s="1"/>
  <c r="Q544" i="17"/>
  <c r="U544" i="17" s="1"/>
  <c r="R577" i="17"/>
  <c r="S577" i="17" s="1"/>
  <c r="R528" i="17"/>
  <c r="S528" i="17" s="1"/>
  <c r="Q497" i="17"/>
  <c r="U497" i="17" s="1"/>
  <c r="Q465" i="17"/>
  <c r="U465" i="17" s="1"/>
  <c r="Q433" i="17"/>
  <c r="U433" i="17" s="1"/>
  <c r="Q504" i="17"/>
  <c r="U504" i="17" s="1"/>
  <c r="Q472" i="17"/>
  <c r="U472" i="17" s="1"/>
  <c r="Q440" i="17"/>
  <c r="U440" i="17" s="1"/>
  <c r="Q408" i="17"/>
  <c r="U408" i="17" s="1"/>
  <c r="Q376" i="17"/>
  <c r="U376" i="17" s="1"/>
  <c r="Q344" i="17"/>
  <c r="U344" i="17" s="1"/>
  <c r="R398" i="17"/>
  <c r="S398" i="17" s="1"/>
  <c r="R376" i="17"/>
  <c r="S376" i="17" s="1"/>
  <c r="R360" i="17"/>
  <c r="S360" i="17" s="1"/>
  <c r="R344" i="17"/>
  <c r="S344" i="17" s="1"/>
  <c r="R328" i="17"/>
  <c r="S328" i="17" s="1"/>
  <c r="Q312" i="17"/>
  <c r="U312" i="17" s="1"/>
  <c r="Q296" i="17"/>
  <c r="U296" i="17" s="1"/>
  <c r="Q280" i="17"/>
  <c r="U280" i="17" s="1"/>
  <c r="Q264" i="17"/>
  <c r="U264" i="17" s="1"/>
  <c r="Q248" i="17"/>
  <c r="U248" i="17" s="1"/>
  <c r="Q232" i="17"/>
  <c r="U232" i="17" s="1"/>
  <c r="Q216" i="17"/>
  <c r="U216" i="17" s="1"/>
  <c r="Q200" i="17"/>
  <c r="U200" i="17" s="1"/>
  <c r="Q184" i="17"/>
  <c r="U184" i="17" s="1"/>
  <c r="Q168" i="17"/>
  <c r="U168" i="17" s="1"/>
  <c r="Q152" i="17"/>
  <c r="U152" i="17" s="1"/>
  <c r="Q136" i="17"/>
  <c r="U136" i="17" s="1"/>
  <c r="Q120" i="17"/>
  <c r="U120" i="17" s="1"/>
  <c r="Q309" i="17"/>
  <c r="U309" i="17" s="1"/>
  <c r="Q293" i="17"/>
  <c r="Q277" i="17"/>
  <c r="U277" i="17" s="1"/>
  <c r="Q261" i="17"/>
  <c r="U261" i="17" s="1"/>
  <c r="Q245" i="17"/>
  <c r="U245" i="17" s="1"/>
  <c r="Q229" i="17"/>
  <c r="U229" i="17" s="1"/>
  <c r="Q213" i="17"/>
  <c r="U213" i="17" s="1"/>
  <c r="Q197" i="17"/>
  <c r="U197" i="17" s="1"/>
  <c r="Q181" i="17"/>
  <c r="U181" i="17" s="1"/>
  <c r="Q165" i="17"/>
  <c r="U165" i="17" s="1"/>
  <c r="Q149" i="17"/>
  <c r="U149" i="17" s="1"/>
  <c r="Q133" i="17"/>
  <c r="U133" i="17" s="1"/>
  <c r="Q326" i="17"/>
  <c r="U326" i="17" s="1"/>
  <c r="Q401" i="17"/>
  <c r="U401" i="17" s="1"/>
  <c r="Q385" i="17"/>
  <c r="U385" i="17" s="1"/>
  <c r="Q369" i="17"/>
  <c r="U369" i="17" s="1"/>
  <c r="Q353" i="17"/>
  <c r="U353" i="17" s="1"/>
  <c r="Q337" i="17"/>
  <c r="U337" i="17" s="1"/>
  <c r="Q321" i="17"/>
  <c r="U321" i="17" s="1"/>
  <c r="R305" i="17"/>
  <c r="S305" i="17" s="1"/>
  <c r="R289" i="17"/>
  <c r="S289" i="17" s="1"/>
  <c r="R273" i="17"/>
  <c r="S273" i="17" s="1"/>
  <c r="R257" i="17"/>
  <c r="S257" i="17" s="1"/>
  <c r="R241" i="17"/>
  <c r="S241" i="17" s="1"/>
  <c r="R225" i="17"/>
  <c r="S225" i="17" s="1"/>
  <c r="R209" i="17"/>
  <c r="S209" i="17" s="1"/>
  <c r="R193" i="17"/>
  <c r="S193" i="17" s="1"/>
  <c r="R177" i="17"/>
  <c r="S177" i="17" s="1"/>
  <c r="R161" i="17"/>
  <c r="S161" i="17" s="1"/>
  <c r="R145" i="17"/>
  <c r="S145" i="17" s="1"/>
  <c r="R129" i="17"/>
  <c r="S129" i="17" s="1"/>
  <c r="R113" i="17"/>
  <c r="S113" i="17" s="1"/>
  <c r="R302" i="17"/>
  <c r="S302" i="17" s="1"/>
  <c r="R286" i="17"/>
  <c r="S286" i="17" s="1"/>
  <c r="R270" i="17"/>
  <c r="S270" i="17" s="1"/>
  <c r="R254" i="17"/>
  <c r="S254" i="17" s="1"/>
  <c r="R238" i="17"/>
  <c r="S238" i="17" s="1"/>
  <c r="R222" i="17"/>
  <c r="S222" i="17" s="1"/>
  <c r="R206" i="17"/>
  <c r="S206" i="17" s="1"/>
  <c r="R190" i="17"/>
  <c r="S190" i="17" s="1"/>
  <c r="R174" i="17"/>
  <c r="S174" i="17" s="1"/>
  <c r="R158" i="17"/>
  <c r="S158" i="17" s="1"/>
  <c r="R142" i="17"/>
  <c r="S142" i="17" s="1"/>
  <c r="R126" i="17"/>
  <c r="S126" i="17" s="1"/>
  <c r="Q113" i="17"/>
  <c r="U113" i="17" s="1"/>
  <c r="Q16" i="17"/>
  <c r="U16" i="17" s="1"/>
  <c r="Q25" i="17"/>
  <c r="U25" i="17" s="1"/>
  <c r="Q41" i="17"/>
  <c r="U41" i="17" s="1"/>
  <c r="Q57" i="17"/>
  <c r="U57" i="17" s="1"/>
  <c r="Q73" i="17"/>
  <c r="U73" i="17" s="1"/>
  <c r="Q89" i="17"/>
  <c r="U89" i="17" s="1"/>
  <c r="Q105" i="17"/>
  <c r="U105" i="17" s="1"/>
  <c r="R21" i="17"/>
  <c r="S21" i="17" s="1"/>
  <c r="R29" i="17"/>
  <c r="S29" i="17" s="1"/>
  <c r="R37" i="17"/>
  <c r="S37" i="17" s="1"/>
  <c r="R45" i="17"/>
  <c r="S45" i="17" s="1"/>
  <c r="R53" i="17"/>
  <c r="S53" i="17" s="1"/>
  <c r="R61" i="17"/>
  <c r="S61" i="17" s="1"/>
  <c r="R69" i="17"/>
  <c r="S69" i="17" s="1"/>
  <c r="R77" i="17"/>
  <c r="S77" i="17" s="1"/>
  <c r="R85" i="17"/>
  <c r="S85" i="17" s="1"/>
  <c r="R93" i="17"/>
  <c r="S93" i="17" s="1"/>
  <c r="R101" i="17"/>
  <c r="S101" i="17" s="1"/>
  <c r="R109" i="17"/>
  <c r="S109" i="17" s="1"/>
  <c r="R28" i="17"/>
  <c r="S28" i="17" s="1"/>
  <c r="R44" i="17"/>
  <c r="S44" i="17" s="1"/>
  <c r="R60" i="17"/>
  <c r="S60" i="17" s="1"/>
  <c r="R76" i="17"/>
  <c r="S76" i="17" s="1"/>
  <c r="R92" i="17"/>
  <c r="S92" i="17" s="1"/>
  <c r="R108" i="17"/>
  <c r="S108" i="17" s="1"/>
  <c r="R388" i="17"/>
  <c r="S388" i="17" s="1"/>
  <c r="R404" i="17"/>
  <c r="S404" i="17" s="1"/>
  <c r="Q332" i="17"/>
  <c r="U332" i="17" s="1"/>
  <c r="Q350" i="17"/>
  <c r="U350" i="17" s="1"/>
  <c r="Q366" i="17"/>
  <c r="U366" i="17" s="1"/>
  <c r="Q382" i="17"/>
  <c r="U382" i="17" s="1"/>
  <c r="Q398" i="17"/>
  <c r="U398" i="17" s="1"/>
  <c r="Q414" i="17"/>
  <c r="U414" i="17" s="1"/>
  <c r="Q430" i="17"/>
  <c r="Q446" i="17"/>
  <c r="U446" i="17" s="1"/>
  <c r="Q462" i="17"/>
  <c r="U462" i="17" s="1"/>
  <c r="Q478" i="17"/>
  <c r="U478" i="17" s="1"/>
  <c r="Q494" i="17"/>
  <c r="U494" i="17" s="1"/>
  <c r="Q510" i="17"/>
  <c r="U510" i="17" s="1"/>
  <c r="Q423" i="17"/>
  <c r="U423" i="17" s="1"/>
  <c r="Q439" i="17"/>
  <c r="U439" i="17" s="1"/>
  <c r="Q455" i="17"/>
  <c r="U455" i="17" s="1"/>
  <c r="Q471" i="17"/>
  <c r="U471" i="17" s="1"/>
  <c r="Q487" i="17"/>
  <c r="Q503" i="17"/>
  <c r="U503" i="17" s="1"/>
  <c r="R518" i="17"/>
  <c r="S518" i="17" s="1"/>
  <c r="R534" i="17"/>
  <c r="S534" i="17" s="1"/>
  <c r="R557" i="17"/>
  <c r="S557" i="17" s="1"/>
  <c r="R589" i="17"/>
  <c r="S589" i="17" s="1"/>
  <c r="Q534" i="17"/>
  <c r="U534" i="17" s="1"/>
  <c r="Q556" i="17"/>
  <c r="U556" i="17" s="1"/>
  <c r="Q588" i="17"/>
  <c r="U588" i="17" s="1"/>
  <c r="R556" i="17"/>
  <c r="S556" i="17" s="1"/>
  <c r="R572" i="17"/>
  <c r="S572" i="17" s="1"/>
  <c r="R588" i="17"/>
  <c r="S588" i="17" s="1"/>
  <c r="Q604" i="17"/>
  <c r="U604" i="17" s="1"/>
  <c r="Q601" i="17"/>
  <c r="U601" i="17" s="1"/>
  <c r="Q407" i="17"/>
  <c r="U407" i="17" s="1"/>
  <c r="R321" i="17"/>
  <c r="S321" i="17" s="1"/>
  <c r="R337" i="17"/>
  <c r="S337" i="17" s="1"/>
  <c r="R353" i="17"/>
  <c r="S353" i="17" s="1"/>
  <c r="R369" i="17"/>
  <c r="S369" i="17" s="1"/>
  <c r="R385" i="17"/>
  <c r="S385" i="17" s="1"/>
  <c r="R401" i="17"/>
  <c r="S401" i="17" s="1"/>
  <c r="R417" i="17"/>
  <c r="S417" i="17" s="1"/>
  <c r="R433" i="17"/>
  <c r="S433" i="17" s="1"/>
  <c r="R449" i="17"/>
  <c r="S449" i="17" s="1"/>
  <c r="R465" i="17"/>
  <c r="S465" i="17" s="1"/>
  <c r="R481" i="17"/>
  <c r="S481" i="17" s="1"/>
  <c r="R497" i="17"/>
  <c r="S497" i="17" s="1"/>
  <c r="R513" i="17"/>
  <c r="S513" i="17" s="1"/>
  <c r="R426" i="17"/>
  <c r="S426" i="17" s="1"/>
  <c r="R442" i="17"/>
  <c r="S442" i="17" s="1"/>
  <c r="R458" i="17"/>
  <c r="S458" i="17" s="1"/>
  <c r="R474" i="17"/>
  <c r="S474" i="17" s="1"/>
  <c r="R490" i="17"/>
  <c r="S490" i="17" s="1"/>
  <c r="R506" i="17"/>
  <c r="S506" i="17" s="1"/>
  <c r="Q521" i="17"/>
  <c r="U521" i="17" s="1"/>
  <c r="Q537" i="17"/>
  <c r="U537" i="17" s="1"/>
  <c r="R563" i="17"/>
  <c r="S563" i="17" s="1"/>
  <c r="R525" i="17"/>
  <c r="S525" i="17" s="1"/>
  <c r="R529" i="17"/>
  <c r="S529" i="17" s="1"/>
  <c r="Q546" i="17"/>
  <c r="U546" i="17" s="1"/>
  <c r="Q578" i="17"/>
  <c r="U578" i="17" s="1"/>
  <c r="Q551" i="17"/>
  <c r="U551" i="17" s="1"/>
  <c r="Q567" i="17"/>
  <c r="U567" i="17" s="1"/>
  <c r="Q583" i="17"/>
  <c r="U583" i="17" s="1"/>
  <c r="R599" i="17"/>
  <c r="S599" i="17" s="1"/>
  <c r="R596" i="17"/>
  <c r="S596" i="17" s="1"/>
  <c r="R612" i="17"/>
  <c r="S612" i="17" s="1"/>
  <c r="Q581" i="17"/>
  <c r="U581" i="17" s="1"/>
  <c r="R543" i="17"/>
  <c r="S543" i="17" s="1"/>
  <c r="Q527" i="17"/>
  <c r="U527" i="17" s="1"/>
  <c r="R464" i="17"/>
  <c r="S464" i="17" s="1"/>
  <c r="R503" i="17"/>
  <c r="S503" i="17" s="1"/>
  <c r="R439" i="17"/>
  <c r="S439" i="17" s="1"/>
  <c r="R375" i="17"/>
  <c r="S375" i="17" s="1"/>
  <c r="Q413" i="17"/>
  <c r="U413" i="17" s="1"/>
  <c r="R578" i="17"/>
  <c r="S578" i="17" s="1"/>
  <c r="Q540" i="17"/>
  <c r="U540" i="17" s="1"/>
  <c r="R524" i="17"/>
  <c r="S524" i="17" s="1"/>
  <c r="Q461" i="17"/>
  <c r="U461" i="17" s="1"/>
  <c r="Q500" i="17"/>
  <c r="U500" i="17" s="1"/>
  <c r="Q436" i="17"/>
  <c r="U436" i="17" s="1"/>
  <c r="Q372" i="17"/>
  <c r="U372" i="17" s="1"/>
  <c r="R394" i="17"/>
  <c r="S394" i="17" s="1"/>
  <c r="R358" i="17"/>
  <c r="S358" i="17" s="1"/>
  <c r="R326" i="17"/>
  <c r="S326" i="17" s="1"/>
  <c r="Q294" i="17"/>
  <c r="U294" i="17" s="1"/>
  <c r="Q262" i="17"/>
  <c r="U262" i="17" s="1"/>
  <c r="Q230" i="17"/>
  <c r="U230" i="17" s="1"/>
  <c r="Q198" i="17"/>
  <c r="U198" i="17" s="1"/>
  <c r="Q166" i="17"/>
  <c r="U166" i="17" s="1"/>
  <c r="Q134" i="17"/>
  <c r="U134" i="17" s="1"/>
  <c r="Q307" i="17"/>
  <c r="U307" i="17" s="1"/>
  <c r="Q275" i="17"/>
  <c r="U275" i="17" s="1"/>
  <c r="Q243" i="17"/>
  <c r="U243" i="17" s="1"/>
  <c r="Q211" i="17"/>
  <c r="U211" i="17" s="1"/>
  <c r="Q179" i="17"/>
  <c r="U179" i="17" s="1"/>
  <c r="Q147" i="17"/>
  <c r="U147" i="17" s="1"/>
  <c r="Q322" i="17"/>
  <c r="U322" i="17" s="1"/>
  <c r="Q383" i="17"/>
  <c r="U383" i="17" s="1"/>
  <c r="Q351" i="17"/>
  <c r="U351" i="17" s="1"/>
  <c r="Q319" i="17"/>
  <c r="U319" i="17" s="1"/>
  <c r="R287" i="17"/>
  <c r="S287" i="17" s="1"/>
  <c r="R255" i="17"/>
  <c r="S255" i="17" s="1"/>
  <c r="R223" i="17"/>
  <c r="S223" i="17" s="1"/>
  <c r="R191" i="17"/>
  <c r="S191" i="17" s="1"/>
  <c r="R159" i="17"/>
  <c r="S159" i="17" s="1"/>
  <c r="R127" i="17"/>
  <c r="S127" i="17" s="1"/>
  <c r="R300" i="17"/>
  <c r="S300" i="17" s="1"/>
  <c r="R268" i="17"/>
  <c r="S268" i="17" s="1"/>
  <c r="R236" i="17"/>
  <c r="S236" i="17" s="1"/>
  <c r="R204" i="17"/>
  <c r="S204" i="17" s="1"/>
  <c r="R172" i="17"/>
  <c r="S172" i="17" s="1"/>
  <c r="R140" i="17"/>
  <c r="S140" i="17" s="1"/>
  <c r="Q111" i="17"/>
  <c r="U111" i="17" s="1"/>
  <c r="Q27" i="17"/>
  <c r="U27" i="17" s="1"/>
  <c r="Q59" i="17"/>
  <c r="U59" i="17" s="1"/>
  <c r="Q91" i="17"/>
  <c r="U91" i="17" s="1"/>
  <c r="Q22" i="17"/>
  <c r="Q38" i="17"/>
  <c r="U38" i="17" s="1"/>
  <c r="Q54" i="17"/>
  <c r="U54" i="17" s="1"/>
  <c r="Q70" i="17"/>
  <c r="U70" i="17" s="1"/>
  <c r="Q86" i="17"/>
  <c r="Q102" i="17"/>
  <c r="U102" i="17" s="1"/>
  <c r="R30" i="17"/>
  <c r="S30" i="17" s="1"/>
  <c r="R62" i="17"/>
  <c r="S62" i="17" s="1"/>
  <c r="R94" i="17"/>
  <c r="S94" i="17" s="1"/>
  <c r="R602" i="17"/>
  <c r="S602" i="17" s="1"/>
  <c r="R591" i="17"/>
  <c r="S591" i="17" s="1"/>
  <c r="R440" i="17"/>
  <c r="S440" i="17" s="1"/>
  <c r="R415" i="17"/>
  <c r="S415" i="17" s="1"/>
  <c r="Q599" i="17"/>
  <c r="U599" i="17" s="1"/>
  <c r="R585" i="17"/>
  <c r="S585" i="17" s="1"/>
  <c r="Q437" i="17"/>
  <c r="U437" i="17" s="1"/>
  <c r="Q412" i="17"/>
  <c r="U412" i="17" s="1"/>
  <c r="R378" i="17"/>
  <c r="S378" i="17" s="1"/>
  <c r="Q314" i="17"/>
  <c r="U314" i="17" s="1"/>
  <c r="Q250" i="17"/>
  <c r="U250" i="17" s="1"/>
  <c r="Q186" i="17"/>
  <c r="U186" i="17" s="1"/>
  <c r="Q122" i="17"/>
  <c r="U122" i="17" s="1"/>
  <c r="Q263" i="17"/>
  <c r="U263" i="17" s="1"/>
  <c r="Q199" i="17"/>
  <c r="U199" i="17" s="1"/>
  <c r="Q135" i="17"/>
  <c r="U135" i="17" s="1"/>
  <c r="Q371" i="17"/>
  <c r="U371" i="17" s="1"/>
  <c r="R307" i="17"/>
  <c r="S307" i="17" s="1"/>
  <c r="R243" i="17"/>
  <c r="S243" i="17" s="1"/>
  <c r="R179" i="17"/>
  <c r="S179" i="17" s="1"/>
  <c r="R115" i="17"/>
  <c r="S115" i="17" s="1"/>
  <c r="R256" i="17"/>
  <c r="S256" i="17" s="1"/>
  <c r="R192" i="17"/>
  <c r="S192" i="17" s="1"/>
  <c r="R128" i="17"/>
  <c r="S128" i="17" s="1"/>
  <c r="Q39" i="17"/>
  <c r="U39" i="17" s="1"/>
  <c r="Q103" i="17"/>
  <c r="U103" i="17" s="1"/>
  <c r="Q44" i="17"/>
  <c r="U44" i="17" s="1"/>
  <c r="Q76" i="17"/>
  <c r="U76" i="17" s="1"/>
  <c r="Q108" i="17"/>
  <c r="U108" i="17" s="1"/>
  <c r="R74" i="17"/>
  <c r="S74" i="17" s="1"/>
  <c r="Q590" i="17"/>
  <c r="U590" i="17" s="1"/>
  <c r="R463" i="17"/>
  <c r="S463" i="17" s="1"/>
  <c r="Q584" i="17"/>
  <c r="Q460" i="17"/>
  <c r="U460" i="17" s="1"/>
  <c r="R338" i="17"/>
  <c r="S338" i="17" s="1"/>
  <c r="Q210" i="17"/>
  <c r="U210" i="17" s="1"/>
  <c r="Q287" i="17"/>
  <c r="U287" i="17" s="1"/>
  <c r="Q159" i="17"/>
  <c r="U159" i="17" s="1"/>
  <c r="Q331" i="17"/>
  <c r="U331" i="17" s="1"/>
  <c r="R203" i="17"/>
  <c r="S203" i="17" s="1"/>
  <c r="R280" i="17"/>
  <c r="S280" i="17" s="1"/>
  <c r="R152" i="17"/>
  <c r="S152" i="17" s="1"/>
  <c r="Q79" i="17"/>
  <c r="U79" i="17" s="1"/>
  <c r="Q64" i="17"/>
  <c r="U64" i="17" s="1"/>
  <c r="R50" i="17"/>
  <c r="S50" i="17" s="1"/>
  <c r="Q519" i="17"/>
  <c r="U519" i="17" s="1"/>
  <c r="Q517" i="17"/>
  <c r="U517" i="17" s="1"/>
  <c r="Q290" i="17"/>
  <c r="U290" i="17" s="1"/>
  <c r="Q239" i="17"/>
  <c r="U239" i="17" s="1"/>
  <c r="R283" i="17"/>
  <c r="S283" i="17" s="1"/>
  <c r="R232" i="17"/>
  <c r="S232" i="17" s="1"/>
  <c r="Q24" i="17"/>
  <c r="U24" i="17" s="1"/>
  <c r="R98" i="17"/>
  <c r="S98" i="17" s="1"/>
  <c r="Q428" i="17"/>
  <c r="U428" i="17" s="1"/>
  <c r="Q143" i="17"/>
  <c r="U143" i="17" s="1"/>
  <c r="R136" i="17"/>
  <c r="S136" i="17" s="1"/>
  <c r="R456" i="17"/>
  <c r="S456" i="17" s="1"/>
  <c r="R251" i="17"/>
  <c r="S251" i="17" s="1"/>
  <c r="Q130" i="17"/>
  <c r="Q31" i="17"/>
  <c r="U31" i="17" s="1"/>
  <c r="R541" i="17"/>
  <c r="S541" i="17" s="1"/>
  <c r="Q570" i="17"/>
  <c r="U570" i="17" s="1"/>
  <c r="Q547" i="17"/>
  <c r="U547" i="17" s="1"/>
  <c r="Q563" i="17"/>
  <c r="U563" i="17" s="1"/>
  <c r="Q579" i="17"/>
  <c r="U579" i="17" s="1"/>
  <c r="R595" i="17"/>
  <c r="S595" i="17" s="1"/>
  <c r="R611" i="17"/>
  <c r="S611" i="17" s="1"/>
  <c r="R608" i="17"/>
  <c r="S608" i="17" s="1"/>
  <c r="R597" i="17"/>
  <c r="S597" i="17" s="1"/>
  <c r="Q574" i="17"/>
  <c r="U574" i="17" s="1"/>
  <c r="Q543" i="17"/>
  <c r="U543" i="17" s="1"/>
  <c r="R480" i="17"/>
  <c r="S480" i="17" s="1"/>
  <c r="Q520" i="17"/>
  <c r="U520" i="17" s="1"/>
  <c r="R455" i="17"/>
  <c r="S455" i="17" s="1"/>
  <c r="R391" i="17"/>
  <c r="S391" i="17" s="1"/>
  <c r="R327" i="17"/>
  <c r="S327" i="17" s="1"/>
  <c r="R594" i="17"/>
  <c r="S594" i="17" s="1"/>
  <c r="Q568" i="17"/>
  <c r="U568" i="17" s="1"/>
  <c r="R540" i="17"/>
  <c r="S540" i="17" s="1"/>
  <c r="Q477" i="17"/>
  <c r="U477" i="17" s="1"/>
  <c r="Q516" i="17"/>
  <c r="U516" i="17" s="1"/>
  <c r="Q452" i="17"/>
  <c r="U452" i="17" s="1"/>
  <c r="Q388" i="17"/>
  <c r="U388" i="17" s="1"/>
  <c r="R414" i="17"/>
  <c r="S414" i="17" s="1"/>
  <c r="R366" i="17"/>
  <c r="S366" i="17" s="1"/>
  <c r="R334" i="17"/>
  <c r="S334" i="17" s="1"/>
  <c r="Q302" i="17"/>
  <c r="U302" i="17" s="1"/>
  <c r="Q270" i="17"/>
  <c r="U270" i="17" s="1"/>
  <c r="Q238" i="17"/>
  <c r="Q206" i="17"/>
  <c r="U206" i="17" s="1"/>
  <c r="Q174" i="17"/>
  <c r="U174" i="17" s="1"/>
  <c r="Q142" i="17"/>
  <c r="U142" i="17" s="1"/>
  <c r="Q110" i="17"/>
  <c r="Q283" i="17"/>
  <c r="U283" i="17" s="1"/>
  <c r="Q251" i="17"/>
  <c r="U251" i="17" s="1"/>
  <c r="Q219" i="17"/>
  <c r="U219" i="17" s="1"/>
  <c r="Q187" i="17"/>
  <c r="U187" i="17" s="1"/>
  <c r="Q155" i="17"/>
  <c r="U155" i="17" s="1"/>
  <c r="Q123" i="17"/>
  <c r="U123" i="17" s="1"/>
  <c r="Q391" i="17"/>
  <c r="Q359" i="17"/>
  <c r="U359" i="17" s="1"/>
  <c r="Q327" i="17"/>
  <c r="U327" i="17" s="1"/>
  <c r="R295" i="17"/>
  <c r="S295" i="17" s="1"/>
  <c r="R263" i="17"/>
  <c r="S263" i="17" s="1"/>
  <c r="R231" i="17"/>
  <c r="S231" i="17" s="1"/>
  <c r="R199" i="17"/>
  <c r="S199" i="17" s="1"/>
  <c r="R167" i="17"/>
  <c r="S167" i="17" s="1"/>
  <c r="R135" i="17"/>
  <c r="S135" i="17" s="1"/>
  <c r="R308" i="17"/>
  <c r="S308" i="17" s="1"/>
  <c r="R276" i="17"/>
  <c r="S276" i="17" s="1"/>
  <c r="R244" i="17"/>
  <c r="S244" i="17" s="1"/>
  <c r="R212" i="17"/>
  <c r="S212" i="17" s="1"/>
  <c r="R180" i="17"/>
  <c r="S180" i="17" s="1"/>
  <c r="R148" i="17"/>
  <c r="S148" i="17" s="1"/>
  <c r="R116" i="17"/>
  <c r="S116" i="17" s="1"/>
  <c r="Q19" i="17"/>
  <c r="U19" i="17" s="1"/>
  <c r="Q51" i="17"/>
  <c r="U51" i="17" s="1"/>
  <c r="Q83" i="17"/>
  <c r="U83" i="17" s="1"/>
  <c r="R17" i="17"/>
  <c r="S17" i="17" s="1"/>
  <c r="Q34" i="17"/>
  <c r="U34" i="17" s="1"/>
  <c r="Q50" i="17"/>
  <c r="U50" i="17" s="1"/>
  <c r="Q66" i="17"/>
  <c r="U66" i="17" s="1"/>
  <c r="Q82" i="17"/>
  <c r="U82" i="17" s="1"/>
  <c r="Q98" i="17"/>
  <c r="U98" i="17" s="1"/>
  <c r="R22" i="17"/>
  <c r="S22" i="17" s="1"/>
  <c r="R54" i="17"/>
  <c r="S54" i="17" s="1"/>
  <c r="R86" i="17"/>
  <c r="S86" i="17" s="1"/>
  <c r="Q623" i="17"/>
  <c r="D633" i="17" s="1"/>
  <c r="Q558" i="17"/>
  <c r="U558" i="17" s="1"/>
  <c r="R472" i="17"/>
  <c r="S472" i="17" s="1"/>
  <c r="R447" i="17"/>
  <c r="S447" i="17" s="1"/>
  <c r="R319" i="17"/>
  <c r="S319" i="17" s="1"/>
  <c r="Q552" i="17"/>
  <c r="U552" i="17" s="1"/>
  <c r="Q469" i="17"/>
  <c r="Q444" i="17"/>
  <c r="U444" i="17" s="1"/>
  <c r="R402" i="17"/>
  <c r="S402" i="17" s="1"/>
  <c r="R330" i="17"/>
  <c r="S330" i="17" s="1"/>
  <c r="Q266" i="17"/>
  <c r="U266" i="17" s="1"/>
  <c r="Q202" i="17"/>
  <c r="U202" i="17" s="1"/>
  <c r="Q138" i="17"/>
  <c r="U138" i="17" s="1"/>
  <c r="Q279" i="17"/>
  <c r="U279" i="17" s="1"/>
  <c r="Q215" i="17"/>
  <c r="U215" i="17" s="1"/>
  <c r="Q151" i="17"/>
  <c r="U151" i="17" s="1"/>
  <c r="Q387" i="17"/>
  <c r="U387" i="17" s="1"/>
  <c r="Q323" i="17"/>
  <c r="U323" i="17" s="1"/>
  <c r="R259" i="17"/>
  <c r="S259" i="17" s="1"/>
  <c r="R195" i="17"/>
  <c r="S195" i="17" s="1"/>
  <c r="R131" i="17"/>
  <c r="S131" i="17" s="1"/>
  <c r="R272" i="17"/>
  <c r="S272" i="17" s="1"/>
  <c r="R208" i="17"/>
  <c r="S208" i="17" s="1"/>
  <c r="R144" i="17"/>
  <c r="S144" i="17" s="1"/>
  <c r="Q23" i="17"/>
  <c r="U23" i="17" s="1"/>
  <c r="Q87" i="17"/>
  <c r="U87" i="17" s="1"/>
  <c r="Q36" i="17"/>
  <c r="U36" i="17" s="1"/>
  <c r="Q68" i="17"/>
  <c r="U68" i="17" s="1"/>
  <c r="Q100" i="17"/>
  <c r="U100" i="17" s="1"/>
  <c r="R58" i="17"/>
  <c r="S58" i="17" s="1"/>
  <c r="R605" i="17"/>
  <c r="S605" i="17" s="1"/>
  <c r="R424" i="17"/>
  <c r="S424" i="17" s="1"/>
  <c r="Q602" i="17"/>
  <c r="U602" i="17" s="1"/>
  <c r="Q421" i="17"/>
  <c r="U421" i="17" s="1"/>
  <c r="R370" i="17"/>
  <c r="S370" i="17" s="1"/>
  <c r="Q242" i="17"/>
  <c r="U242" i="17" s="1"/>
  <c r="Q114" i="17"/>
  <c r="U114" i="17" s="1"/>
  <c r="Q191" i="17"/>
  <c r="U191" i="17" s="1"/>
  <c r="Q363" i="17"/>
  <c r="U363" i="17" s="1"/>
  <c r="R235" i="17"/>
  <c r="S235" i="17" s="1"/>
  <c r="R312" i="17"/>
  <c r="S312" i="17" s="1"/>
  <c r="R184" i="17"/>
  <c r="S184" i="17" s="1"/>
  <c r="Q47" i="17"/>
  <c r="U47" i="17" s="1"/>
  <c r="Q48" i="17"/>
  <c r="U48" i="17" s="1"/>
  <c r="R18" i="17"/>
  <c r="S18" i="17" s="1"/>
  <c r="Q573" i="17"/>
  <c r="U573" i="17" s="1"/>
  <c r="R570" i="17"/>
  <c r="S570" i="17" s="1"/>
  <c r="R354" i="17"/>
  <c r="S354" i="17" s="1"/>
  <c r="Q303" i="17"/>
  <c r="U303" i="17" s="1"/>
  <c r="Q347" i="17"/>
  <c r="U347" i="17" s="1"/>
  <c r="R296" i="17"/>
  <c r="S296" i="17" s="1"/>
  <c r="Q63" i="17"/>
  <c r="U63" i="17" s="1"/>
  <c r="R34" i="17"/>
  <c r="S34" i="17" s="1"/>
  <c r="Q532" i="17"/>
  <c r="U532" i="17" s="1"/>
  <c r="Q271" i="17"/>
  <c r="U271" i="17" s="1"/>
  <c r="R264" i="17"/>
  <c r="S264" i="17" s="1"/>
  <c r="R66" i="17"/>
  <c r="S66" i="17" s="1"/>
  <c r="Q207" i="17"/>
  <c r="U207" i="17" s="1"/>
  <c r="R386" i="17"/>
  <c r="S386" i="17" s="1"/>
  <c r="R610" i="17"/>
  <c r="S610" i="17" s="1"/>
  <c r="X583" i="17"/>
  <c r="X430" i="17"/>
  <c r="X190" i="17"/>
  <c r="Y240" i="17"/>
  <c r="X315" i="17"/>
  <c r="X194" i="17"/>
  <c r="X195" i="17"/>
  <c r="X463" i="17"/>
  <c r="Y187" i="17"/>
  <c r="X559" i="17"/>
  <c r="X368" i="17"/>
  <c r="Y559" i="17"/>
  <c r="Y574" i="17"/>
  <c r="X208" i="17"/>
  <c r="Y579" i="17"/>
  <c r="Y530" i="17"/>
  <c r="Y177" i="17"/>
  <c r="X251" i="17"/>
  <c r="Y426" i="17"/>
  <c r="Y490" i="17"/>
  <c r="X561" i="17"/>
  <c r="X322" i="17"/>
  <c r="X566" i="17"/>
  <c r="Y421" i="17"/>
  <c r="X495" i="17"/>
  <c r="X557" i="17"/>
  <c r="X626" i="17"/>
  <c r="Y155" i="17"/>
  <c r="X258" i="17"/>
  <c r="Y318" i="17"/>
  <c r="X130" i="17"/>
  <c r="Y551" i="17"/>
  <c r="X241" i="17"/>
  <c r="Y469" i="17"/>
  <c r="X81" i="17"/>
  <c r="X511" i="17"/>
  <c r="X162" i="17"/>
  <c r="X555" i="17"/>
  <c r="X524" i="17"/>
  <c r="Y382" i="17"/>
  <c r="X254" i="17"/>
  <c r="X126" i="17"/>
  <c r="X35" i="17"/>
  <c r="X589" i="17"/>
  <c r="Y291" i="17"/>
  <c r="Y163" i="17"/>
  <c r="X127" i="17"/>
  <c r="X226" i="17"/>
  <c r="Y322" i="17"/>
  <c r="Y305" i="17"/>
  <c r="Y203" i="17"/>
  <c r="Y333" i="17"/>
  <c r="Y381" i="17"/>
  <c r="Y502" i="17"/>
  <c r="X471" i="17"/>
  <c r="Y533" i="17"/>
  <c r="Y335" i="17"/>
  <c r="Y351" i="17"/>
  <c r="Y367" i="17"/>
  <c r="Y383" i="17"/>
  <c r="Y399" i="17"/>
  <c r="Y431" i="17"/>
  <c r="Y586" i="17"/>
  <c r="Y554" i="17"/>
  <c r="Y532" i="17"/>
  <c r="X508" i="17"/>
  <c r="X476" i="17"/>
  <c r="X380" i="17"/>
  <c r="X348" i="17"/>
  <c r="X509" i="17"/>
  <c r="X445" i="17"/>
  <c r="Y553" i="17"/>
  <c r="X56" i="17"/>
  <c r="X611" i="17"/>
  <c r="X316" i="17"/>
  <c r="Y606" i="17"/>
  <c r="Y444" i="17"/>
  <c r="Y483" i="17"/>
  <c r="Y558" i="17"/>
  <c r="X480" i="17"/>
  <c r="X416" i="17"/>
  <c r="X352" i="17"/>
  <c r="Y406" i="17"/>
  <c r="X362" i="17"/>
  <c r="X426" i="17"/>
  <c r="X458" i="17"/>
  <c r="X490" i="17"/>
  <c r="X548" i="17"/>
  <c r="Y568" i="17"/>
  <c r="Y438" i="17"/>
  <c r="Y470" i="17"/>
  <c r="Y500" i="17"/>
  <c r="Y241" i="17"/>
  <c r="Y474" i="17"/>
  <c r="Y563" i="17"/>
  <c r="Y529" i="17"/>
  <c r="X551" i="17"/>
  <c r="Y503" i="17"/>
  <c r="Y358" i="17"/>
  <c r="X294" i="17"/>
  <c r="X230" i="17"/>
  <c r="X166" i="17"/>
  <c r="X307" i="17"/>
  <c r="Y602" i="17"/>
  <c r="Y591" i="17"/>
  <c r="X331" i="17"/>
  <c r="X64" i="17"/>
  <c r="X290" i="17"/>
  <c r="Y283" i="17"/>
  <c r="Y136" i="17"/>
  <c r="X574" i="17"/>
  <c r="X520" i="17"/>
  <c r="Y391" i="17"/>
  <c r="X215" i="17"/>
  <c r="X100" i="17"/>
  <c r="Y605" i="17"/>
  <c r="X48" i="17"/>
  <c r="Y354" i="17"/>
  <c r="X303" i="17"/>
  <c r="X271" i="17"/>
  <c r="Y81" i="17"/>
  <c r="Y150" i="17"/>
  <c r="X523" i="17"/>
  <c r="X522" i="17"/>
  <c r="Y565" i="17"/>
  <c r="X255" i="17"/>
  <c r="X17" i="17"/>
  <c r="X203" i="17"/>
  <c r="X432" i="17"/>
  <c r="X496" i="17"/>
  <c r="X417" i="17"/>
  <c r="X513" i="17"/>
  <c r="Y520" i="17"/>
  <c r="X330" i="17"/>
  <c r="Y592" i="17"/>
  <c r="M624" i="17"/>
  <c r="N624" i="17"/>
  <c r="X407" i="17"/>
  <c r="X497" i="17"/>
  <c r="X275" i="17"/>
  <c r="X134" i="17"/>
  <c r="X198" i="17"/>
  <c r="X262" i="17"/>
  <c r="Y326" i="17"/>
  <c r="X384" i="17"/>
  <c r="X448" i="17"/>
  <c r="X512" i="17"/>
  <c r="Y442" i="17"/>
  <c r="Y458" i="17"/>
  <c r="Y506" i="17"/>
  <c r="Y536" i="17"/>
  <c r="X560" i="17"/>
  <c r="Y590" i="17"/>
  <c r="X593" i="17"/>
  <c r="Y400" i="17"/>
  <c r="X394" i="17"/>
  <c r="X600" i="17"/>
  <c r="X613" i="17"/>
  <c r="Y360" i="17"/>
  <c r="X296" i="17"/>
  <c r="X232" i="17"/>
  <c r="X168" i="17"/>
  <c r="X159" i="17"/>
  <c r="X16" i="17"/>
  <c r="X219" i="17"/>
  <c r="X155" i="17"/>
  <c r="X57" i="17"/>
  <c r="X41" i="17"/>
  <c r="Y376" i="17"/>
  <c r="X248" i="17"/>
  <c r="X136" i="17"/>
  <c r="X277" i="17"/>
  <c r="X213" i="17"/>
  <c r="Y612" i="17"/>
  <c r="Y549" i="17"/>
  <c r="X531" i="17"/>
  <c r="Y475" i="17"/>
  <c r="Y443" i="17"/>
  <c r="Y379" i="17"/>
  <c r="Y315" i="17"/>
  <c r="X325" i="17"/>
  <c r="Y309" i="17"/>
  <c r="Y293" i="17"/>
  <c r="Y277" i="17"/>
  <c r="Y261" i="17"/>
  <c r="Y245" i="17"/>
  <c r="Y229" i="17"/>
  <c r="Y213" i="17"/>
  <c r="Y197" i="17"/>
  <c r="Y181" i="17"/>
  <c r="Y165" i="17"/>
  <c r="Y149" i="17"/>
  <c r="Y133" i="17"/>
  <c r="Y117" i="17"/>
  <c r="Y306" i="17"/>
  <c r="Y290" i="17"/>
  <c r="Y274" i="17"/>
  <c r="Y258" i="17"/>
  <c r="Y242" i="17"/>
  <c r="Y226" i="17"/>
  <c r="Y210" i="17"/>
  <c r="Y194" i="17"/>
  <c r="Y178" i="17"/>
  <c r="Y162" i="17"/>
  <c r="X113" i="17"/>
  <c r="X578" i="17"/>
  <c r="X546" i="17"/>
  <c r="X515" i="17"/>
  <c r="X499" i="17"/>
  <c r="X483" i="17"/>
  <c r="X467" i="17"/>
  <c r="X383" i="17"/>
  <c r="X351" i="17"/>
  <c r="X319" i="17"/>
  <c r="Y287" i="17"/>
  <c r="Y255" i="17"/>
  <c r="Y223" i="17"/>
  <c r="Y191" i="17"/>
  <c r="Y159" i="17"/>
  <c r="X197" i="17"/>
  <c r="X165" i="17"/>
  <c r="X34" i="17"/>
  <c r="X50" i="17"/>
  <c r="X66" i="17"/>
  <c r="X82" i="17"/>
  <c r="X98" i="17"/>
  <c r="X425" i="17"/>
  <c r="X457" i="17"/>
  <c r="X489" i="17"/>
  <c r="X207" i="17"/>
  <c r="X328" i="17"/>
  <c r="X360" i="17"/>
  <c r="X392" i="17"/>
  <c r="X424" i="17"/>
  <c r="X456" i="17"/>
  <c r="X488" i="17"/>
  <c r="Y434" i="17"/>
  <c r="Y498" i="17"/>
  <c r="X576" i="17"/>
  <c r="Y543" i="17"/>
  <c r="Y566" i="17"/>
  <c r="X598" i="17"/>
  <c r="X553" i="17"/>
  <c r="X585" i="17"/>
  <c r="X160" i="17"/>
  <c r="X192" i="17"/>
  <c r="X224" i="17"/>
  <c r="X256" i="17"/>
  <c r="X288" i="17"/>
  <c r="Y320" i="17"/>
  <c r="Y352" i="17"/>
  <c r="Y384" i="17"/>
  <c r="X474" i="17"/>
  <c r="X506" i="17"/>
  <c r="Y552" i="17"/>
  <c r="Y584" i="17"/>
  <c r="X144" i="17"/>
  <c r="X112" i="17"/>
  <c r="X285" i="17"/>
  <c r="X253" i="17"/>
  <c r="X221" i="17"/>
  <c r="Y515" i="17"/>
  <c r="X27" i="17"/>
  <c r="X91" i="17"/>
  <c r="Y17" i="17"/>
  <c r="X143" i="17"/>
  <c r="X36" i="17"/>
  <c r="X25" i="17"/>
  <c r="Y74" i="17"/>
  <c r="X312" i="17"/>
  <c r="X577" i="17"/>
  <c r="Y339" i="17"/>
  <c r="X592" i="17"/>
  <c r="Y390" i="17"/>
  <c r="X148" i="17"/>
  <c r="X289" i="17"/>
  <c r="X225" i="17"/>
  <c r="X397" i="17"/>
  <c r="X450" i="17"/>
  <c r="X459" i="17"/>
  <c r="Y538" i="17"/>
  <c r="X538" i="17"/>
  <c r="X605" i="17"/>
  <c r="X411" i="17"/>
  <c r="Y357" i="17"/>
  <c r="Y437" i="17"/>
  <c r="Y453" i="17"/>
  <c r="Y485" i="17"/>
  <c r="Y501" i="17"/>
  <c r="Y531" i="17"/>
  <c r="X449" i="17"/>
  <c r="Y336" i="17"/>
  <c r="X173" i="17"/>
  <c r="X33" i="17"/>
  <c r="Y68" i="17"/>
  <c r="X518" i="17"/>
  <c r="X431" i="17"/>
  <c r="X447" i="17"/>
  <c r="X479" i="17"/>
  <c r="Y466" i="17"/>
  <c r="Y521" i="17"/>
  <c r="X575" i="17"/>
  <c r="Y471" i="17"/>
  <c r="X493" i="17"/>
  <c r="Y374" i="17"/>
  <c r="X310" i="17"/>
  <c r="X246" i="17"/>
  <c r="X182" i="17"/>
  <c r="X118" i="17"/>
  <c r="X107" i="17"/>
  <c r="X274" i="17"/>
  <c r="X146" i="17"/>
  <c r="X395" i="17"/>
  <c r="Y267" i="17"/>
  <c r="X587" i="17"/>
  <c r="Y600" i="17"/>
  <c r="Y423" i="17"/>
  <c r="Y350" i="17"/>
  <c r="X286" i="17"/>
  <c r="X222" i="17"/>
  <c r="X158" i="17"/>
  <c r="X299" i="17"/>
  <c r="X267" i="17"/>
  <c r="Y151" i="17"/>
  <c r="Y112" i="17"/>
  <c r="X535" i="17"/>
  <c r="Y511" i="17"/>
  <c r="X247" i="17"/>
  <c r="X355" i="17"/>
  <c r="Y227" i="17"/>
  <c r="Y304" i="17"/>
  <c r="Y90" i="17"/>
  <c r="X306" i="17"/>
  <c r="X178" i="17"/>
  <c r="Y299" i="17"/>
  <c r="Y248" i="17"/>
  <c r="Y120" i="17"/>
  <c r="X379" i="17"/>
  <c r="X19" i="17"/>
  <c r="Y61" i="17"/>
  <c r="Y109" i="17"/>
  <c r="X137" i="17"/>
  <c r="Y110" i="17"/>
  <c r="Y142" i="17"/>
  <c r="Y158" i="17"/>
  <c r="Y190" i="17"/>
  <c r="Y238" i="17"/>
  <c r="Y270" i="17"/>
  <c r="Y286" i="17"/>
  <c r="Y113" i="17"/>
  <c r="Y456" i="17"/>
  <c r="X590" i="17"/>
  <c r="Y557" i="17"/>
  <c r="Y589" i="17"/>
  <c r="X573" i="17"/>
  <c r="X85" i="17"/>
  <c r="Y264" i="17"/>
  <c r="Y296" i="17"/>
  <c r="Y179" i="17"/>
  <c r="Y251" i="17"/>
  <c r="Y317" i="17"/>
  <c r="Y365" i="17"/>
  <c r="Y422" i="17"/>
  <c r="Y454" i="17"/>
  <c r="Y486" i="17"/>
  <c r="X533" i="17"/>
  <c r="X532" i="17"/>
  <c r="X540" i="17"/>
  <c r="X603" i="17"/>
  <c r="X287" i="17"/>
  <c r="X114" i="17"/>
  <c r="X210" i="17"/>
  <c r="X242" i="17"/>
  <c r="Y338" i="17"/>
  <c r="Y370" i="17"/>
  <c r="Y583" i="17"/>
  <c r="Y596" i="17"/>
  <c r="Y598" i="17"/>
  <c r="X189" i="17"/>
  <c r="Y41" i="17"/>
  <c r="Y49" i="17"/>
  <c r="Y57" i="17"/>
  <c r="Y105" i="17"/>
  <c r="Y20" i="17"/>
  <c r="Y36" i="17"/>
  <c r="Y84" i="17"/>
  <c r="X60" i="17"/>
  <c r="Y139" i="17"/>
  <c r="Y216" i="17"/>
  <c r="X139" i="17"/>
  <c r="Y176" i="17"/>
  <c r="X175" i="17"/>
  <c r="X51" i="17"/>
  <c r="Y66" i="17"/>
  <c r="X76" i="17"/>
  <c r="X69" i="17"/>
  <c r="Y280" i="17"/>
  <c r="Y232" i="17"/>
  <c r="Y152" i="17"/>
  <c r="X157" i="17"/>
  <c r="Y89" i="17"/>
  <c r="X68" i="17"/>
  <c r="Y42" i="17"/>
  <c r="X622" i="17"/>
  <c r="X318" i="17"/>
  <c r="Y372" i="17"/>
  <c r="Y356" i="17"/>
  <c r="Y340" i="17"/>
  <c r="Y324" i="17"/>
  <c r="X308" i="17"/>
  <c r="X292" i="17"/>
  <c r="X276" i="17"/>
  <c r="X260" i="17"/>
  <c r="X244" i="17"/>
  <c r="X228" i="17"/>
  <c r="X212" i="17"/>
  <c r="X196" i="17"/>
  <c r="X180" i="17"/>
  <c r="X164" i="17"/>
  <c r="X370" i="17"/>
  <c r="X607" i="17"/>
  <c r="Y562" i="17"/>
  <c r="X484" i="17"/>
  <c r="X420" i="17"/>
  <c r="X356" i="17"/>
  <c r="X485" i="17"/>
  <c r="X453" i="17"/>
  <c r="X317" i="17"/>
  <c r="Y301" i="17"/>
  <c r="Y285" i="17"/>
  <c r="Y269" i="17"/>
  <c r="Y253" i="17"/>
  <c r="Y237" i="17"/>
  <c r="Y221" i="17"/>
  <c r="Y205" i="17"/>
  <c r="Y189" i="17"/>
  <c r="Y173" i="17"/>
  <c r="Y157" i="17"/>
  <c r="Y141" i="17"/>
  <c r="Y125" i="17"/>
  <c r="Y314" i="17"/>
  <c r="Y298" i="17"/>
  <c r="Y282" i="17"/>
  <c r="Y266" i="17"/>
  <c r="Y250" i="17"/>
  <c r="Y234" i="17"/>
  <c r="Y218" i="17"/>
  <c r="Y202" i="17"/>
  <c r="Y186" i="17"/>
  <c r="Y170" i="17"/>
  <c r="X193" i="17"/>
  <c r="X161" i="17"/>
  <c r="X129" i="17"/>
  <c r="X14" i="17"/>
  <c r="X30" i="17"/>
  <c r="X46" i="17"/>
  <c r="X62" i="17"/>
  <c r="X78" i="17"/>
  <c r="X94" i="17"/>
  <c r="X609" i="17"/>
  <c r="X612" i="17"/>
  <c r="X596" i="17"/>
  <c r="Y580" i="17"/>
  <c r="Y564" i="17"/>
  <c r="Y548" i="17"/>
  <c r="Y571" i="17"/>
  <c r="Y541" i="17"/>
  <c r="Y448" i="17"/>
  <c r="Y432" i="17"/>
  <c r="Y519" i="17"/>
  <c r="X502" i="17"/>
  <c r="X486" i="17"/>
  <c r="X470" i="17"/>
  <c r="X454" i="17"/>
  <c r="X438" i="17"/>
  <c r="X406" i="17"/>
  <c r="X390" i="17"/>
  <c r="X374" i="17"/>
  <c r="X358" i="17"/>
  <c r="X342" i="17"/>
  <c r="X326" i="17"/>
  <c r="Y412" i="17"/>
  <c r="X268" i="17"/>
  <c r="X252" i="17"/>
  <c r="X236" i="17"/>
  <c r="X220" i="17"/>
  <c r="X204" i="17"/>
  <c r="X188" i="17"/>
  <c r="X172" i="17"/>
  <c r="X156" i="17"/>
  <c r="X608" i="17"/>
  <c r="Y544" i="17"/>
  <c r="Y428" i="17"/>
  <c r="X466" i="17"/>
  <c r="X402" i="17"/>
  <c r="Y613" i="17"/>
  <c r="X549" i="17"/>
  <c r="X610" i="17"/>
  <c r="Y546" i="17"/>
  <c r="Y539" i="17"/>
  <c r="X568" i="17"/>
  <c r="Y462" i="17"/>
  <c r="X468" i="17"/>
  <c r="X404" i="17"/>
  <c r="X340" i="17"/>
  <c r="Y346" i="17"/>
  <c r="X282" i="17"/>
  <c r="X218" i="17"/>
  <c r="X154" i="17"/>
  <c r="X295" i="17"/>
  <c r="X469" i="17"/>
  <c r="X353" i="17"/>
  <c r="X177" i="17"/>
  <c r="X145" i="17"/>
  <c r="X259" i="17"/>
  <c r="X227" i="17"/>
  <c r="Y608" i="17"/>
  <c r="Y595" i="17"/>
  <c r="X563" i="17"/>
  <c r="X529" i="17"/>
  <c r="X399" i="17"/>
  <c r="X367" i="17"/>
  <c r="X335" i="17"/>
  <c r="Y303" i="17"/>
  <c r="Y271" i="17"/>
  <c r="Y239" i="17"/>
  <c r="Y207" i="17"/>
  <c r="Y175" i="17"/>
  <c r="X125" i="17"/>
  <c r="Y15" i="17"/>
  <c r="Y23" i="17"/>
  <c r="Y31" i="17"/>
  <c r="Y39" i="17"/>
  <c r="Y47" i="17"/>
  <c r="Y55" i="17"/>
  <c r="Y63" i="17"/>
  <c r="Y71" i="17"/>
  <c r="Y79" i="17"/>
  <c r="Y87" i="17"/>
  <c r="Y95" i="17"/>
  <c r="Y103" i="17"/>
  <c r="X18" i="17"/>
  <c r="X26" i="17"/>
  <c r="X42" i="17"/>
  <c r="X58" i="17"/>
  <c r="X74" i="17"/>
  <c r="X90" i="17"/>
  <c r="X106" i="17"/>
  <c r="X333" i="17"/>
  <c r="X349" i="17"/>
  <c r="Y327" i="17"/>
  <c r="Y343" i="17"/>
  <c r="Y359" i="17"/>
  <c r="Y375" i="17"/>
  <c r="X481" i="17"/>
  <c r="X527" i="17"/>
  <c r="X526" i="17"/>
  <c r="X542" i="17"/>
  <c r="X591" i="17"/>
  <c r="Y604" i="17"/>
  <c r="X291" i="17"/>
  <c r="X150" i="17"/>
  <c r="X214" i="17"/>
  <c r="X278" i="17"/>
  <c r="Y342" i="17"/>
  <c r="X320" i="17"/>
  <c r="X336" i="17"/>
  <c r="X400" i="17"/>
  <c r="X464" i="17"/>
  <c r="Y535" i="17"/>
  <c r="X606" i="17"/>
  <c r="X545" i="17"/>
  <c r="Y609" i="17"/>
  <c r="X209" i="17"/>
  <c r="X257" i="17"/>
  <c r="X273" i="17"/>
  <c r="X116" i="17"/>
  <c r="X132" i="17"/>
  <c r="X176" i="17"/>
  <c r="X240" i="17"/>
  <c r="X272" i="17"/>
  <c r="X304" i="17"/>
  <c r="Y368" i="17"/>
  <c r="Y420" i="17"/>
  <c r="Y452" i="17"/>
  <c r="Y484" i="17"/>
  <c r="Y516" i="17"/>
  <c r="X514" i="17"/>
  <c r="X386" i="17"/>
  <c r="X128" i="17"/>
  <c r="X301" i="17"/>
  <c r="X269" i="17"/>
  <c r="X237" i="17"/>
  <c r="X205" i="17"/>
  <c r="X602" i="17"/>
  <c r="Y570" i="17"/>
  <c r="X552" i="17"/>
  <c r="X492" i="17"/>
  <c r="X460" i="17"/>
  <c r="X428" i="17"/>
  <c r="X396" i="17"/>
  <c r="X364" i="17"/>
  <c r="X332" i="17"/>
  <c r="Y402" i="17"/>
  <c r="X461" i="17"/>
  <c r="Y467" i="17"/>
  <c r="Y435" i="17"/>
  <c r="Y371" i="17"/>
  <c r="X409" i="17"/>
  <c r="X345" i="17"/>
  <c r="Y289" i="17"/>
  <c r="Y273" i="17"/>
  <c r="Y225" i="17"/>
  <c r="Y209" i="17"/>
  <c r="Y161" i="17"/>
  <c r="Y145" i="17"/>
  <c r="Y262" i="17"/>
  <c r="Y230" i="17"/>
  <c r="X185" i="17"/>
  <c r="X121" i="17"/>
  <c r="X235" i="17"/>
  <c r="Y585" i="17"/>
  <c r="X554" i="17"/>
  <c r="X455" i="17"/>
  <c r="X423" i="17"/>
  <c r="Y429" i="17"/>
  <c r="Y397" i="17"/>
  <c r="X403" i="17"/>
  <c r="X371" i="17"/>
  <c r="Y275" i="17"/>
  <c r="Y243" i="17"/>
  <c r="Y147" i="17"/>
  <c r="Y115" i="17"/>
  <c r="Y224" i="17"/>
  <c r="Y192" i="17"/>
  <c r="X171" i="17"/>
  <c r="Y13" i="17"/>
  <c r="Y29" i="17"/>
  <c r="Y77" i="17"/>
  <c r="Y93" i="17"/>
  <c r="Y44" i="17"/>
  <c r="X43" i="17"/>
  <c r="X75" i="17"/>
  <c r="X101" i="17"/>
  <c r="X32" i="17"/>
  <c r="X80" i="17"/>
  <c r="X96" i="17"/>
  <c r="Y18" i="17"/>
  <c r="Y50" i="17"/>
  <c r="X49" i="17"/>
  <c r="X97" i="17"/>
  <c r="Y254" i="17"/>
  <c r="Y222" i="17"/>
  <c r="X169" i="17"/>
  <c r="Y569" i="17"/>
  <c r="X541" i="17"/>
  <c r="Y517" i="17"/>
  <c r="Y389" i="17"/>
  <c r="X363" i="17"/>
  <c r="Y235" i="17"/>
  <c r="Y312" i="17"/>
  <c r="Y184" i="17"/>
  <c r="Y33" i="17"/>
  <c r="Y97" i="17"/>
  <c r="Y52" i="17"/>
  <c r="X83" i="17"/>
  <c r="Y626" i="17"/>
  <c r="X20" i="17"/>
  <c r="X84" i="17"/>
  <c r="Y26" i="17"/>
  <c r="Y73" i="17"/>
  <c r="X28" i="17"/>
  <c r="X92" i="17"/>
  <c r="X570" i="17"/>
  <c r="Y405" i="17"/>
  <c r="Y25" i="17"/>
  <c r="Y200" i="17"/>
  <c r="Y123" i="17"/>
  <c r="X199" i="17"/>
  <c r="X67" i="17"/>
  <c r="X263" i="17"/>
  <c r="X63" i="17"/>
  <c r="X314" i="17"/>
  <c r="Y577" i="17"/>
  <c r="Y409" i="17"/>
  <c r="Y220" i="17"/>
  <c r="Y542" i="17"/>
  <c r="Y316" i="17"/>
  <c r="X581" i="17"/>
  <c r="Y494" i="17"/>
  <c r="X186" i="17"/>
  <c r="X582" i="17"/>
  <c r="X435" i="17"/>
  <c r="Y480" i="17"/>
  <c r="Y380" i="17"/>
  <c r="X338" i="17"/>
  <c r="X184" i="17"/>
  <c r="Y430" i="17"/>
  <c r="Y378" i="17"/>
  <c r="X250" i="17"/>
  <c r="X122" i="17"/>
  <c r="X567" i="17"/>
  <c r="Y114" i="17"/>
  <c r="Y473" i="17"/>
  <c r="Y345" i="17"/>
  <c r="Y284" i="17"/>
  <c r="Y156" i="17"/>
  <c r="X437" i="17"/>
  <c r="Y32" i="17"/>
  <c r="X119" i="17"/>
  <c r="Y70" i="17"/>
  <c r="Y525" i="17"/>
  <c r="Y512" i="17"/>
  <c r="X422" i="17"/>
  <c r="Y348" i="17"/>
  <c r="X284" i="17"/>
  <c r="X564" i="17"/>
  <c r="X309" i="17"/>
  <c r="X245" i="17"/>
  <c r="Y578" i="17"/>
  <c r="Y524" i="17"/>
  <c r="X500" i="17"/>
  <c r="X436" i="17"/>
  <c r="X372" i="17"/>
  <c r="Y410" i="17"/>
  <c r="Y146" i="17"/>
  <c r="X528" i="17"/>
  <c r="Y505" i="17"/>
  <c r="Y441" i="17"/>
  <c r="Y377" i="17"/>
  <c r="X415" i="17"/>
  <c r="Y143" i="17"/>
  <c r="Y411" i="17"/>
  <c r="X385" i="17"/>
  <c r="Y96" i="17"/>
  <c r="X77" i="17"/>
  <c r="X37" i="17"/>
  <c r="X539" i="17"/>
  <c r="Y476" i="17"/>
  <c r="Y451" i="17"/>
  <c r="Y130" i="17"/>
  <c r="X419" i="17"/>
  <c r="X451" i="17"/>
  <c r="Y445" i="17"/>
  <c r="Y461" i="17"/>
  <c r="Y493" i="17"/>
  <c r="Y509" i="17"/>
  <c r="Y347" i="17"/>
  <c r="X321" i="17"/>
  <c r="Y257" i="17"/>
  <c r="Y193" i="17"/>
  <c r="Y129" i="17"/>
  <c r="Y302" i="17"/>
  <c r="Y206" i="17"/>
  <c r="Y174" i="17"/>
  <c r="Y126" i="17"/>
  <c r="X73" i="17"/>
  <c r="Y45" i="17"/>
  <c r="Y60" i="17"/>
  <c r="Y76" i="17"/>
  <c r="Y108" i="17"/>
  <c r="X111" i="17"/>
  <c r="X44" i="17"/>
  <c r="X108" i="17"/>
  <c r="X572" i="17"/>
  <c r="Y526" i="17"/>
  <c r="Y496" i="17"/>
  <c r="Y464" i="17"/>
  <c r="Y396" i="17"/>
  <c r="Y364" i="17"/>
  <c r="Y332" i="17"/>
  <c r="X300" i="17"/>
  <c r="Y492" i="17"/>
  <c r="X223" i="17"/>
  <c r="Y573" i="17"/>
  <c r="X543" i="17"/>
  <c r="X465" i="17"/>
  <c r="X433" i="17"/>
  <c r="Y487" i="17"/>
  <c r="Y455" i="17"/>
  <c r="Y439" i="17"/>
  <c r="Y407" i="17"/>
  <c r="X413" i="17"/>
  <c r="X381" i="17"/>
  <c r="Y545" i="17"/>
  <c r="Y489" i="17"/>
  <c r="Y457" i="17"/>
  <c r="Y425" i="17"/>
  <c r="Y393" i="17"/>
  <c r="Y361" i="17"/>
  <c r="Y329" i="17"/>
  <c r="Y111" i="17"/>
  <c r="Y252" i="17"/>
  <c r="Y188" i="17"/>
  <c r="Y124" i="17"/>
  <c r="X501" i="17"/>
  <c r="X429" i="17"/>
  <c r="Y499" i="17"/>
  <c r="Y403" i="17"/>
  <c r="X377" i="17"/>
  <c r="Y121" i="17"/>
  <c r="Y294" i="17"/>
  <c r="Y198" i="17"/>
  <c r="Y166" i="17"/>
  <c r="Y134" i="17"/>
  <c r="Y603" i="17"/>
  <c r="X525" i="17"/>
  <c r="X487" i="17"/>
  <c r="Y373" i="17"/>
  <c r="Y341" i="17"/>
  <c r="Y325" i="17"/>
  <c r="X347" i="17"/>
  <c r="Y307" i="17"/>
  <c r="Y211" i="17"/>
  <c r="Y171" i="17"/>
  <c r="Y288" i="17"/>
  <c r="Y256" i="17"/>
  <c r="Y168" i="17"/>
  <c r="Y128" i="17"/>
  <c r="X123" i="17"/>
  <c r="Y65" i="17"/>
  <c r="X99" i="17"/>
  <c r="X131" i="17"/>
  <c r="Y64" i="17"/>
  <c r="X31" i="17"/>
  <c r="X95" i="17"/>
  <c r="X191" i="17"/>
  <c r="Y38" i="17"/>
  <c r="Y102" i="17"/>
  <c r="X52" i="17"/>
  <c r="Y82" i="17"/>
  <c r="Y106" i="17"/>
  <c r="X414" i="17"/>
  <c r="X398" i="17"/>
  <c r="X382" i="17"/>
  <c r="X366" i="17"/>
  <c r="X350" i="17"/>
  <c r="X334" i="17"/>
  <c r="Y404" i="17"/>
  <c r="Y388" i="17"/>
  <c r="Y344" i="17"/>
  <c r="X280" i="17"/>
  <c r="X216" i="17"/>
  <c r="X152" i="17"/>
  <c r="X120" i="17"/>
  <c r="X293" i="17"/>
  <c r="X261" i="17"/>
  <c r="X229" i="17"/>
  <c r="Y594" i="17"/>
  <c r="Y540" i="17"/>
  <c r="X516" i="17"/>
  <c r="X452" i="17"/>
  <c r="X388" i="17"/>
  <c r="X324" i="17"/>
  <c r="Y394" i="17"/>
  <c r="X517" i="17"/>
  <c r="X421" i="17"/>
  <c r="Y427" i="17"/>
  <c r="Y395" i="17"/>
  <c r="Y363" i="17"/>
  <c r="Y331" i="17"/>
  <c r="X401" i="17"/>
  <c r="X369" i="17"/>
  <c r="X337" i="17"/>
  <c r="Y561" i="17"/>
  <c r="X536" i="17"/>
  <c r="X181" i="17"/>
  <c r="X149" i="17"/>
  <c r="Y19" i="17"/>
  <c r="Y27" i="17"/>
  <c r="Y35" i="17"/>
  <c r="Y43" i="17"/>
  <c r="Y51" i="17"/>
  <c r="Y59" i="17"/>
  <c r="Y67" i="17"/>
  <c r="Y75" i="17"/>
  <c r="Y83" i="17"/>
  <c r="Y91" i="17"/>
  <c r="Y99" i="17"/>
  <c r="Y107" i="17"/>
  <c r="X133" i="17"/>
  <c r="X22" i="17"/>
  <c r="X38" i="17"/>
  <c r="X54" i="17"/>
  <c r="X70" i="17"/>
  <c r="X86" i="17"/>
  <c r="X102" i="17"/>
  <c r="X341" i="17"/>
  <c r="X357" i="17"/>
  <c r="X373" i="17"/>
  <c r="X389" i="17"/>
  <c r="X405" i="17"/>
  <c r="Y319" i="17"/>
  <c r="Y415" i="17"/>
  <c r="Y447" i="17"/>
  <c r="X441" i="17"/>
  <c r="X473" i="17"/>
  <c r="X505" i="17"/>
  <c r="Y593" i="17"/>
  <c r="Y398" i="17"/>
  <c r="Y414" i="17"/>
  <c r="X344" i="17"/>
  <c r="X376" i="17"/>
  <c r="X408" i="17"/>
  <c r="X440" i="17"/>
  <c r="X472" i="17"/>
  <c r="X504" i="17"/>
  <c r="Y528" i="17"/>
  <c r="X544" i="17"/>
  <c r="Y550" i="17"/>
  <c r="Y582" i="17"/>
  <c r="X595" i="17"/>
  <c r="X201" i="17"/>
  <c r="X217" i="17"/>
  <c r="X233" i="17"/>
  <c r="X249" i="17"/>
  <c r="X265" i="17"/>
  <c r="X281" i="17"/>
  <c r="X297" i="17"/>
  <c r="X313" i="17"/>
  <c r="X124" i="17"/>
  <c r="X140" i="17"/>
  <c r="X346" i="17"/>
  <c r="X378" i="17"/>
  <c r="X410" i="17"/>
  <c r="Y328" i="17"/>
  <c r="X264" i="17"/>
  <c r="X200" i="17"/>
  <c r="X599" i="17"/>
  <c r="X584" i="17"/>
  <c r="X444" i="17"/>
  <c r="X412" i="17"/>
  <c r="Y386" i="17"/>
  <c r="X477" i="17"/>
  <c r="Y419" i="17"/>
  <c r="Y387" i="17"/>
  <c r="Y355" i="17"/>
  <c r="Y323" i="17"/>
  <c r="X153" i="17"/>
  <c r="Y21" i="17"/>
  <c r="Y37" i="17"/>
  <c r="Y53" i="17"/>
  <c r="Y69" i="17"/>
  <c r="Y85" i="17"/>
  <c r="Y101" i="17"/>
  <c r="X24" i="17"/>
  <c r="Y127" i="17"/>
  <c r="Y300" i="17"/>
  <c r="Y268" i="17"/>
  <c r="Y236" i="17"/>
  <c r="Y204" i="17"/>
  <c r="Y172" i="17"/>
  <c r="Y140" i="17"/>
  <c r="Y507" i="17"/>
  <c r="X163" i="17"/>
  <c r="Y16" i="17"/>
  <c r="Y48" i="17"/>
  <c r="Y80" i="17"/>
  <c r="X15" i="17"/>
  <c r="X47" i="17"/>
  <c r="X79" i="17"/>
  <c r="Y622" i="17"/>
  <c r="X109" i="17"/>
  <c r="X151" i="17"/>
  <c r="Y22" i="17"/>
  <c r="Y54" i="17"/>
  <c r="Y86" i="17"/>
  <c r="X21" i="17"/>
  <c r="X53" i="17"/>
  <c r="X105" i="17"/>
  <c r="Y572" i="17"/>
  <c r="Y518" i="17"/>
  <c r="X494" i="17"/>
  <c r="Y433" i="17"/>
  <c r="Y279" i="17"/>
  <c r="Y228" i="17"/>
  <c r="J625" i="17"/>
  <c r="I625" i="17"/>
  <c r="C625" i="17"/>
  <c r="O625" i="17"/>
  <c r="D625" i="17"/>
  <c r="F625" i="17"/>
  <c r="P625" i="17"/>
  <c r="K625" i="17"/>
  <c r="E625" i="17"/>
  <c r="L625" i="17"/>
  <c r="I624" i="17"/>
  <c r="K624" i="17"/>
  <c r="C624" i="17"/>
  <c r="F624" i="17"/>
  <c r="P624" i="17"/>
  <c r="L624" i="17"/>
  <c r="J624" i="17"/>
  <c r="D624" i="17"/>
  <c r="E624" i="17"/>
  <c r="O624" i="17"/>
  <c r="X418" i="17"/>
  <c r="X354" i="17"/>
  <c r="Y392" i="17"/>
  <c r="X393" i="17"/>
  <c r="X361" i="17"/>
  <c r="X329" i="17"/>
  <c r="Y313" i="17"/>
  <c r="Y297" i="17"/>
  <c r="Y281" i="17"/>
  <c r="Y265" i="17"/>
  <c r="Y249" i="17"/>
  <c r="Y233" i="17"/>
  <c r="Y217" i="17"/>
  <c r="Y201" i="17"/>
  <c r="Y185" i="17"/>
  <c r="Y169" i="17"/>
  <c r="Y153" i="17"/>
  <c r="Y137" i="17"/>
  <c r="Y310" i="17"/>
  <c r="Y278" i="17"/>
  <c r="Y246" i="17"/>
  <c r="Y214" i="17"/>
  <c r="Y182" i="17"/>
  <c r="X141" i="17"/>
  <c r="X40" i="17"/>
  <c r="X72" i="17"/>
  <c r="X88" i="17"/>
  <c r="X104" i="17"/>
  <c r="N625" i="17"/>
  <c r="X604" i="17"/>
  <c r="Y587" i="17"/>
  <c r="X556" i="17"/>
  <c r="Y488" i="17"/>
  <c r="Y424" i="17"/>
  <c r="X462" i="17"/>
  <c r="Y601" i="17"/>
  <c r="X569" i="17"/>
  <c r="Y575" i="17"/>
  <c r="Y527" i="17"/>
  <c r="Y514" i="17"/>
  <c r="Y482" i="17"/>
  <c r="Y450" i="17"/>
  <c r="Y418" i="17"/>
  <c r="Y366" i="17"/>
  <c r="Y334" i="17"/>
  <c r="X302" i="17"/>
  <c r="X270" i="17"/>
  <c r="X238" i="17"/>
  <c r="X206" i="17"/>
  <c r="X174" i="17"/>
  <c r="X142" i="17"/>
  <c r="X110" i="17"/>
  <c r="X283" i="17"/>
  <c r="X597" i="17"/>
  <c r="Y560" i="17"/>
  <c r="Y547" i="17"/>
  <c r="X580" i="17"/>
  <c r="Y508" i="17"/>
  <c r="Y468" i="17"/>
  <c r="Y436" i="17"/>
  <c r="X482" i="17"/>
  <c r="X442" i="17"/>
  <c r="Y416" i="17"/>
  <c r="X239" i="17"/>
  <c r="Y607" i="17"/>
  <c r="X534" i="17"/>
  <c r="X558" i="17"/>
  <c r="X519" i="17"/>
  <c r="Y479" i="17"/>
  <c r="Y138" i="17"/>
  <c r="Y611" i="17"/>
  <c r="X521" i="17"/>
  <c r="Y497" i="17"/>
  <c r="Y369" i="17"/>
  <c r="X343" i="17"/>
  <c r="Y215" i="17"/>
  <c r="Y292" i="17"/>
  <c r="Y164" i="17"/>
  <c r="X601" i="17"/>
  <c r="Y588" i="17"/>
  <c r="Y556" i="17"/>
  <c r="Y555" i="17"/>
  <c r="X588" i="17"/>
  <c r="Y534" i="17"/>
  <c r="Y504" i="17"/>
  <c r="Y472" i="17"/>
  <c r="Y440" i="17"/>
  <c r="X510" i="17"/>
  <c r="X478" i="17"/>
  <c r="X446" i="17"/>
  <c r="Y576" i="17"/>
  <c r="Y537" i="17"/>
  <c r="Y522" i="17"/>
  <c r="Y460" i="17"/>
  <c r="X498" i="17"/>
  <c r="X434" i="17"/>
  <c r="Y408" i="17"/>
  <c r="Y610" i="17"/>
  <c r="Y597" i="17"/>
  <c r="X565" i="17"/>
  <c r="Y567" i="17"/>
  <c r="Y523" i="17"/>
  <c r="Y510" i="17"/>
  <c r="Y478" i="17"/>
  <c r="Y446" i="17"/>
  <c r="Y362" i="17"/>
  <c r="Y330" i="17"/>
  <c r="X298" i="17"/>
  <c r="X266" i="17"/>
  <c r="X234" i="17"/>
  <c r="X202" i="17"/>
  <c r="X170" i="17"/>
  <c r="X138" i="17"/>
  <c r="X311" i="17"/>
  <c r="X279" i="17"/>
  <c r="X231" i="17"/>
  <c r="Y599" i="17"/>
  <c r="Y581" i="17"/>
  <c r="X530" i="17"/>
  <c r="X550" i="17"/>
  <c r="Y495" i="17"/>
  <c r="Y463" i="17"/>
  <c r="X243" i="17"/>
  <c r="X547" i="17"/>
  <c r="X562" i="17"/>
  <c r="X491" i="17"/>
  <c r="X427" i="17"/>
  <c r="Y465" i="17"/>
  <c r="Y401" i="17"/>
  <c r="Y337" i="17"/>
  <c r="X375" i="17"/>
  <c r="Y311" i="17"/>
  <c r="Y247" i="17"/>
  <c r="Y183" i="17"/>
  <c r="Y119" i="17"/>
  <c r="Y260" i="17"/>
  <c r="Y196" i="17"/>
  <c r="Y132" i="17"/>
  <c r="X55" i="17"/>
  <c r="Y24" i="17"/>
  <c r="X135" i="17"/>
  <c r="Y62" i="17"/>
  <c r="Y88" i="17"/>
  <c r="X623" i="17"/>
  <c r="X29" i="17"/>
  <c r="X147" i="17"/>
  <c r="Y56" i="17"/>
  <c r="X23" i="17"/>
  <c r="X87" i="17"/>
  <c r="Y30" i="17"/>
  <c r="Y94" i="17"/>
  <c r="X61" i="17"/>
  <c r="Y154" i="17"/>
  <c r="Y122" i="17"/>
  <c r="X187" i="17"/>
  <c r="X211" i="17"/>
  <c r="X579" i="17"/>
  <c r="X594" i="17"/>
  <c r="X537" i="17"/>
  <c r="X507" i="17"/>
  <c r="X475" i="17"/>
  <c r="X443" i="17"/>
  <c r="Y513" i="17"/>
  <c r="Y481" i="17"/>
  <c r="Y449" i="17"/>
  <c r="Y417" i="17"/>
  <c r="Y385" i="17"/>
  <c r="Y353" i="17"/>
  <c r="Y321" i="17"/>
  <c r="X391" i="17"/>
  <c r="X359" i="17"/>
  <c r="X327" i="17"/>
  <c r="Y295" i="17"/>
  <c r="Y263" i="17"/>
  <c r="Y231" i="17"/>
  <c r="Y199" i="17"/>
  <c r="Y167" i="17"/>
  <c r="Y135" i="17"/>
  <c r="Y308" i="17"/>
  <c r="Y276" i="17"/>
  <c r="Y244" i="17"/>
  <c r="Y212" i="17"/>
  <c r="Y180" i="17"/>
  <c r="Y148" i="17"/>
  <c r="Y116" i="17"/>
  <c r="Y491" i="17"/>
  <c r="Y459" i="17"/>
  <c r="Y118" i="17"/>
  <c r="X179" i="17"/>
  <c r="X571" i="17"/>
  <c r="X586" i="17"/>
  <c r="X503" i="17"/>
  <c r="X439" i="17"/>
  <c r="Y477" i="17"/>
  <c r="Y413" i="17"/>
  <c r="Y349" i="17"/>
  <c r="X387" i="17"/>
  <c r="X323" i="17"/>
  <c r="Y259" i="17"/>
  <c r="Y195" i="17"/>
  <c r="Y131" i="17"/>
  <c r="Y272" i="17"/>
  <c r="Y208" i="17"/>
  <c r="Y144" i="17"/>
  <c r="Y28" i="17"/>
  <c r="Y92" i="17"/>
  <c r="X59" i="17"/>
  <c r="X183" i="17"/>
  <c r="X115" i="17"/>
  <c r="Y40" i="17"/>
  <c r="Y72" i="17"/>
  <c r="Y104" i="17"/>
  <c r="X39" i="17"/>
  <c r="X71" i="17"/>
  <c r="X103" i="17"/>
  <c r="X93" i="17"/>
  <c r="X167" i="17"/>
  <c r="Y14" i="17"/>
  <c r="Y46" i="17"/>
  <c r="Y78" i="17"/>
  <c r="X13" i="17"/>
  <c r="X45" i="17"/>
  <c r="X89" i="17"/>
  <c r="X117" i="17"/>
  <c r="Y34" i="17"/>
  <c r="Y98" i="17"/>
  <c r="X65" i="17"/>
  <c r="Y623" i="17"/>
  <c r="AB627" i="17" l="1"/>
  <c r="R627" i="17"/>
  <c r="S627" i="17" s="1"/>
  <c r="AA627" i="17"/>
  <c r="AD468" i="17"/>
  <c r="AE468" i="17" s="1"/>
  <c r="U469" i="17"/>
  <c r="AD390" i="17"/>
  <c r="AE390" i="17" s="1"/>
  <c r="U391" i="17"/>
  <c r="AD85" i="17"/>
  <c r="AE85" i="17" s="1"/>
  <c r="U86" i="17"/>
  <c r="AD21" i="17"/>
  <c r="AE21" i="17" s="1"/>
  <c r="U22" i="17"/>
  <c r="AD292" i="17"/>
  <c r="AE292" i="17" s="1"/>
  <c r="U293" i="17"/>
  <c r="AD613" i="17"/>
  <c r="AE613" i="17" s="1"/>
  <c r="U613" i="17"/>
  <c r="AD299" i="17"/>
  <c r="AE299" i="17" s="1"/>
  <c r="U300" i="17"/>
  <c r="AD329" i="17"/>
  <c r="AE329" i="17" s="1"/>
  <c r="U330" i="17"/>
  <c r="AD17" i="17"/>
  <c r="AE17" i="17" s="1"/>
  <c r="U18" i="17"/>
  <c r="AD109" i="17"/>
  <c r="AE109" i="17" s="1"/>
  <c r="U110" i="17"/>
  <c r="AD237" i="17"/>
  <c r="AE237" i="17" s="1"/>
  <c r="U238" i="17"/>
  <c r="AD129" i="17"/>
  <c r="AE129" i="17" s="1"/>
  <c r="U130" i="17"/>
  <c r="AD584" i="17"/>
  <c r="AE584" i="17" s="1"/>
  <c r="U584" i="17"/>
  <c r="AD487" i="17"/>
  <c r="AE487" i="17" s="1"/>
  <c r="U487" i="17"/>
  <c r="AD429" i="17"/>
  <c r="AE429" i="17" s="1"/>
  <c r="U430" i="17"/>
  <c r="AD116" i="17"/>
  <c r="AE116" i="17" s="1"/>
  <c r="U117" i="17"/>
  <c r="AD257" i="17"/>
  <c r="AE257" i="17" s="1"/>
  <c r="AD223" i="17"/>
  <c r="AE223" i="17" s="1"/>
  <c r="X625" i="17"/>
  <c r="AD216" i="17"/>
  <c r="AE216" i="17" s="1"/>
  <c r="AD123" i="17"/>
  <c r="AE123" i="17" s="1"/>
  <c r="AD226" i="17"/>
  <c r="AE226" i="17" s="1"/>
  <c r="AD511" i="17"/>
  <c r="AE511" i="17" s="1"/>
  <c r="AD422" i="17"/>
  <c r="AE422" i="17" s="1"/>
  <c r="AD114" i="17"/>
  <c r="AE114" i="17" s="1"/>
  <c r="AD315" i="17"/>
  <c r="AE315" i="17" s="1"/>
  <c r="AD259" i="17"/>
  <c r="AE259" i="17" s="1"/>
  <c r="AD499" i="17"/>
  <c r="AE499" i="17" s="1"/>
  <c r="AD256" i="17"/>
  <c r="AE256" i="17" s="1"/>
  <c r="AD437" i="17"/>
  <c r="AE437" i="17" s="1"/>
  <c r="AD353" i="17"/>
  <c r="AE353" i="17" s="1"/>
  <c r="AD454" i="17"/>
  <c r="AE454" i="17" s="1"/>
  <c r="AD55" i="17"/>
  <c r="AE55" i="17" s="1"/>
  <c r="AD405" i="17"/>
  <c r="AE405" i="17" s="1"/>
  <c r="AD269" i="17"/>
  <c r="AE269" i="17" s="1"/>
  <c r="AD68" i="17"/>
  <c r="AE68" i="17" s="1"/>
  <c r="AD105" i="17"/>
  <c r="AE105" i="17" s="1"/>
  <c r="AD32" i="17"/>
  <c r="AE32" i="17" s="1"/>
  <c r="AD449" i="17"/>
  <c r="AE449" i="17" s="1"/>
  <c r="AD385" i="17"/>
  <c r="AE385" i="17" s="1"/>
  <c r="AD147" i="17"/>
  <c r="AE147" i="17" s="1"/>
  <c r="AD488" i="17"/>
  <c r="AE488" i="17" s="1"/>
  <c r="AD341" i="17"/>
  <c r="AE341" i="17" s="1"/>
  <c r="AD540" i="17"/>
  <c r="AE540" i="17" s="1"/>
  <c r="AD263" i="17"/>
  <c r="AE263" i="17" s="1"/>
  <c r="AD507" i="17"/>
  <c r="AE507" i="17" s="1"/>
  <c r="AD97" i="17"/>
  <c r="AE97" i="17" s="1"/>
  <c r="AD64" i="17"/>
  <c r="AE64" i="17" s="1"/>
  <c r="AD527" i="17"/>
  <c r="AE527" i="17" s="1"/>
  <c r="AD555" i="17"/>
  <c r="AE555" i="17" s="1"/>
  <c r="AD445" i="17"/>
  <c r="AE445" i="17" s="1"/>
  <c r="AD400" i="17"/>
  <c r="AE400" i="17" s="1"/>
  <c r="AD514" i="17"/>
  <c r="AE514" i="17" s="1"/>
  <c r="AD333" i="17"/>
  <c r="AE333" i="17" s="1"/>
  <c r="AD342" i="17"/>
  <c r="AE342" i="17" s="1"/>
  <c r="AD525" i="17"/>
  <c r="AE525" i="17" s="1"/>
  <c r="AD234" i="17"/>
  <c r="AE234" i="17" s="1"/>
  <c r="AD253" i="17"/>
  <c r="AE253" i="17" s="1"/>
  <c r="AD143" i="17"/>
  <c r="AE143" i="17" s="1"/>
  <c r="AD490" i="17"/>
  <c r="AE490" i="17" s="1"/>
  <c r="AD369" i="17"/>
  <c r="AE369" i="17" s="1"/>
  <c r="AD419" i="17"/>
  <c r="AE419" i="17" s="1"/>
  <c r="AD307" i="17"/>
  <c r="AE307" i="17" s="1"/>
  <c r="AD81" i="17"/>
  <c r="AE81" i="17" s="1"/>
  <c r="AD471" i="17"/>
  <c r="AE471" i="17" s="1"/>
  <c r="AD537" i="17"/>
  <c r="AE537" i="17" s="1"/>
  <c r="AD241" i="17"/>
  <c r="AE241" i="17" s="1"/>
  <c r="AD551" i="17"/>
  <c r="AE551" i="17" s="1"/>
  <c r="AD383" i="17"/>
  <c r="AE383" i="17" s="1"/>
  <c r="AD331" i="17"/>
  <c r="AE331" i="17" s="1"/>
  <c r="AD274" i="17"/>
  <c r="AE274" i="17" s="1"/>
  <c r="AD47" i="17"/>
  <c r="AE47" i="17" s="1"/>
  <c r="AD567" i="17"/>
  <c r="AE567" i="17" s="1"/>
  <c r="AD413" i="17"/>
  <c r="AE413" i="17" s="1"/>
  <c r="AD322" i="17"/>
  <c r="AE322" i="17" s="1"/>
  <c r="AD151" i="17"/>
  <c r="AE151" i="17" s="1"/>
  <c r="AD539" i="17"/>
  <c r="AE539" i="17" s="1"/>
  <c r="AD170" i="17"/>
  <c r="AE170" i="17" s="1"/>
  <c r="AD27" i="17"/>
  <c r="AE27" i="17" s="1"/>
  <c r="AD231" i="17"/>
  <c r="AE231" i="17" s="1"/>
  <c r="AD16" i="17"/>
  <c r="AE16" i="17" s="1"/>
  <c r="AD175" i="17"/>
  <c r="AE175" i="17" s="1"/>
  <c r="AD466" i="17"/>
  <c r="AE466" i="17" s="1"/>
  <c r="AD60" i="17"/>
  <c r="AE60" i="17" s="1"/>
  <c r="AD28" i="17"/>
  <c r="AE28" i="17" s="1"/>
  <c r="AD304" i="17"/>
  <c r="AE304" i="17" s="1"/>
  <c r="AD195" i="17"/>
  <c r="AE195" i="17" s="1"/>
  <c r="R624" i="17"/>
  <c r="S624" i="17" s="1"/>
  <c r="AA624" i="17"/>
  <c r="E634" i="17" s="1"/>
  <c r="R625" i="17"/>
  <c r="S625" i="17" s="1"/>
  <c r="AA625" i="17"/>
  <c r="E635" i="17" s="1"/>
  <c r="AD372" i="17"/>
  <c r="AE372" i="17" s="1"/>
  <c r="AD280" i="17"/>
  <c r="AE280" i="17" s="1"/>
  <c r="AD590" i="17"/>
  <c r="AE590" i="17" s="1"/>
  <c r="AD71" i="17"/>
  <c r="AE71" i="17" s="1"/>
  <c r="AD493" i="17"/>
  <c r="AE493" i="17" s="1"/>
  <c r="AD319" i="17"/>
  <c r="AE319" i="17" s="1"/>
  <c r="AD73" i="17"/>
  <c r="AE73" i="17" s="1"/>
  <c r="AD111" i="17"/>
  <c r="AE111" i="17" s="1"/>
  <c r="AD131" i="17"/>
  <c r="AE131" i="17" s="1"/>
  <c r="AD427" i="17"/>
  <c r="AE427" i="17" s="1"/>
  <c r="AD298" i="17"/>
  <c r="AE298" i="17" s="1"/>
  <c r="Q627" i="17"/>
  <c r="AB624" i="17"/>
  <c r="Q624" i="17"/>
  <c r="D634" i="17" s="1"/>
  <c r="Q625" i="17"/>
  <c r="D635" i="17" s="1"/>
  <c r="AD394" i="17"/>
  <c r="AE394" i="17" s="1"/>
  <c r="AD72" i="17"/>
  <c r="AE72" i="17" s="1"/>
  <c r="AD378" i="17"/>
  <c r="AE378" i="17" s="1"/>
  <c r="AD246" i="17"/>
  <c r="AE246" i="17" s="1"/>
  <c r="AD80" i="17"/>
  <c r="AE80" i="17" s="1"/>
  <c r="AD305" i="17"/>
  <c r="AE305" i="17" s="1"/>
  <c r="AD348" i="17"/>
  <c r="AE348" i="17" s="1"/>
  <c r="AD411" i="17"/>
  <c r="AE411" i="17" s="1"/>
  <c r="AD276" i="17"/>
  <c r="AE276" i="17" s="1"/>
  <c r="AD472" i="17"/>
  <c r="AE472" i="17" s="1"/>
  <c r="AD63" i="17"/>
  <c r="AE63" i="17" s="1"/>
  <c r="AD477" i="17"/>
  <c r="AE477" i="17" s="1"/>
  <c r="AD475" i="17"/>
  <c r="AE475" i="17" s="1"/>
  <c r="AD347" i="17"/>
  <c r="AE347" i="17" s="1"/>
  <c r="AD447" i="17"/>
  <c r="AE447" i="17" s="1"/>
  <c r="AD513" i="17"/>
  <c r="AE513" i="17" s="1"/>
  <c r="AD586" i="17"/>
  <c r="AE586" i="17" s="1"/>
  <c r="AD476" i="17"/>
  <c r="AE476" i="17" s="1"/>
  <c r="AD371" i="17"/>
  <c r="AE371" i="17" s="1"/>
  <c r="AD431" i="17"/>
  <c r="AE431" i="17" s="1"/>
  <c r="AD140" i="17"/>
  <c r="AE140" i="17" s="1"/>
  <c r="AD349" i="17"/>
  <c r="AE349" i="17" s="1"/>
  <c r="AD316" i="17"/>
  <c r="AE316" i="17" s="1"/>
  <c r="AD232" i="17"/>
  <c r="AE232" i="17" s="1"/>
  <c r="AD296" i="17"/>
  <c r="AE296" i="17" s="1"/>
  <c r="AD535" i="17"/>
  <c r="AE535" i="17" s="1"/>
  <c r="AD139" i="17"/>
  <c r="AE139" i="17" s="1"/>
  <c r="AD439" i="17"/>
  <c r="AE439" i="17" s="1"/>
  <c r="AD503" i="17"/>
  <c r="AE503" i="17" s="1"/>
  <c r="AD303" i="17"/>
  <c r="AE303" i="17" s="1"/>
  <c r="AD290" i="17"/>
  <c r="AE290" i="17" s="1"/>
  <c r="AD301" i="17"/>
  <c r="AE301" i="17" s="1"/>
  <c r="AD239" i="17"/>
  <c r="AE239" i="17" s="1"/>
  <c r="AD375" i="17"/>
  <c r="AE375" i="17" s="1"/>
  <c r="AD407" i="17"/>
  <c r="AE407" i="17" s="1"/>
  <c r="AD587" i="17"/>
  <c r="AE587" i="17" s="1"/>
  <c r="AD158" i="17"/>
  <c r="AE158" i="17" s="1"/>
  <c r="AD57" i="17"/>
  <c r="AE57" i="17" s="1"/>
  <c r="AD67" i="17"/>
  <c r="AE67" i="17" s="1"/>
  <c r="AD344" i="17"/>
  <c r="AE344" i="17" s="1"/>
  <c r="AD258" i="17"/>
  <c r="AE258" i="17" s="1"/>
  <c r="AD251" i="17"/>
  <c r="AE251" i="17" s="1"/>
  <c r="AD504" i="17"/>
  <c r="AE504" i="17" s="1"/>
  <c r="AD566" i="17"/>
  <c r="AE566" i="17" s="1"/>
  <c r="AD399" i="17"/>
  <c r="AE399" i="17" s="1"/>
  <c r="AD112" i="17"/>
  <c r="AE112" i="17" s="1"/>
  <c r="AD203" i="17"/>
  <c r="AE203" i="17" s="1"/>
  <c r="AD465" i="17"/>
  <c r="AE465" i="17" s="1"/>
  <c r="AD286" i="17"/>
  <c r="AE286" i="17" s="1"/>
  <c r="AD208" i="17"/>
  <c r="AE208" i="17" s="1"/>
  <c r="AD512" i="17"/>
  <c r="AE512" i="17" s="1"/>
  <c r="AD412" i="17"/>
  <c r="AE412" i="17" s="1"/>
  <c r="AD121" i="17"/>
  <c r="AE121" i="17" s="1"/>
  <c r="AD571" i="17"/>
  <c r="AE571" i="17" s="1"/>
  <c r="AD600" i="17"/>
  <c r="AE600" i="17" s="1"/>
  <c r="AD15" i="17"/>
  <c r="AE15" i="17" s="1"/>
  <c r="AD168" i="17"/>
  <c r="AE168" i="17" s="1"/>
  <c r="AD393" i="17"/>
  <c r="AE393" i="17" s="1"/>
  <c r="AD554" i="17"/>
  <c r="AE554" i="17" s="1"/>
  <c r="AD458" i="17"/>
  <c r="AE458" i="17" s="1"/>
  <c r="AD314" i="17"/>
  <c r="AE314" i="17" s="1"/>
  <c r="AD36" i="17"/>
  <c r="AE36" i="17" s="1"/>
  <c r="AD346" i="17"/>
  <c r="AE346" i="17" s="1"/>
  <c r="AD592" i="17"/>
  <c r="AE592" i="17" s="1"/>
  <c r="AD376" i="17"/>
  <c r="AE376" i="17" s="1"/>
  <c r="AD377" i="17"/>
  <c r="AE377" i="17" s="1"/>
  <c r="AD240" i="17"/>
  <c r="AE240" i="17" s="1"/>
  <c r="AD330" i="17"/>
  <c r="AE330" i="17" s="1"/>
  <c r="AD354" i="17"/>
  <c r="AE354" i="17" s="1"/>
  <c r="AD209" i="17"/>
  <c r="AE209" i="17" s="1"/>
  <c r="AD379" i="17"/>
  <c r="AE379" i="17" s="1"/>
  <c r="AD167" i="17"/>
  <c r="AE167" i="17" s="1"/>
  <c r="AD495" i="17"/>
  <c r="AE495" i="17" s="1"/>
  <c r="AD275" i="17"/>
  <c r="AE275" i="17" s="1"/>
  <c r="AD508" i="17"/>
  <c r="AE508" i="17" s="1"/>
  <c r="AD560" i="17"/>
  <c r="AE560" i="17" s="1"/>
  <c r="AD497" i="17"/>
  <c r="AE497" i="17" s="1"/>
  <c r="AD599" i="17"/>
  <c r="AE599" i="17" s="1"/>
  <c r="AD277" i="17"/>
  <c r="AE277" i="17" s="1"/>
  <c r="AD443" i="17"/>
  <c r="AE443" i="17" s="1"/>
  <c r="AD127" i="17"/>
  <c r="AE127" i="17" s="1"/>
  <c r="AD355" i="17"/>
  <c r="AE355" i="17" s="1"/>
  <c r="AD583" i="17"/>
  <c r="AE583" i="17" s="1"/>
  <c r="AD594" i="17"/>
  <c r="AE594" i="17" s="1"/>
  <c r="AD595" i="17"/>
  <c r="AE595" i="17" s="1"/>
  <c r="AD547" i="17"/>
  <c r="AE547" i="17" s="1"/>
  <c r="AD563" i="17"/>
  <c r="AE563" i="17" s="1"/>
  <c r="AD320" i="17"/>
  <c r="AE320" i="17" s="1"/>
  <c r="AD591" i="17"/>
  <c r="AE591" i="17" s="1"/>
  <c r="AD559" i="17"/>
  <c r="AE559" i="17" s="1"/>
  <c r="AD183" i="17"/>
  <c r="AE183" i="17" s="1"/>
  <c r="AD593" i="17"/>
  <c r="AE593" i="17" s="1"/>
  <c r="AD205" i="17"/>
  <c r="AE205" i="17" s="1"/>
  <c r="AD89" i="17"/>
  <c r="AE89" i="17" s="1"/>
  <c r="AD154" i="17"/>
  <c r="AE154" i="17" s="1"/>
  <c r="AD338" i="17"/>
  <c r="AE338" i="17" s="1"/>
  <c r="AD402" i="17"/>
  <c r="AE402" i="17" s="1"/>
  <c r="AD577" i="17"/>
  <c r="AE577" i="17" s="1"/>
  <c r="AD284" i="17"/>
  <c r="AE284" i="17" s="1"/>
  <c r="AD602" i="17"/>
  <c r="AE602" i="17" s="1"/>
  <c r="AD428" i="17"/>
  <c r="AE428" i="17" s="1"/>
  <c r="AD396" i="17"/>
  <c r="AE396" i="17" s="1"/>
  <c r="AD35" i="17"/>
  <c r="AE35" i="17" s="1"/>
  <c r="AD573" i="17"/>
  <c r="AE573" i="17" s="1"/>
  <c r="AD182" i="17"/>
  <c r="AE182" i="17" s="1"/>
  <c r="AD532" i="17"/>
  <c r="AE532" i="17" s="1"/>
  <c r="AD557" i="17"/>
  <c r="AE557" i="17" s="1"/>
  <c r="AD550" i="17"/>
  <c r="AE550" i="17" s="1"/>
  <c r="AD217" i="17"/>
  <c r="AE217" i="17" s="1"/>
  <c r="AD321" i="17"/>
  <c r="AE321" i="17" s="1"/>
  <c r="AD481" i="17"/>
  <c r="AE481" i="17" s="1"/>
  <c r="AD332" i="17"/>
  <c r="AE332" i="17" s="1"/>
  <c r="AD496" i="17"/>
  <c r="AE496" i="17" s="1"/>
  <c r="AD339" i="17"/>
  <c r="AE339" i="17" s="1"/>
  <c r="AD300" i="17"/>
  <c r="AE300" i="17" s="1"/>
  <c r="AD77" i="17"/>
  <c r="AE77" i="17" s="1"/>
  <c r="AD45" i="17"/>
  <c r="AE45" i="17" s="1"/>
  <c r="AD13" i="17"/>
  <c r="AE13" i="17" s="1"/>
  <c r="AD102" i="17"/>
  <c r="AE102" i="17" s="1"/>
  <c r="AD91" i="17"/>
  <c r="AE91" i="17" s="1"/>
  <c r="AD178" i="17"/>
  <c r="AE178" i="17" s="1"/>
  <c r="AD442" i="17"/>
  <c r="AE442" i="17" s="1"/>
  <c r="AD552" i="17"/>
  <c r="AE552" i="17" s="1"/>
  <c r="AD173" i="17"/>
  <c r="AE173" i="17" s="1"/>
  <c r="AD574" i="17"/>
  <c r="AE574" i="17" s="1"/>
  <c r="AD520" i="17"/>
  <c r="AE520" i="17" s="1"/>
  <c r="AD242" i="17"/>
  <c r="AE242" i="17" s="1"/>
  <c r="AD31" i="17"/>
  <c r="AE31" i="17" s="1"/>
  <c r="AD367" i="17"/>
  <c r="AE367" i="17" s="1"/>
  <c r="AD43" i="17"/>
  <c r="AE43" i="17" s="1"/>
  <c r="AD51" i="17"/>
  <c r="AE51" i="17" s="1"/>
  <c r="AD523" i="17"/>
  <c r="AE523" i="17" s="1"/>
  <c r="AD79" i="17"/>
  <c r="AE79" i="17" s="1"/>
  <c r="AD313" i="17"/>
  <c r="AE313" i="17" s="1"/>
  <c r="AD220" i="17"/>
  <c r="AE220" i="17" s="1"/>
  <c r="AD150" i="17"/>
  <c r="AE150" i="17" s="1"/>
  <c r="AD408" i="17"/>
  <c r="AE408" i="17" s="1"/>
  <c r="AD41" i="17"/>
  <c r="AE41" i="17" s="1"/>
  <c r="AD384" i="17"/>
  <c r="AE384" i="17" s="1"/>
  <c r="AD92" i="17"/>
  <c r="AE92" i="17" s="1"/>
  <c r="AD106" i="17"/>
  <c r="AE106" i="17" s="1"/>
  <c r="AD98" i="17"/>
  <c r="AE98" i="17" s="1"/>
  <c r="AD66" i="17"/>
  <c r="AE66" i="17" s="1"/>
  <c r="AD194" i="17"/>
  <c r="AE194" i="17" s="1"/>
  <c r="AD366" i="17"/>
  <c r="AE366" i="17" s="1"/>
  <c r="AD450" i="17"/>
  <c r="AE450" i="17" s="1"/>
  <c r="AD526" i="17"/>
  <c r="AE526" i="17" s="1"/>
  <c r="AD589" i="17"/>
  <c r="AE589" i="17" s="1"/>
  <c r="AD565" i="17"/>
  <c r="AE565" i="17" s="1"/>
  <c r="AD581" i="17"/>
  <c r="AE581" i="17" s="1"/>
  <c r="AD169" i="17"/>
  <c r="AE169" i="17" s="1"/>
  <c r="AD273" i="17"/>
  <c r="AE273" i="17" s="1"/>
  <c r="AD548" i="17"/>
  <c r="AE548" i="17" s="1"/>
  <c r="AD588" i="17"/>
  <c r="AE588" i="17" s="1"/>
  <c r="AD306" i="17"/>
  <c r="AE306" i="17" s="1"/>
  <c r="AD157" i="17"/>
  <c r="AE157" i="17" s="1"/>
  <c r="AD189" i="17"/>
  <c r="AE189" i="17" s="1"/>
  <c r="AD221" i="17"/>
  <c r="AE221" i="17" s="1"/>
  <c r="AD99" i="17"/>
  <c r="AE99" i="17" s="1"/>
  <c r="AD444" i="17"/>
  <c r="AE444" i="17" s="1"/>
  <c r="AD128" i="17"/>
  <c r="AE128" i="17" s="1"/>
  <c r="AD144" i="17"/>
  <c r="AE144" i="17" s="1"/>
  <c r="AD464" i="17"/>
  <c r="AE464" i="17" s="1"/>
  <c r="AD395" i="17"/>
  <c r="AE395" i="17" s="1"/>
  <c r="AD491" i="17"/>
  <c r="AE491" i="17" s="1"/>
  <c r="AD191" i="17"/>
  <c r="AE191" i="17" s="1"/>
  <c r="AD247" i="17"/>
  <c r="AE247" i="17" s="1"/>
  <c r="AD361" i="17"/>
  <c r="AE361" i="17" s="1"/>
  <c r="AD417" i="17"/>
  <c r="AE417" i="17" s="1"/>
  <c r="AD343" i="17"/>
  <c r="AE343" i="17" s="1"/>
  <c r="AD415" i="17"/>
  <c r="AE415" i="17" s="1"/>
  <c r="AD479" i="17"/>
  <c r="AE479" i="17" s="1"/>
  <c r="AD248" i="17"/>
  <c r="AE248" i="17" s="1"/>
  <c r="AD264" i="17"/>
  <c r="AE264" i="17" s="1"/>
  <c r="AD278" i="17"/>
  <c r="AE278" i="17" s="1"/>
  <c r="AD198" i="17"/>
  <c r="AE198" i="17" s="1"/>
  <c r="AD219" i="17"/>
  <c r="AE219" i="17" s="1"/>
  <c r="AD531" i="17"/>
  <c r="AE531" i="17" s="1"/>
  <c r="AD459" i="17"/>
  <c r="AE459" i="17" s="1"/>
  <c r="AD460" i="17"/>
  <c r="AE460" i="17" s="1"/>
  <c r="AD272" i="17"/>
  <c r="AE272" i="17" s="1"/>
  <c r="AD236" i="17"/>
  <c r="AE236" i="17" s="1"/>
  <c r="AD463" i="17"/>
  <c r="AE463" i="17" s="1"/>
  <c r="AD605" i="17"/>
  <c r="AE605" i="17" s="1"/>
  <c r="AD104" i="17"/>
  <c r="AE104" i="17" s="1"/>
  <c r="AD118" i="17"/>
  <c r="AE118" i="17" s="1"/>
  <c r="AD435" i="17"/>
  <c r="AE435" i="17" s="1"/>
  <c r="AD309" i="17"/>
  <c r="AE309" i="17" s="1"/>
  <c r="AD312" i="17"/>
  <c r="AE312" i="17" s="1"/>
  <c r="AD166" i="17"/>
  <c r="AE166" i="17" s="1"/>
  <c r="AD432" i="17"/>
  <c r="AE432" i="17" s="1"/>
  <c r="AD40" i="17"/>
  <c r="AE40" i="17" s="1"/>
  <c r="AD126" i="17"/>
  <c r="AE126" i="17" s="1"/>
  <c r="AD190" i="17"/>
  <c r="AE190" i="17" s="1"/>
  <c r="AD108" i="17"/>
  <c r="AE108" i="17" s="1"/>
  <c r="AD76" i="17"/>
  <c r="AE76" i="17" s="1"/>
  <c r="AD162" i="17"/>
  <c r="AE162" i="17" s="1"/>
  <c r="AD250" i="17"/>
  <c r="AE250" i="17" s="1"/>
  <c r="AD334" i="17"/>
  <c r="AE334" i="17" s="1"/>
  <c r="AD418" i="17"/>
  <c r="AE418" i="17" s="1"/>
  <c r="AD536" i="17"/>
  <c r="AE536" i="17" s="1"/>
  <c r="AD222" i="17"/>
  <c r="AE222" i="17" s="1"/>
  <c r="AD254" i="17"/>
  <c r="AE254" i="17" s="1"/>
  <c r="AD530" i="17"/>
  <c r="AE530" i="17" s="1"/>
  <c r="AD230" i="17"/>
  <c r="AE230" i="17" s="1"/>
  <c r="AD262" i="17"/>
  <c r="AE262" i="17" s="1"/>
  <c r="AD302" i="17"/>
  <c r="AE302" i="17" s="1"/>
  <c r="AD249" i="17"/>
  <c r="AE249" i="17" s="1"/>
  <c r="AD281" i="17"/>
  <c r="AE281" i="17" s="1"/>
  <c r="AD433" i="17"/>
  <c r="AE433" i="17" s="1"/>
  <c r="AD245" i="17"/>
  <c r="AE245" i="17" s="1"/>
  <c r="AD285" i="17"/>
  <c r="AE285" i="17" s="1"/>
  <c r="AD576" i="17"/>
  <c r="AE576" i="17" s="1"/>
  <c r="AD184" i="17"/>
  <c r="AE184" i="17" s="1"/>
  <c r="AD492" i="17"/>
  <c r="AE492" i="17" s="1"/>
  <c r="AD192" i="17"/>
  <c r="AE192" i="17" s="1"/>
  <c r="AD364" i="17"/>
  <c r="AE364" i="17" s="1"/>
  <c r="AD380" i="17"/>
  <c r="AE380" i="17" s="1"/>
  <c r="AD416" i="17"/>
  <c r="AE416" i="17" s="1"/>
  <c r="AD448" i="17"/>
  <c r="AE448" i="17" s="1"/>
  <c r="AD311" i="17"/>
  <c r="AE311" i="17" s="1"/>
  <c r="AD575" i="17"/>
  <c r="AE575" i="17" s="1"/>
  <c r="AD224" i="17"/>
  <c r="AE224" i="17" s="1"/>
  <c r="AD171" i="17"/>
  <c r="AE171" i="17" s="1"/>
  <c r="AD336" i="17"/>
  <c r="AE336" i="17" s="1"/>
  <c r="AD606" i="17"/>
  <c r="AE606" i="17" s="1"/>
  <c r="AD271" i="17"/>
  <c r="AE271" i="17" s="1"/>
  <c r="AD461" i="17"/>
  <c r="AE461" i="17" s="1"/>
  <c r="AD601" i="17"/>
  <c r="AE601" i="17" s="1"/>
  <c r="AD363" i="17"/>
  <c r="AE363" i="17" s="1"/>
  <c r="AD351" i="17"/>
  <c r="AE351" i="17" s="1"/>
  <c r="AD480" i="17"/>
  <c r="AE480" i="17" s="1"/>
  <c r="AD100" i="17"/>
  <c r="AE100" i="17" s="1"/>
  <c r="AD335" i="17"/>
  <c r="AE335" i="17" s="1"/>
  <c r="AD294" i="17"/>
  <c r="AE294" i="17" s="1"/>
  <c r="AD267" i="17"/>
  <c r="AE267" i="17" s="1"/>
  <c r="AD365" i="17"/>
  <c r="AE365" i="17" s="1"/>
  <c r="AD543" i="17"/>
  <c r="AE543" i="17" s="1"/>
  <c r="AD52" i="17"/>
  <c r="AE52" i="17" s="1"/>
  <c r="AD14" i="17"/>
  <c r="AE14" i="17" s="1"/>
  <c r="AD436" i="17"/>
  <c r="AE436" i="17" s="1"/>
  <c r="AD500" i="17"/>
  <c r="AE500" i="17" s="1"/>
  <c r="AD310" i="17"/>
  <c r="AE310" i="17" s="1"/>
  <c r="AD564" i="17"/>
  <c r="AE564" i="17" s="1"/>
  <c r="AD604" i="17"/>
  <c r="AE604" i="17" s="1"/>
  <c r="AD107" i="17"/>
  <c r="AE107" i="17" s="1"/>
  <c r="AD34" i="17"/>
  <c r="AE34" i="17" s="1"/>
  <c r="AD96" i="17"/>
  <c r="AE96" i="17" s="1"/>
  <c r="AD110" i="17"/>
  <c r="AE110" i="17" s="1"/>
  <c r="AD84" i="17"/>
  <c r="AE84" i="17" s="1"/>
  <c r="AD44" i="17"/>
  <c r="AE44" i="17" s="1"/>
  <c r="AD146" i="17"/>
  <c r="AE146" i="17" s="1"/>
  <c r="AD122" i="17"/>
  <c r="AE122" i="17" s="1"/>
  <c r="AD138" i="17"/>
  <c r="AE138" i="17" s="1"/>
  <c r="AD370" i="17"/>
  <c r="AE370" i="17" s="1"/>
  <c r="AD386" i="17"/>
  <c r="AE386" i="17" s="1"/>
  <c r="AD519" i="17"/>
  <c r="AE519" i="17" s="1"/>
  <c r="AD524" i="17"/>
  <c r="AE524" i="17" s="1"/>
  <c r="AD426" i="17"/>
  <c r="AE426" i="17" s="1"/>
  <c r="AD434" i="17"/>
  <c r="AE434" i="17" s="1"/>
  <c r="AD561" i="17"/>
  <c r="AE561" i="17" s="1"/>
  <c r="AD518" i="17"/>
  <c r="AE518" i="17" s="1"/>
  <c r="AD522" i="17"/>
  <c r="AE522" i="17" s="1"/>
  <c r="AD538" i="17"/>
  <c r="AE538" i="17" s="1"/>
  <c r="AD214" i="17"/>
  <c r="AE214" i="17" s="1"/>
  <c r="AD113" i="17"/>
  <c r="AE113" i="17" s="1"/>
  <c r="AD153" i="17"/>
  <c r="AE153" i="17" s="1"/>
  <c r="AD225" i="17"/>
  <c r="AE225" i="17" s="1"/>
  <c r="AD289" i="17"/>
  <c r="AE289" i="17" s="1"/>
  <c r="AD572" i="17"/>
  <c r="AE572" i="17" s="1"/>
  <c r="AD505" i="17"/>
  <c r="AE505" i="17" s="1"/>
  <c r="AD282" i="17"/>
  <c r="AE282" i="17" s="1"/>
  <c r="AD197" i="17"/>
  <c r="AE197" i="17" s="1"/>
  <c r="AD603" i="17"/>
  <c r="AE603" i="17" s="1"/>
  <c r="AD75" i="17"/>
  <c r="AE75" i="17" s="1"/>
  <c r="AD609" i="17"/>
  <c r="AE609" i="17" s="1"/>
  <c r="AD252" i="17"/>
  <c r="AE252" i="17" s="1"/>
  <c r="AD345" i="17"/>
  <c r="AE345" i="17" s="1"/>
  <c r="AD357" i="17"/>
  <c r="AE357" i="17" s="1"/>
  <c r="AD61" i="17"/>
  <c r="AE61" i="17" s="1"/>
  <c r="AD53" i="17"/>
  <c r="AE53" i="17" s="1"/>
  <c r="AD163" i="17"/>
  <c r="AE163" i="17" s="1"/>
  <c r="AD288" i="17"/>
  <c r="AE288" i="17" s="1"/>
  <c r="AD59" i="17"/>
  <c r="AE59" i="17" s="1"/>
  <c r="AD283" i="17"/>
  <c r="AE283" i="17" s="1"/>
  <c r="AD207" i="17"/>
  <c r="AE207" i="17" s="1"/>
  <c r="AD39" i="17"/>
  <c r="AE39" i="17" s="1"/>
  <c r="AD210" i="17"/>
  <c r="AE210" i="17" s="1"/>
  <c r="AD186" i="17"/>
  <c r="AE186" i="17" s="1"/>
  <c r="AD528" i="17"/>
  <c r="AE528" i="17" s="1"/>
  <c r="AD78" i="17"/>
  <c r="AE78" i="17" s="1"/>
  <c r="AD489" i="17"/>
  <c r="AE489" i="17" s="1"/>
  <c r="AD33" i="17"/>
  <c r="AE33" i="17" s="1"/>
  <c r="AD196" i="17"/>
  <c r="AE196" i="17" s="1"/>
  <c r="AD360" i="17"/>
  <c r="AE360" i="17" s="1"/>
  <c r="AD409" i="17"/>
  <c r="AE409" i="17" s="1"/>
  <c r="AD509" i="17"/>
  <c r="AE509" i="17" s="1"/>
  <c r="AD86" i="17"/>
  <c r="AE86" i="17" s="1"/>
  <c r="AD22" i="17"/>
  <c r="AE22" i="17" s="1"/>
  <c r="AD297" i="17"/>
  <c r="AE297" i="17" s="1"/>
  <c r="AD179" i="17"/>
  <c r="AE179" i="17" s="1"/>
  <c r="AD373" i="17"/>
  <c r="AE373" i="17" s="1"/>
  <c r="AD546" i="17"/>
  <c r="AE546" i="17" s="1"/>
  <c r="AD238" i="17"/>
  <c r="AE238" i="17" s="1"/>
  <c r="AD562" i="17"/>
  <c r="AE562" i="17" s="1"/>
  <c r="AD541" i="17"/>
  <c r="AE541" i="17" s="1"/>
  <c r="AD187" i="17"/>
  <c r="AE187" i="17" s="1"/>
  <c r="AD608" i="17"/>
  <c r="AE608" i="17" s="1"/>
  <c r="AD325" i="17"/>
  <c r="AE325" i="17" s="1"/>
  <c r="AD469" i="17"/>
  <c r="AE469" i="17" s="1"/>
  <c r="AD467" i="17"/>
  <c r="AE467" i="17" s="1"/>
  <c r="AD56" i="17"/>
  <c r="AE56" i="17" s="1"/>
  <c r="AD174" i="17"/>
  <c r="AE174" i="17" s="1"/>
  <c r="AD46" i="17"/>
  <c r="AE46" i="17" s="1"/>
  <c r="AD410" i="17"/>
  <c r="AE410" i="17" s="1"/>
  <c r="AD438" i="17"/>
  <c r="AE438" i="17" s="1"/>
  <c r="AD446" i="17"/>
  <c r="AE446" i="17" s="1"/>
  <c r="AD478" i="17"/>
  <c r="AE478" i="17" s="1"/>
  <c r="AD486" i="17"/>
  <c r="AE486" i="17" s="1"/>
  <c r="AD510" i="17"/>
  <c r="AE510" i="17" s="1"/>
  <c r="AD553" i="17"/>
  <c r="AE553" i="17" s="1"/>
  <c r="AD585" i="17"/>
  <c r="AE585" i="17" s="1"/>
  <c r="AD120" i="17"/>
  <c r="AE120" i="17" s="1"/>
  <c r="AD358" i="17"/>
  <c r="AE358" i="17" s="1"/>
  <c r="AD406" i="17"/>
  <c r="AE406" i="17" s="1"/>
  <c r="AD506" i="17"/>
  <c r="AE506" i="17" s="1"/>
  <c r="AD542" i="17"/>
  <c r="AE542" i="17" s="1"/>
  <c r="AD266" i="17"/>
  <c r="AE266" i="17" s="1"/>
  <c r="AD233" i="17"/>
  <c r="AE233" i="17" s="1"/>
  <c r="AD457" i="17"/>
  <c r="AE457" i="17" s="1"/>
  <c r="AD165" i="17"/>
  <c r="AE165" i="17" s="1"/>
  <c r="AD261" i="17"/>
  <c r="AE261" i="17" s="1"/>
  <c r="AD172" i="17"/>
  <c r="AE172" i="17" s="1"/>
  <c r="AD188" i="17"/>
  <c r="AE188" i="17" s="1"/>
  <c r="AD204" i="17"/>
  <c r="AE204" i="17" s="1"/>
  <c r="AD308" i="17"/>
  <c r="AE308" i="17" s="1"/>
  <c r="AD87" i="17"/>
  <c r="AE87" i="17" s="1"/>
  <c r="AD227" i="17"/>
  <c r="AE227" i="17" s="1"/>
  <c r="AD159" i="17"/>
  <c r="AE159" i="17" s="1"/>
  <c r="AD243" i="17"/>
  <c r="AE243" i="17" s="1"/>
  <c r="AD65" i="17"/>
  <c r="AE65" i="17" s="1"/>
  <c r="AD521" i="17"/>
  <c r="AE521" i="17" s="1"/>
  <c r="AD135" i="17"/>
  <c r="AE135" i="17" s="1"/>
  <c r="AD25" i="17"/>
  <c r="AE25" i="17" s="1"/>
  <c r="AD83" i="17"/>
  <c r="AE83" i="17" s="1"/>
  <c r="AD136" i="17"/>
  <c r="AE136" i="17" s="1"/>
  <c r="AD48" i="17"/>
  <c r="AE48" i="17" s="1"/>
  <c r="AD20" i="17"/>
  <c r="AE20" i="17" s="1"/>
  <c r="AD134" i="17"/>
  <c r="AE134" i="17" s="1"/>
  <c r="AD569" i="17"/>
  <c r="AE569" i="17" s="1"/>
  <c r="AD570" i="17"/>
  <c r="AE570" i="17" s="1"/>
  <c r="AD326" i="17"/>
  <c r="AE326" i="17" s="1"/>
  <c r="AD350" i="17"/>
  <c r="AE350" i="17" s="1"/>
  <c r="AD374" i="17"/>
  <c r="AE374" i="17" s="1"/>
  <c r="AD545" i="17"/>
  <c r="AE545" i="17" s="1"/>
  <c r="AD578" i="17"/>
  <c r="AE578" i="17" s="1"/>
  <c r="AD534" i="17"/>
  <c r="AE534" i="17" s="1"/>
  <c r="AD558" i="17"/>
  <c r="AE558" i="17" s="1"/>
  <c r="AD549" i="17"/>
  <c r="AE549" i="17" s="1"/>
  <c r="AD582" i="17"/>
  <c r="AE582" i="17" s="1"/>
  <c r="AD177" i="17"/>
  <c r="AE177" i="17" s="1"/>
  <c r="AD185" i="17"/>
  <c r="AE185" i="17" s="1"/>
  <c r="AD473" i="17"/>
  <c r="AE473" i="17" s="1"/>
  <c r="AD579" i="17"/>
  <c r="AE579" i="17" s="1"/>
  <c r="AD117" i="17"/>
  <c r="AE117" i="17" s="1"/>
  <c r="AD125" i="17"/>
  <c r="AE125" i="17" s="1"/>
  <c r="AD213" i="17"/>
  <c r="AE213" i="17" s="1"/>
  <c r="AD568" i="17"/>
  <c r="AE568" i="17" s="1"/>
  <c r="AD501" i="17"/>
  <c r="AE501" i="17" s="1"/>
  <c r="AD103" i="17"/>
  <c r="AE103" i="17" s="1"/>
  <c r="AD95" i="17"/>
  <c r="AE95" i="17" s="1"/>
  <c r="AD19" i="17"/>
  <c r="AE19" i="17" s="1"/>
  <c r="AD49" i="17"/>
  <c r="AE49" i="17" s="1"/>
  <c r="AD37" i="17"/>
  <c r="AE37" i="17" s="1"/>
  <c r="AD176" i="17"/>
  <c r="AE176" i="17" s="1"/>
  <c r="AD212" i="17"/>
  <c r="AE212" i="17" s="1"/>
  <c r="AD199" i="17"/>
  <c r="AE199" i="17" s="1"/>
  <c r="AD295" i="17"/>
  <c r="AE295" i="17" s="1"/>
  <c r="AD423" i="17"/>
  <c r="AE423" i="17" s="1"/>
  <c r="AD115" i="17"/>
  <c r="AE115" i="17" s="1"/>
  <c r="AD155" i="17"/>
  <c r="AE155" i="17" s="1"/>
  <c r="AD381" i="17"/>
  <c r="AE381" i="17" s="1"/>
  <c r="AD206" i="17"/>
  <c r="AE206" i="17" s="1"/>
  <c r="AD533" i="17"/>
  <c r="AE533" i="17" s="1"/>
  <c r="AD359" i="17"/>
  <c r="AE359" i="17" s="1"/>
  <c r="AD529" i="17"/>
  <c r="AE529" i="17" s="1"/>
  <c r="AD403" i="17"/>
  <c r="AE403" i="17" s="1"/>
  <c r="AD235" i="17"/>
  <c r="AE235" i="17" s="1"/>
  <c r="AD142" i="17"/>
  <c r="AE142" i="17" s="1"/>
  <c r="AD70" i="17"/>
  <c r="AE70" i="17" s="1"/>
  <c r="AD130" i="17"/>
  <c r="AE130" i="17" s="1"/>
  <c r="AD90" i="17"/>
  <c r="AE90" i="17" s="1"/>
  <c r="AD82" i="17"/>
  <c r="AE82" i="17" s="1"/>
  <c r="AD74" i="17"/>
  <c r="AE74" i="17" s="1"/>
  <c r="AD58" i="17"/>
  <c r="AE58" i="17" s="1"/>
  <c r="AD50" i="17"/>
  <c r="AE50" i="17" s="1"/>
  <c r="AD42" i="17"/>
  <c r="AE42" i="17" s="1"/>
  <c r="AD26" i="17"/>
  <c r="AE26" i="17" s="1"/>
  <c r="AD18" i="17"/>
  <c r="AE18" i="17" s="1"/>
  <c r="AD362" i="17"/>
  <c r="AE362" i="17" s="1"/>
  <c r="AD430" i="17"/>
  <c r="AE430" i="17" s="1"/>
  <c r="AD462" i="17"/>
  <c r="AE462" i="17" s="1"/>
  <c r="AD470" i="17"/>
  <c r="AE470" i="17" s="1"/>
  <c r="AD494" i="17"/>
  <c r="AE494" i="17" s="1"/>
  <c r="AD502" i="17"/>
  <c r="AE502" i="17" s="1"/>
  <c r="AD202" i="17"/>
  <c r="AE202" i="17" s="1"/>
  <c r="AD218" i="17"/>
  <c r="AE218" i="17" s="1"/>
  <c r="AD474" i="17"/>
  <c r="AE474" i="17" s="1"/>
  <c r="AD482" i="17"/>
  <c r="AE482" i="17" s="1"/>
  <c r="AD498" i="17"/>
  <c r="AE498" i="17" s="1"/>
  <c r="AD270" i="17"/>
  <c r="AE270" i="17" s="1"/>
  <c r="AD137" i="17"/>
  <c r="AE137" i="17" s="1"/>
  <c r="AD145" i="17"/>
  <c r="AE145" i="17" s="1"/>
  <c r="AD556" i="17"/>
  <c r="AE556" i="17" s="1"/>
  <c r="AD580" i="17"/>
  <c r="AE580" i="17" s="1"/>
  <c r="AD596" i="17"/>
  <c r="AE596" i="17" s="1"/>
  <c r="AD612" i="17"/>
  <c r="AE612" i="17" s="1"/>
  <c r="AD23" i="17"/>
  <c r="AE23" i="17" s="1"/>
  <c r="AD156" i="17"/>
  <c r="AE156" i="17" s="1"/>
  <c r="AD352" i="17"/>
  <c r="AE352" i="17" s="1"/>
  <c r="AD516" i="17"/>
  <c r="AE516" i="17" s="1"/>
  <c r="AD598" i="17"/>
  <c r="AE598" i="17" s="1"/>
  <c r="AD268" i="17"/>
  <c r="AE268" i="17" s="1"/>
  <c r="AD287" i="17"/>
  <c r="AE287" i="17" s="1"/>
  <c r="AD101" i="17"/>
  <c r="AE101" i="17" s="1"/>
  <c r="AD611" i="17"/>
  <c r="AE611" i="17" s="1"/>
  <c r="AD211" i="17"/>
  <c r="AE211" i="17" s="1"/>
  <c r="AD404" i="17"/>
  <c r="AE404" i="17" s="1"/>
  <c r="AD323" i="17"/>
  <c r="AE323" i="17" s="1"/>
  <c r="AD451" i="17"/>
  <c r="AE451" i="17" s="1"/>
  <c r="AD255" i="17"/>
  <c r="AE255" i="17" s="1"/>
  <c r="AD260" i="17"/>
  <c r="AE260" i="17" s="1"/>
  <c r="AD215" i="17"/>
  <c r="AE215" i="17" s="1"/>
  <c r="AD610" i="17"/>
  <c r="AE610" i="17" s="1"/>
  <c r="Y624" i="17"/>
  <c r="X624" i="17"/>
  <c r="Y625" i="17"/>
  <c r="AD132" i="17"/>
  <c r="AE132" i="17" s="1"/>
  <c r="AD164" i="17"/>
  <c r="AE164" i="17" s="1"/>
  <c r="AD180" i="17"/>
  <c r="AE180" i="17" s="1"/>
  <c r="AD424" i="17"/>
  <c r="AE424" i="17" s="1"/>
  <c r="AD244" i="17"/>
  <c r="AE244" i="17" s="1"/>
  <c r="AD391" i="17"/>
  <c r="AE391" i="17" s="1"/>
  <c r="AD200" i="17"/>
  <c r="AE200" i="17" s="1"/>
  <c r="AD291" i="17"/>
  <c r="AE291" i="17" s="1"/>
  <c r="AD388" i="17"/>
  <c r="AE388" i="17" s="1"/>
  <c r="AD24" i="17"/>
  <c r="AE24" i="17" s="1"/>
  <c r="AD88" i="17"/>
  <c r="AE88" i="17" s="1"/>
  <c r="AD94" i="17"/>
  <c r="AE94" i="17" s="1"/>
  <c r="AD62" i="17"/>
  <c r="AE62" i="17" s="1"/>
  <c r="AD54" i="17"/>
  <c r="AE54" i="17" s="1"/>
  <c r="AD38" i="17"/>
  <c r="AE38" i="17" s="1"/>
  <c r="AD30" i="17"/>
  <c r="AE30" i="17" s="1"/>
  <c r="AD318" i="17"/>
  <c r="AE318" i="17" s="1"/>
  <c r="AD382" i="17"/>
  <c r="AE382" i="17" s="1"/>
  <c r="AD398" i="17"/>
  <c r="AE398" i="17" s="1"/>
  <c r="AD133" i="17"/>
  <c r="AE133" i="17" s="1"/>
  <c r="AD544" i="17"/>
  <c r="AE544" i="17" s="1"/>
  <c r="AD453" i="17"/>
  <c r="AE453" i="17" s="1"/>
  <c r="AD93" i="17"/>
  <c r="AE93" i="17" s="1"/>
  <c r="AD29" i="17"/>
  <c r="AE29" i="17" s="1"/>
  <c r="AD124" i="17"/>
  <c r="AE124" i="17" s="1"/>
  <c r="AD148" i="17"/>
  <c r="AE148" i="17" s="1"/>
  <c r="AD160" i="17"/>
  <c r="AE160" i="17" s="1"/>
  <c r="AD440" i="17"/>
  <c r="AE440" i="17" s="1"/>
  <c r="AD483" i="17"/>
  <c r="AE483" i="17" s="1"/>
  <c r="AD228" i="17"/>
  <c r="AE228" i="17" s="1"/>
  <c r="AD279" i="17"/>
  <c r="AE279" i="17" s="1"/>
  <c r="AD337" i="17"/>
  <c r="AE337" i="17" s="1"/>
  <c r="AD401" i="17"/>
  <c r="AE401" i="17" s="1"/>
  <c r="AD327" i="17"/>
  <c r="AE327" i="17" s="1"/>
  <c r="AD455" i="17"/>
  <c r="AE455" i="17" s="1"/>
  <c r="AD597" i="17"/>
  <c r="AE597" i="17" s="1"/>
  <c r="AD317" i="17"/>
  <c r="AE317" i="17" s="1"/>
  <c r="AD389" i="17"/>
  <c r="AE389" i="17" s="1"/>
  <c r="AD397" i="17"/>
  <c r="AE397" i="17" s="1"/>
  <c r="AD161" i="17"/>
  <c r="AE161" i="17" s="1"/>
  <c r="AD193" i="17"/>
  <c r="AE193" i="17" s="1"/>
  <c r="AD201" i="17"/>
  <c r="AE201" i="17" s="1"/>
  <c r="AD265" i="17"/>
  <c r="AE265" i="17" s="1"/>
  <c r="AD517" i="17"/>
  <c r="AE517" i="17" s="1"/>
  <c r="AD425" i="17"/>
  <c r="AE425" i="17" s="1"/>
  <c r="AD441" i="17"/>
  <c r="AE441" i="17" s="1"/>
  <c r="AD607" i="17"/>
  <c r="AE607" i="17" s="1"/>
  <c r="AD149" i="17"/>
  <c r="AE149" i="17" s="1"/>
  <c r="AD181" i="17"/>
  <c r="AE181" i="17" s="1"/>
  <c r="AD229" i="17"/>
  <c r="AE229" i="17" s="1"/>
  <c r="AD293" i="17"/>
  <c r="AE293" i="17" s="1"/>
  <c r="AD152" i="17"/>
  <c r="AE152" i="17" s="1"/>
  <c r="AD328" i="17"/>
  <c r="AE328" i="17" s="1"/>
  <c r="AD392" i="17"/>
  <c r="AE392" i="17" s="1"/>
  <c r="AD356" i="17"/>
  <c r="AE356" i="17" s="1"/>
  <c r="AD420" i="17"/>
  <c r="AE420" i="17" s="1"/>
  <c r="AD484" i="17"/>
  <c r="AE484" i="17" s="1"/>
  <c r="AD69" i="17"/>
  <c r="AE69" i="17" s="1"/>
  <c r="AD324" i="17"/>
  <c r="AE324" i="17" s="1"/>
  <c r="AD340" i="17"/>
  <c r="AE340" i="17" s="1"/>
  <c r="AD456" i="17"/>
  <c r="AE456" i="17" s="1"/>
  <c r="AD387" i="17"/>
  <c r="AE387" i="17" s="1"/>
  <c r="AD515" i="17"/>
  <c r="AE515" i="17" s="1"/>
  <c r="AD119" i="17"/>
  <c r="AE119" i="17" s="1"/>
  <c r="AD414" i="17"/>
  <c r="AE414" i="17" s="1"/>
  <c r="AD452" i="17"/>
  <c r="AE452" i="17" s="1"/>
  <c r="AD141" i="17"/>
  <c r="AE141" i="17" s="1"/>
  <c r="AD421" i="17"/>
  <c r="AE421" i="17" s="1"/>
  <c r="AD485" i="17"/>
  <c r="AE485" i="17" s="1"/>
  <c r="AD368" i="17"/>
  <c r="AE368" i="17" s="1"/>
  <c r="AB625" i="17" l="1"/>
  <c r="AE7" i="17"/>
  <c r="Q4" i="17" s="1"/>
  <c r="AE9" i="17"/>
  <c r="Q5" i="17" s="1"/>
  <c r="B453" i="2" l="1"/>
  <c r="A453" i="2"/>
  <c r="A639" i="17"/>
  <c r="A640" i="17"/>
  <c r="D453" i="2"/>
  <c r="A617" i="17"/>
  <c r="F617" i="17" l="1"/>
  <c r="H617" i="17"/>
  <c r="G617" i="17"/>
  <c r="K617" i="17"/>
  <c r="I617" i="17"/>
  <c r="M617" i="17"/>
  <c r="C617" i="17"/>
  <c r="O617" i="17"/>
  <c r="J617" i="17"/>
  <c r="P617" i="17"/>
  <c r="A618" i="17"/>
  <c r="A619" i="17" s="1"/>
  <c r="L617" i="17"/>
  <c r="E617" i="17"/>
  <c r="N617" i="17"/>
  <c r="D617" i="17"/>
  <c r="R617" i="17" l="1"/>
  <c r="Q617" i="17"/>
  <c r="AB617" i="17"/>
  <c r="AA617" i="17"/>
  <c r="X617" i="17"/>
  <c r="Y617" i="17"/>
  <c r="R619" i="17" l="1"/>
  <c r="R620" i="17"/>
  <c r="S617" i="17"/>
  <c r="A454" i="2" s="1"/>
  <c r="B454"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s>
  <commentList>
    <comment ref="A3" authorId="0" shapeId="0" xr:uid="{00000000-0006-0000-0000-000001000000}">
      <text>
        <r>
          <rPr>
            <b/>
            <sz val="12"/>
            <color indexed="10"/>
            <rFont val="Tahoma"/>
            <family val="2"/>
          </rPr>
          <t>Welcome to the LM5175 Quickstart Design Tool</t>
        </r>
        <r>
          <rPr>
            <sz val="9"/>
            <color indexed="81"/>
            <rFont val="Tahoma"/>
            <family val="2"/>
          </rPr>
          <t xml:space="preserve">
This stand-alone tool facilitates and assists the power supply engineer with design of a DC/DC buck-boost converter based on the </t>
        </r>
        <r>
          <rPr>
            <b/>
            <sz val="9"/>
            <color indexed="81"/>
            <rFont val="Tahoma"/>
            <family val="2"/>
          </rPr>
          <t>LM5175 current-mode buck-boost controller</t>
        </r>
        <r>
          <rPr>
            <sz val="9"/>
            <color indexed="81"/>
            <rFont val="Tahoma"/>
            <family val="2"/>
          </rPr>
          <t xml:space="preserve">. As such, the user can expeditiously arrive at an optimized design by virtue of the following:
- Determine filter inductance and input and output filter capacitances
- Select components for soft-start, input UVLO and dither
- Optimize compensation values, slope compensation, and pole/zero placement in terms of control loop stability using crossover frequency as a performance metric
- Inspect converter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9.0,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LM5175 product datasheet and EVM user guides for more details.
</t>
        </r>
        <r>
          <rPr>
            <b/>
            <sz val="9"/>
            <color indexed="81"/>
            <rFont val="Tahoma"/>
            <family val="2"/>
          </rPr>
          <t>Rev 9.0, Timothy Hegarty, Texas Instruments, Inc.</t>
        </r>
      </text>
    </comment>
    <comment ref="F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LM5175 input voltage operating range is 3.5V to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t>
        </r>
        <r>
          <rPr>
            <sz val="9"/>
            <color indexed="81"/>
            <rFont val="Tahoma"/>
            <family val="2"/>
          </rPr>
          <t xml:space="preserve">
-The input voltage is below </t>
        </r>
        <r>
          <rPr>
            <b/>
            <sz val="9"/>
            <color indexed="10"/>
            <rFont val="Tahoma"/>
            <family val="2"/>
          </rPr>
          <t>3.5V</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LM5175 input voltage operating range is 3.5V to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LM5175 input voltage operating range is 3.5V to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t>
        </r>
        <r>
          <rPr>
            <sz val="9"/>
            <color indexed="81"/>
            <rFont val="Tahoma"/>
            <family val="2"/>
          </rPr>
          <t xml:space="preserve">
-The input voltage is below </t>
        </r>
        <r>
          <rPr>
            <b/>
            <sz val="9"/>
            <color indexed="10"/>
            <rFont val="Tahoma"/>
            <family val="2"/>
          </rPr>
          <t>3.5V</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-The output voltage is below 0.8V</t>
        </r>
      </text>
    </comment>
    <comment ref="F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free-running switching frequency set by the R</t>
        </r>
        <r>
          <rPr>
            <vertAlign val="subscript"/>
            <sz val="9"/>
            <color indexed="81"/>
            <rFont val="Tahoma"/>
            <family val="2"/>
          </rPr>
          <t>T</t>
        </r>
        <r>
          <rPr>
            <sz val="9"/>
            <color indexed="81"/>
            <rFont val="Tahoma"/>
            <family val="2"/>
          </rPr>
          <t xml:space="preserve"> resistor. 
</t>
        </r>
        <r>
          <rPr>
            <b/>
            <sz val="9"/>
            <color indexed="81"/>
            <rFont val="Tahoma"/>
            <family val="2"/>
          </rPr>
          <t xml:space="preserve">The text in the cell is blue if:
</t>
        </r>
        <r>
          <rPr>
            <b/>
            <sz val="9"/>
            <color indexed="39"/>
            <rFont val="Tahoma"/>
            <family val="2"/>
          </rPr>
          <t>-The frequency set by R</t>
        </r>
        <r>
          <rPr>
            <b/>
            <vertAlign val="subscript"/>
            <sz val="9"/>
            <color indexed="39"/>
            <rFont val="Tahoma"/>
            <family val="2"/>
          </rPr>
          <t>T</t>
        </r>
        <r>
          <rPr>
            <b/>
            <sz val="9"/>
            <color indexed="39"/>
            <rFont val="Tahoma"/>
            <family val="2"/>
          </rPr>
          <t xml:space="preserve"> is greater than the SYNC frequency
Note: the free-running frequency should be set 10% below the SYNC frequency.</t>
        </r>
        <r>
          <rPr>
            <sz val="9"/>
            <color indexed="81"/>
            <rFont val="Tahoma"/>
            <family val="2"/>
          </rPr>
          <t xml:space="preserve">
</t>
        </r>
        <r>
          <rPr>
            <b/>
            <sz val="9"/>
            <color indexed="81"/>
            <rFont val="Tahoma"/>
            <family val="2"/>
          </rPr>
          <t xml:space="preserve">The text in the cell is flagged red if:
</t>
        </r>
        <r>
          <rPr>
            <b/>
            <sz val="9"/>
            <color indexed="10"/>
            <rFont val="Tahoma"/>
            <family val="2"/>
          </rPr>
          <t>-The frequency is below 100 kHz
-The frequency is above 1 MHz</t>
        </r>
        <r>
          <rPr>
            <sz val="11"/>
            <color indexed="81"/>
            <rFont val="Tahoma"/>
            <family val="2"/>
          </rPr>
          <t xml:space="preserve">
</t>
        </r>
      </text>
    </comment>
    <comment ref="F16" authorId="0" shapeId="0" xr:uid="{00000000-0006-0000-0000-000008000000}">
      <text>
        <r>
          <rPr>
            <b/>
            <u/>
            <sz val="9"/>
            <color indexed="81"/>
            <rFont val="Tahoma"/>
            <family val="2"/>
          </rPr>
          <t>Filter Inductance</t>
        </r>
        <r>
          <rPr>
            <b/>
            <sz val="9"/>
            <color indexed="81"/>
            <rFont val="Tahoma"/>
            <family val="2"/>
          </rPr>
          <t xml:space="preserve">:
</t>
        </r>
        <r>
          <rPr>
            <sz val="9"/>
            <color indexed="81"/>
            <rFont val="Tahoma"/>
            <family val="2"/>
          </rPr>
          <t xml:space="preserve">Enter the filter inductance here.
Target inductor (peak-to-peak) ripple currrent is 80% of the DC full load </t>
        </r>
        <r>
          <rPr>
            <u/>
            <sz val="9"/>
            <color indexed="81"/>
            <rFont val="Tahoma"/>
            <family val="2"/>
          </rPr>
          <t>output</t>
        </r>
        <r>
          <rPr>
            <sz val="9"/>
            <color indexed="81"/>
            <rFont val="Tahoma"/>
            <family val="2"/>
          </rPr>
          <t xml:space="preserve"> current in BUCK mode at highest input voltage.
Target inductor (peak-to-peak) ripple currrent is 30% of the DC full load </t>
        </r>
        <r>
          <rPr>
            <u/>
            <sz val="9"/>
            <color indexed="81"/>
            <rFont val="Tahoma"/>
            <family val="2"/>
          </rPr>
          <t>input</t>
        </r>
        <r>
          <rPr>
            <sz val="9"/>
            <color indexed="81"/>
            <rFont val="Tahoma"/>
            <family val="2"/>
          </rPr>
          <t xml:space="preserve"> current in BOOST mode at lowest input voltage.</t>
        </r>
      </text>
    </comment>
    <comment ref="F17" authorId="0" shapeId="0" xr:uid="{00000000-0006-0000-0000-000009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6" authorId="0" shapeId="0" xr:uid="{00000000-0006-0000-0000-00000A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for output current. A typical level is 125% of full load current.</t>
        </r>
      </text>
    </comment>
    <comment ref="F27" authorId="0" shapeId="0" xr:uid="{00000000-0006-0000-0000-00000B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The thresholds in BUCK and BOOST modes are 80mV and 160mV, respectively, with </t>
        </r>
        <r>
          <rPr>
            <sz val="9"/>
            <color indexed="81"/>
            <rFont val="Calibri"/>
            <family val="2"/>
          </rPr>
          <t>±3</t>
        </r>
        <r>
          <rPr>
            <sz val="9"/>
            <color indexed="81"/>
            <rFont val="Tahoma"/>
            <family val="2"/>
          </rPr>
          <t xml:space="preserve">0% tolerance.
There is also a 1.5V high-side buck switch short-circuit threshold.
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CSG pins.</t>
        </r>
      </text>
    </comment>
    <comment ref="F29" authorId="0" shapeId="0" xr:uid="{00000000-0006-0000-0000-00000C000000}">
      <text>
        <r>
          <rPr>
            <b/>
            <u/>
            <sz val="9"/>
            <color indexed="81"/>
            <rFont val="Tahoma"/>
            <family val="2"/>
          </rPr>
          <t>Peak Inductor Current</t>
        </r>
        <r>
          <rPr>
            <b/>
            <sz val="9"/>
            <color indexed="81"/>
            <rFont val="Tahoma"/>
            <family val="2"/>
          </rPr>
          <t>:</t>
        </r>
        <r>
          <rPr>
            <sz val="9"/>
            <color indexed="81"/>
            <rFont val="Tahoma"/>
            <family val="2"/>
          </rPr>
          <t xml:space="preserve">
Maximum current in the inductor usually occurs at V</t>
        </r>
        <r>
          <rPr>
            <vertAlign val="subscript"/>
            <sz val="9"/>
            <color indexed="81"/>
            <rFont val="Tahoma"/>
            <family val="2"/>
          </rPr>
          <t>IN(min)</t>
        </r>
        <r>
          <rPr>
            <sz val="9"/>
            <color indexed="81"/>
            <rFont val="Tahoma"/>
            <family val="2"/>
          </rPr>
          <t>. The result is corresponds to onset of current limit and is intended as a guide to inductor selection as it relates to saturation current.</t>
        </r>
      </text>
    </comment>
    <comment ref="F30" authorId="0" shapeId="0" xr:uid="{00000000-0006-0000-0000-00000D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The result is provided at full load current.
Of course, the dissipation is higher in an overcurrent condition, and the shunt should be rated for this condition.</t>
        </r>
      </text>
    </comment>
    <comment ref="F36" authorId="0" shapeId="0" xr:uid="{00000000-0006-0000-0000-00000E000000}">
      <text>
        <r>
          <rPr>
            <b/>
            <u/>
            <sz val="9"/>
            <color indexed="81"/>
            <rFont val="Tahoma"/>
            <family val="2"/>
          </rPr>
          <t>Constant Current Loop</t>
        </r>
        <r>
          <rPr>
            <b/>
            <sz val="9"/>
            <color indexed="81"/>
            <rFont val="Tahoma"/>
            <family val="2"/>
          </rPr>
          <t>:</t>
        </r>
        <r>
          <rPr>
            <sz val="9"/>
            <color indexed="81"/>
            <rFont val="Tahoma"/>
            <family val="2"/>
          </rPr>
          <t xml:space="preserve">
Enter "N/A" if not required.</t>
        </r>
      </text>
    </comment>
    <comment ref="F37" authorId="0" shapeId="0" xr:uid="{00000000-0006-0000-0000-00000F000000}">
      <text>
        <r>
          <rPr>
            <b/>
            <u/>
            <sz val="9"/>
            <color indexed="81"/>
            <rFont val="Tahoma"/>
            <family val="2"/>
          </rPr>
          <t>Output Shunt Resistance</t>
        </r>
        <r>
          <rPr>
            <b/>
            <sz val="9"/>
            <color indexed="81"/>
            <rFont val="Tahoma"/>
            <family val="2"/>
          </rPr>
          <t>:
R</t>
        </r>
        <r>
          <rPr>
            <b/>
            <vertAlign val="subscript"/>
            <sz val="9"/>
            <color indexed="81"/>
            <rFont val="Tahoma"/>
            <family val="2"/>
          </rPr>
          <t>SHUNT</t>
        </r>
        <r>
          <rPr>
            <sz val="9"/>
            <color indexed="81"/>
            <rFont val="Tahoma"/>
            <family val="2"/>
          </rPr>
          <t xml:space="preserve"> is calculated based on the desired constant current loop setpoint.
Specifically, the LM5175 design tool sets the constant current loop based on the transconductance amplifier with g</t>
        </r>
        <r>
          <rPr>
            <vertAlign val="subscript"/>
            <sz val="9"/>
            <color indexed="81"/>
            <rFont val="Tahoma"/>
            <family val="2"/>
          </rPr>
          <t>m</t>
        </r>
        <r>
          <rPr>
            <sz val="9"/>
            <color indexed="81"/>
            <rFont val="Tahoma"/>
            <family val="2"/>
          </rPr>
          <t xml:space="preserve"> = 2mA/V and current limit threshold of 50mV </t>
        </r>
        <r>
          <rPr>
            <sz val="9"/>
            <color indexed="81"/>
            <rFont val="Calibri"/>
            <family val="2"/>
          </rPr>
          <t>±</t>
        </r>
        <r>
          <rPr>
            <sz val="9"/>
            <color indexed="81"/>
            <rFont val="Tahoma"/>
            <family val="2"/>
          </rPr>
          <t>10%.</t>
        </r>
      </text>
    </comment>
    <comment ref="F40" authorId="0" shapeId="0" xr:uid="{00000000-0006-0000-0000-000010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sz val="9"/>
            <color indexed="39"/>
            <rFont val="Tahoma"/>
            <family val="2"/>
          </rPr>
          <t xml:space="preserve">
Max output ripple will likely occur at VIN(min) in BOOST mode or perhaps at VIN(max) in BUCK mode.</t>
        </r>
        <r>
          <rPr>
            <b/>
            <sz val="9"/>
            <color indexed="81"/>
            <rFont val="Tahoma"/>
            <family val="2"/>
          </rPr>
          <t xml:space="preserve">
The text in the cell is flagged red if:
</t>
        </r>
        <r>
          <rPr>
            <b/>
            <sz val="9"/>
            <color indexed="10"/>
            <rFont val="Tahoma"/>
            <family val="2"/>
          </rPr>
          <t>-The output voltage ripple is zero.</t>
        </r>
      </text>
    </comment>
    <comment ref="F42" authorId="0" shapeId="0" xr:uid="{00000000-0006-0000-0000-000011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44" authorId="0" shapeId="0" xr:uid="{00000000-0006-0000-0000-000012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9" authorId="0" shapeId="0" xr:uid="{00000000-0006-0000-0000-000013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51" authorId="0" shapeId="0" xr:uid="{00000000-0006-0000-0000-000014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53" authorId="0" shapeId="0" xr:uid="{00000000-0006-0000-0000-000015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8" authorId="0" shapeId="0" xr:uid="{00000000-0006-0000-0000-000016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The soft-start time cannot be shorter than the internal 1.28 ms soft-start timer.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1.28 ms.</t>
        </r>
      </text>
    </comment>
    <comment ref="F60" authorId="0" shapeId="0" xr:uid="{00000000-0006-0000-0000-000017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1.22V bandgap, i.e. 122mV amplitude, and sets up a ±5% modulation of the nominal oscillator frequency.
Note that the LM5175 does not perform dither if the SYNC function is used.
</t>
        </r>
        <r>
          <rPr>
            <b/>
            <sz val="9"/>
            <color indexed="39"/>
            <rFont val="Tahoma"/>
            <family val="2"/>
          </rPr>
          <t xml:space="preserve">
If the dither feature is not required, the DITH pin should be tied to GND.</t>
        </r>
        <r>
          <rPr>
            <sz val="9"/>
            <color indexed="81"/>
            <rFont val="Tahoma"/>
            <family val="2"/>
          </rPr>
          <t xml:space="preserve">
</t>
        </r>
      </text>
    </comment>
    <comment ref="F62" authorId="0" shapeId="0" xr:uid="{00000000-0006-0000-0000-000018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LM5175 input operating voltage range is 3.5V to 60V.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59V</t>
        </r>
        <r>
          <rPr>
            <sz val="9"/>
            <color indexed="81"/>
            <rFont val="Tahoma"/>
            <family val="2"/>
          </rPr>
          <t xml:space="preserve">
-The input voltage is below </t>
        </r>
        <r>
          <rPr>
            <b/>
            <sz val="9"/>
            <color indexed="10"/>
            <rFont val="Tahoma"/>
            <family val="2"/>
          </rPr>
          <t>3.5V</t>
        </r>
      </text>
    </comment>
    <comment ref="F64" authorId="0" shapeId="0" xr:uid="{00000000-0006-0000-0000-000019000000}">
      <text>
        <r>
          <rPr>
            <b/>
            <u/>
            <sz val="9"/>
            <color indexed="81"/>
            <rFont val="Tahoma"/>
            <family val="2"/>
          </rPr>
          <t>Nominal UVLO Upper Resistor</t>
        </r>
        <r>
          <rPr>
            <b/>
            <sz val="9"/>
            <color indexed="81"/>
            <rFont val="Tahoma"/>
            <family val="2"/>
          </rPr>
          <t>:</t>
        </r>
        <r>
          <rPr>
            <sz val="9"/>
            <color indexed="81"/>
            <rFont val="Tahoma"/>
            <family val="2"/>
          </rPr>
          <t xml:space="preserve">
This is the upper UVLO resistor that sets the input voltage turn on. A recommended starting value of R</t>
        </r>
        <r>
          <rPr>
            <vertAlign val="subscript"/>
            <sz val="9"/>
            <color indexed="81"/>
            <rFont val="Tahoma"/>
            <family val="2"/>
          </rPr>
          <t>UV1</t>
        </r>
        <r>
          <rPr>
            <sz val="9"/>
            <color indexed="81"/>
            <rFont val="Tahoma"/>
            <family val="2"/>
          </rPr>
          <t xml:space="preserve"> is 200kΩ.</t>
        </r>
      </text>
    </comment>
    <comment ref="F71" authorId="0" shapeId="0" xr:uid="{00000000-0006-0000-0000-00001A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5% and 20% of switching frequency). This feedback compensation components are determined based on this target performance metric.
</t>
        </r>
        <r>
          <rPr>
            <b/>
            <sz val="9"/>
            <color indexed="39"/>
            <rFont val="Tahoma"/>
            <family val="2"/>
          </rPr>
          <t>Note:</t>
        </r>
        <r>
          <rPr>
            <sz val="9"/>
            <color indexed="81"/>
            <rFont val="Tahoma"/>
            <family val="2"/>
          </rPr>
          <t xml:space="preserve">
</t>
        </r>
        <r>
          <rPr>
            <b/>
            <sz val="9"/>
            <color indexed="81"/>
            <rFont val="Tahoma"/>
            <family val="2"/>
          </rPr>
          <t>Compensaton components are calculated based on the nominal input voltage entered in Step 1.</t>
        </r>
        <r>
          <rPr>
            <sz val="9"/>
            <color indexed="81"/>
            <rFont val="Tahoma"/>
            <family val="2"/>
          </rPr>
          <t xml:space="preserve">
</t>
        </r>
        <r>
          <rPr>
            <b/>
            <sz val="9"/>
            <color indexed="10"/>
            <rFont val="Tahoma"/>
            <family val="2"/>
          </rPr>
          <t xml:space="preserve">
** After fixing the compensation components, sweep VIN(nom) across the input range to ensure adequate stability performance, especially at low VIN **</t>
        </r>
      </text>
    </comment>
    <comment ref="F73" authorId="0" shapeId="0" xr:uid="{00000000-0006-0000-0000-00001B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77" authorId="0" shapeId="0" xr:uid="{00000000-0006-0000-0000-00001C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nominal input voltage from Step 1 and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Sweep VIN(nom) across the required input range to ensure adequate stability performance, especially at low VIN.</t>
        </r>
      </text>
    </comment>
    <comment ref="J78" authorId="0" shapeId="0" xr:uid="{00000000-0006-0000-0000-00001D000000}">
      <text>
        <r>
          <rPr>
            <b/>
            <u/>
            <sz val="9"/>
            <color indexed="81"/>
            <rFont val="Tahoma"/>
            <family val="2"/>
          </rPr>
          <t>COMP Min Voltage</t>
        </r>
        <r>
          <rPr>
            <b/>
            <sz val="9"/>
            <color indexed="81"/>
            <rFont val="Tahoma"/>
            <family val="2"/>
          </rPr>
          <t>:</t>
        </r>
        <r>
          <rPr>
            <sz val="9"/>
            <color indexed="81"/>
            <rFont val="Tahoma"/>
            <family val="2"/>
          </rPr>
          <t xml:space="preserve">
This is the minimum steady state COMP voltage -- usually occurring at VIN(max) and no load -- and should be greater than 0.3V.</t>
        </r>
      </text>
    </comment>
    <comment ref="J79" authorId="0" shapeId="0" xr:uid="{00000000-0006-0000-0000-00001E000000}">
      <text>
        <r>
          <rPr>
            <b/>
            <u/>
            <sz val="9"/>
            <color indexed="81"/>
            <rFont val="Tahoma"/>
            <family val="2"/>
          </rPr>
          <t>COMP Max Voltage</t>
        </r>
        <r>
          <rPr>
            <b/>
            <sz val="9"/>
            <color indexed="81"/>
            <rFont val="Tahoma"/>
            <family val="2"/>
          </rPr>
          <t xml:space="preserve">:
</t>
        </r>
        <r>
          <rPr>
            <sz val="9"/>
            <color indexed="81"/>
            <rFont val="Tahoma"/>
            <family val="2"/>
          </rPr>
          <t>This is the maximum steady state COMP voltage -- usually occurring at VIN(min) and full load -- and should be less than 3.0V.</t>
        </r>
      </text>
    </comment>
    <comment ref="E87" authorId="1"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7" authorId="1" shapeId="0" xr:uid="{00000000-0006-0000-0000-000020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8" authorId="1"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F88" authorId="1" shapeId="0" xr:uid="{00000000-0006-0000-0000-000022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7.5V)</t>
        </r>
      </text>
    </comment>
    <comment ref="E89" authorId="1"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9" authorId="1" shapeId="0" xr:uid="{00000000-0006-0000-0000-000024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buck low-side MOSFET here.</t>
        </r>
      </text>
    </comment>
    <comment ref="E90" authorId="1"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90" authorId="1" shapeId="0" xr:uid="{00000000-0006-0000-0000-000026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91" authorId="1" shapeId="0" xr:uid="{00000000-0006-0000-0000-000027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91" authorId="1" shapeId="0" xr:uid="{00000000-0006-0000-0000-000028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2" authorId="1" shapeId="0" xr:uid="{00000000-0006-0000-0000-000029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2" authorId="1" shapeId="0" xr:uid="{00000000-0006-0000-0000-00002A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3" authorId="1" shapeId="0" xr:uid="{00000000-0006-0000-0000-00002B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3" authorId="1" shapeId="0" xr:uid="{00000000-0006-0000-0000-00002C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4" authorId="1" shapeId="0" xr:uid="{00000000-0006-0000-0000-00002D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4" authorId="1" shapeId="0" xr:uid="{00000000-0006-0000-0000-00002E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5" authorId="1" shapeId="0" xr:uid="{00000000-0006-0000-0000-00002F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6" authorId="1" shapeId="0" xr:uid="{00000000-0006-0000-0000-000030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6" authorId="1" shapeId="0" xr:uid="{00000000-0006-0000-0000-000031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0" authorId="1" shapeId="0" xr:uid="{00000000-0006-0000-0000-000032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high-side MOSFET here at the appropriate gate drive level. High current designs (&gt;5A)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F100" authorId="1" shapeId="0" xr:uid="{00000000-0006-0000-0000-000033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at the appropriate gate drive level. High current designs (&gt;5A)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101" authorId="1" shapeId="0" xr:uid="{00000000-0006-0000-0000-000034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MOSFET here, based on V</t>
        </r>
        <r>
          <rPr>
            <vertAlign val="subscript"/>
            <sz val="10"/>
            <color indexed="81"/>
            <rFont val="Tahoma"/>
            <family val="2"/>
          </rPr>
          <t>GS</t>
        </r>
        <r>
          <rPr>
            <sz val="10"/>
            <color indexed="81"/>
            <rFont val="Tahoma"/>
            <family val="2"/>
          </rPr>
          <t xml:space="preserve"> = 7.5V.</t>
        </r>
      </text>
    </comment>
    <comment ref="F101" authorId="1" shapeId="0" xr:uid="{00000000-0006-0000-0000-000035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MOSFET here, based on V</t>
        </r>
        <r>
          <rPr>
            <vertAlign val="subscript"/>
            <sz val="10"/>
            <color indexed="81"/>
            <rFont val="Tahoma"/>
            <family val="2"/>
          </rPr>
          <t>GS</t>
        </r>
        <r>
          <rPr>
            <sz val="10"/>
            <color indexed="81"/>
            <rFont val="Tahoma"/>
            <family val="2"/>
          </rPr>
          <t xml:space="preserve"> = 7.5V.</t>
        </r>
      </text>
    </comment>
    <comment ref="E102" authorId="1" shapeId="0" xr:uid="{00000000-0006-0000-0000-000036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boost high-side MOSFET here.</t>
        </r>
      </text>
    </comment>
    <comment ref="F102" authorId="1" shapeId="0" xr:uid="{00000000-0006-0000-0000-000037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boost low-side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103" authorId="1" shapeId="0" xr:uid="{00000000-0006-0000-0000-000038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103" authorId="1" shapeId="0" xr:uid="{00000000-0006-0000-0000-000039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104" authorId="1" shapeId="0" xr:uid="{00000000-0006-0000-0000-00003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boost high-side MOSFET gate resistance here. </t>
        </r>
      </text>
    </comment>
    <comment ref="F104" authorId="1" shapeId="0" xr:uid="{00000000-0006-0000-0000-00003B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105" authorId="1" shapeId="0" xr:uid="{00000000-0006-0000-0000-00003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105" authorId="1" shapeId="0" xr:uid="{00000000-0006-0000-0000-00003D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106" authorId="1" shapeId="0" xr:uid="{00000000-0006-0000-0000-00003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high-side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106" authorId="1" shapeId="0" xr:uid="{00000000-0006-0000-0000-00003F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low-side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107" authorId="1" shapeId="0" xr:uid="{00000000-0006-0000-0000-000040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high-side MOSFET body diode can contribute power loss in boost operation - related to (1) body diode conduction drop during the deadtime, and (2) diode reverse recovery current.</t>
        </r>
      </text>
    </comment>
    <comment ref="F107" authorId="1" shapeId="0" xr:uid="{00000000-0006-0000-0000-000041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power loss related to body diode conduction drop during the deadtime at light loads.</t>
        </r>
      </text>
    </comment>
    <comment ref="E108" authorId="1" shapeId="0" xr:uid="{00000000-0006-0000-0000-000042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boost high-side MOSFET body diode here. </t>
        </r>
      </text>
    </comment>
    <comment ref="E109" authorId="1" shapeId="0" xr:uid="{00000000-0006-0000-0000-00004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9" authorId="1" shapeId="0" xr:uid="{00000000-0006-0000-0000-00004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12" authorId="1" shapeId="0" xr:uid="{00000000-0006-0000-0000-000045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F112" authorId="1" shapeId="0" xr:uid="{00000000-0006-0000-0000-000046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13" authorId="1" shapeId="0" xr:uid="{00000000-0006-0000-0000-000047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13" authorId="1" shapeId="0" xr:uid="{00000000-0006-0000-0000-000048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List>
</comments>
</file>

<file path=xl/sharedStrings.xml><?xml version="1.0" encoding="utf-8"?>
<sst xmlns="http://schemas.openxmlformats.org/spreadsheetml/2006/main" count="1961" uniqueCount="965">
  <si>
    <t>V</t>
  </si>
  <si>
    <t>Output Voltage</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</si>
  <si>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</si>
  <si>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</si>
  <si>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</si>
  <si>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</si>
  <si>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</si>
  <si>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</si>
  <si>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</si>
  <si>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</si>
  <si>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</si>
  <si>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</si>
  <si>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</si>
  <si>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</si>
  <si>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</si>
  <si>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</si>
  <si>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</si>
  <si>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</si>
  <si>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</si>
  <si>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</si>
  <si>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</si>
  <si>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</si>
  <si>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</si>
  <si>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Minimum Output Capacitnace</t>
  </si>
  <si>
    <t>Coutmin</t>
  </si>
  <si>
    <t>uF</t>
  </si>
  <si>
    <t>F</t>
  </si>
  <si>
    <t>Cout</t>
  </si>
  <si>
    <t>Fesr</t>
  </si>
  <si>
    <t>Q</t>
  </si>
  <si>
    <t>V/V</t>
  </si>
  <si>
    <t>Rfb1</t>
  </si>
  <si>
    <t>pF</t>
  </si>
  <si>
    <t>Cc1ea</t>
  </si>
  <si>
    <t>Cc2ea</t>
  </si>
  <si>
    <t>Rcea1</t>
  </si>
  <si>
    <t>Rcea1_u</t>
  </si>
  <si>
    <t>Cc1ea_u</t>
  </si>
  <si>
    <t>Cc2ea_u</t>
  </si>
  <si>
    <t>Fz1</t>
  </si>
  <si>
    <t>Fp1</t>
  </si>
  <si>
    <t>Pi</t>
  </si>
  <si>
    <t>Vp-p</t>
  </si>
  <si>
    <t>Rfb2</t>
  </si>
  <si>
    <t>Vref</t>
  </si>
  <si>
    <t>Reference Voltage</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</si>
  <si>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</si>
  <si>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</si>
  <si>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</si>
  <si>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</si>
  <si>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</si>
  <si>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</si>
  <si>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</si>
  <si>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</si>
  <si>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</si>
  <si>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</si>
  <si>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</si>
  <si>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</si>
  <si>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</si>
  <si>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</si>
  <si>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</si>
  <si>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</si>
  <si>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</si>
  <si>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</si>
  <si>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</si>
  <si>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</si>
  <si>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</si>
  <si>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</si>
  <si>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</si>
  <si>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</si>
  <si>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</si>
  <si>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</si>
  <si>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</si>
  <si>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</si>
  <si>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</si>
  <si>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</si>
  <si>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</si>
  <si>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</si>
  <si>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</si>
  <si>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</si>
  <si>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</si>
  <si>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</si>
  <si>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</si>
  <si>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</si>
  <si>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</si>
  <si>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</si>
  <si>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</si>
  <si>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</si>
  <si>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</si>
  <si>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</si>
  <si>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</si>
  <si>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</si>
  <si>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</si>
  <si>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</si>
  <si>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</si>
  <si>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</si>
  <si>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</si>
  <si>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</si>
  <si>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</si>
  <si>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</si>
  <si>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</si>
  <si>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</si>
  <si>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</si>
  <si>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</si>
  <si>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</si>
  <si>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</si>
  <si>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</si>
  <si>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</si>
  <si>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</si>
  <si>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</si>
  <si>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</si>
  <si>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</si>
  <si>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</si>
  <si>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</si>
  <si>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</si>
  <si>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</si>
  <si>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</si>
  <si>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</si>
  <si>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</si>
  <si>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</si>
  <si>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</si>
  <si>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</si>
  <si>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</si>
  <si>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</si>
  <si>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</si>
  <si>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</si>
  <si>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</si>
  <si>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</si>
  <si>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</si>
  <si>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</si>
  <si>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</si>
  <si>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</si>
  <si>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</si>
  <si>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</si>
  <si>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</si>
  <si>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</si>
  <si>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</si>
  <si>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</si>
  <si>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</si>
  <si>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</si>
  <si>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</si>
  <si>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</si>
  <si>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</si>
  <si>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</si>
  <si>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</si>
  <si>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</si>
  <si>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</si>
  <si>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</si>
  <si>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</si>
  <si>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RdsonDRB2</t>
  </si>
  <si>
    <t>RdsonDRT2</t>
  </si>
  <si>
    <t>EFF_1 @ 25°C</t>
  </si>
  <si>
    <t>Efficiency</t>
  </si>
  <si>
    <t>Pdis</t>
  </si>
  <si>
    <t>Vin=10V</t>
  </si>
  <si>
    <t>Vout=5.1V</t>
  </si>
  <si>
    <t xml:space="preserve">L=3.3uH/30mOhm </t>
  </si>
  <si>
    <t>4394 Top and Bottom Fets</t>
  </si>
  <si>
    <t xml:space="preserve">IQ </t>
  </si>
  <si>
    <t>ThetaCa</t>
  </si>
  <si>
    <t>Core to Ambient Thermal Resistance</t>
  </si>
  <si>
    <t>Quiescent Current Of Controller (Not Switching!)</t>
  </si>
  <si>
    <t>This pole cancels the zero from the Output Cap ESR</t>
  </si>
  <si>
    <t>s</t>
  </si>
  <si>
    <t>Part Characteristics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</si>
  <si>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</si>
  <si>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</si>
  <si>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</si>
  <si>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</si>
  <si>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</si>
  <si>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</si>
  <si>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</si>
  <si>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</si>
  <si>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</si>
  <si>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</si>
  <si>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</si>
  <si>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</si>
  <si>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</si>
  <si>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</si>
  <si>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</si>
  <si>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</si>
  <si>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</si>
  <si>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</si>
  <si>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</si>
  <si>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</si>
  <si>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</si>
  <si>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</si>
  <si>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</si>
  <si>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</si>
  <si>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</si>
  <si>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</si>
  <si>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Csb</t>
  </si>
  <si>
    <t>Rh</t>
  </si>
  <si>
    <t>Capacitors</t>
  </si>
  <si>
    <t>(pF)</t>
  </si>
  <si>
    <t>Standard Result</t>
  </si>
  <si>
    <t>Inputs</t>
  </si>
  <si>
    <t>Css_u</t>
  </si>
  <si>
    <t>Resistors</t>
  </si>
  <si>
    <t>inputs</t>
  </si>
  <si>
    <t>Rs</t>
  </si>
  <si>
    <t xml:space="preserve">                </t>
  </si>
  <si>
    <t>Cc1</t>
  </si>
  <si>
    <t>Cc2</t>
  </si>
  <si>
    <t>Csby</t>
  </si>
  <si>
    <t>Rc1</t>
  </si>
  <si>
    <t>Other Input Variables</t>
  </si>
  <si>
    <r>
      <t>R</t>
    </r>
    <r>
      <rPr>
        <vertAlign val="subscript"/>
        <sz val="10"/>
        <rFont val="Arial"/>
        <family val="2"/>
      </rPr>
      <t>PG</t>
    </r>
  </si>
  <si>
    <r>
      <t>R</t>
    </r>
    <r>
      <rPr>
        <vertAlign val="subscript"/>
        <sz val="10"/>
        <rFont val="Arial"/>
        <family val="2"/>
      </rPr>
      <t>SB</t>
    </r>
  </si>
  <si>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</si>
  <si>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</si>
  <si>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</si>
  <si>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</si>
  <si>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</si>
  <si>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</si>
  <si>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</si>
  <si>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</si>
  <si>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</si>
  <si>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</si>
  <si>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</si>
  <si>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</si>
  <si>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</si>
  <si>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</si>
  <si>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</si>
  <si>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</si>
  <si>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</si>
  <si>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</si>
  <si>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</si>
  <si>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</si>
  <si>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</si>
  <si>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</si>
  <si>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</si>
  <si>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</si>
  <si>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</si>
  <si>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</si>
  <si>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</si>
  <si>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</si>
  <si>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</si>
  <si>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</si>
  <si>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</si>
  <si>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</si>
  <si>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</si>
  <si>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</si>
  <si>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</si>
  <si>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</si>
  <si>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</si>
  <si>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</si>
  <si>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</si>
  <si>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</si>
  <si>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</si>
  <si>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</si>
  <si>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</si>
  <si>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</si>
  <si>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</si>
  <si>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</si>
  <si>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</si>
  <si>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</si>
  <si>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</si>
  <si>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</si>
  <si>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</si>
  <si>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</si>
  <si>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</si>
  <si>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</si>
  <si>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</si>
  <si>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</si>
  <si>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</si>
  <si>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</si>
  <si>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</si>
  <si>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</si>
  <si>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</si>
  <si>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</si>
  <si>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</si>
  <si>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</si>
  <si>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</si>
  <si>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</si>
  <si>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</si>
  <si>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Output =</t>
  </si>
  <si>
    <t>OTP</t>
  </si>
  <si>
    <t>RS</t>
  </si>
  <si>
    <t>Bottom Schottky</t>
  </si>
  <si>
    <t>Step 2: Filter Inductor</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</si>
  <si>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</si>
  <si>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</si>
  <si>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</si>
  <si>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</si>
  <si>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</si>
  <si>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</si>
  <si>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</si>
  <si>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</si>
  <si>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</si>
  <si>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</si>
  <si>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</si>
  <si>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</si>
  <si>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</si>
  <si>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</si>
  <si>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</si>
  <si>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Maximum Permitted ESR </t>
  </si>
  <si>
    <t xml:space="preserve">Output Capacitor ESR </t>
  </si>
  <si>
    <t xml:space="preserve">Input Capacitor ESR </t>
  </si>
  <si>
    <t>About</t>
  </si>
  <si>
    <t>xx</t>
  </si>
  <si>
    <t>Max ESR before ripple exceeds Vripple1</t>
  </si>
  <si>
    <t>Chosen ESR</t>
  </si>
  <si>
    <t>Input capacitance series resistance (ESR)</t>
  </si>
  <si>
    <t xml:space="preserve">Desired Crossover Frequency </t>
  </si>
  <si>
    <r>
      <t>VIN</t>
    </r>
    <r>
      <rPr>
        <vertAlign val="subscript"/>
        <sz val="10"/>
        <rFont val="Arial"/>
        <family val="2"/>
      </rPr>
      <t>UVLO_ON</t>
    </r>
  </si>
  <si>
    <t>Rising UVLO/EN Threshold</t>
  </si>
  <si>
    <t>Falling UVLO/EN Threshold</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</si>
  <si>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</si>
  <si>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</si>
  <si>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</si>
  <si>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</si>
  <si>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</si>
  <si>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</si>
  <si>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</si>
  <si>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</si>
  <si>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</si>
  <si>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</si>
  <si>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</si>
  <si>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</si>
  <si>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CS</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</si>
  <si>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</si>
  <si>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</si>
  <si>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</si>
  <si>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</si>
  <si>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</si>
  <si>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</si>
  <si>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</si>
  <si>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t>-</t>
  </si>
  <si>
    <r>
      <t>R</t>
    </r>
    <r>
      <rPr>
        <vertAlign val="subscript"/>
        <sz val="10"/>
        <rFont val="Arial"/>
        <family val="2"/>
      </rPr>
      <t>C1</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</si>
  <si>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</si>
  <si>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</si>
  <si>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</si>
  <si>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</si>
  <si>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</si>
  <si>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</si>
  <si>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</si>
  <si>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</si>
  <si>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</si>
  <si>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</si>
  <si>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Ruv1</t>
  </si>
  <si>
    <t>Ruv2</t>
  </si>
  <si>
    <t># of input caps</t>
  </si>
  <si>
    <t>Capacitance per component (Cin)</t>
  </si>
  <si>
    <t>Capacitance per component (Cout)</t>
  </si>
  <si>
    <t># of output caps</t>
  </si>
  <si>
    <t>Input Voltage UVLO Off</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</si>
  <si>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</si>
  <si>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</si>
  <si>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</si>
  <si>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</si>
  <si>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</si>
  <si>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</si>
  <si>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</si>
  <si>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</si>
  <si>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</si>
  <si>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</si>
  <si>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</si>
  <si>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</si>
  <si>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</si>
  <si>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</si>
  <si>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</si>
  <si>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T</t>
    </r>
    <r>
      <rPr>
        <sz val="10"/>
        <rFont val="Arial"/>
        <family val="2"/>
      </rPr>
      <t xml:space="preserve"> </t>
    </r>
  </si>
  <si>
    <r>
      <t>Output Capacitance, C</t>
    </r>
    <r>
      <rPr>
        <b/>
        <vertAlign val="subscript"/>
        <sz val="10"/>
        <rFont val="Arial"/>
        <family val="2"/>
      </rPr>
      <t>OUT</t>
    </r>
    <r>
      <rPr>
        <b/>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</si>
  <si>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</si>
  <si>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</si>
  <si>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</si>
  <si>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</si>
  <si>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</si>
  <si>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 xml:space="preserve">Required Const Current Loop Setpoint </t>
  </si>
  <si>
    <t>LM5175 DC/DC Controller Design Tool</t>
  </si>
  <si>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</si>
  <si>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</si>
  <si>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</si>
  <si>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</si>
  <si>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</si>
  <si>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</si>
  <si>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</si>
  <si>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Maximum Output Current</t>
  </si>
  <si>
    <t>Nominal Switching Frequency</t>
  </si>
  <si>
    <t>Voltage Hysteresis</t>
  </si>
  <si>
    <t>Falling UVLO/EN Current</t>
  </si>
  <si>
    <t>Rising UVLO/EN Current</t>
  </si>
  <si>
    <t>mV</t>
  </si>
  <si>
    <r>
      <t>Lower UVLO Resistor, R</t>
    </r>
    <r>
      <rPr>
        <vertAlign val="subscript"/>
        <sz val="10"/>
        <rFont val="Arial"/>
        <family val="2"/>
      </rPr>
      <t>UV2</t>
    </r>
  </si>
  <si>
    <r>
      <t>Upper UVLO Resistor, R</t>
    </r>
    <r>
      <rPr>
        <b/>
        <vertAlign val="subscript"/>
        <sz val="10"/>
        <rFont val="Arial"/>
        <family val="2"/>
      </rPr>
      <t>UV1</t>
    </r>
  </si>
  <si>
    <t>Required Input Voltage UVLO On</t>
  </si>
  <si>
    <r>
      <t>C</t>
    </r>
    <r>
      <rPr>
        <vertAlign val="subscript"/>
        <sz val="10"/>
        <rFont val="Arial"/>
        <family val="2"/>
      </rPr>
      <t>OUT</t>
    </r>
    <r>
      <rPr>
        <sz val="10"/>
        <rFont val="Arial"/>
        <family val="2"/>
      </rPr>
      <t xml:space="preserve"> ESR Zero Frequency </t>
    </r>
  </si>
  <si>
    <t>Load Pole Frequency</t>
  </si>
  <si>
    <t>Ideal Duty Cycle at VIN(nom)</t>
  </si>
  <si>
    <t>Ideal 1- Duty Cycle at VIN(nom)</t>
  </si>
  <si>
    <t>Don_Vinmin</t>
  </si>
  <si>
    <t>Don_Vinmax</t>
  </si>
  <si>
    <t>Lf_Vinmin</t>
  </si>
  <si>
    <t>Lf_Vinmax</t>
  </si>
  <si>
    <t>Lf</t>
  </si>
  <si>
    <t>Pout</t>
  </si>
  <si>
    <t>Iin_Vinmin</t>
  </si>
  <si>
    <t>Iin_Vinnom</t>
  </si>
  <si>
    <t>Iin_Vinmax</t>
  </si>
  <si>
    <t>Pin</t>
  </si>
  <si>
    <t>Iripple_Vinmin</t>
  </si>
  <si>
    <t>Iripple_Vinnom</t>
  </si>
  <si>
    <t>Iripple_Vinmax</t>
  </si>
  <si>
    <t>L_Vinmin</t>
  </si>
  <si>
    <t>L_Vinnom</t>
  </si>
  <si>
    <t>L_Vinmax</t>
  </si>
  <si>
    <t>Lf_Vinnom</t>
  </si>
  <si>
    <t>Lopt</t>
  </si>
  <si>
    <t>Don_Vinnom</t>
  </si>
  <si>
    <t>Don_Vinmin_2</t>
  </si>
  <si>
    <t>Don_Vinnom_2</t>
  </si>
  <si>
    <t>Don_Vinmax_2</t>
  </si>
  <si>
    <t>% Ripple Current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</si>
  <si>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</si>
  <si>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IN(min)</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</si>
  <si>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</si>
  <si>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IN(max)</t>
    </r>
  </si>
  <si>
    <t>Recommended SLOPE Capacitance</t>
  </si>
  <si>
    <r>
      <t>Sense Resistance, R</t>
    </r>
    <r>
      <rPr>
        <b/>
        <vertAlign val="subscript"/>
        <sz val="10"/>
        <color theme="1"/>
        <rFont val="Arial"/>
        <family val="2"/>
      </rPr>
      <t>S</t>
    </r>
  </si>
  <si>
    <t>Step 6: Soft-start, Dither, UVLO</t>
  </si>
  <si>
    <t>Recommended Sense Resistance</t>
  </si>
  <si>
    <r>
      <t>SLOPE Capacitance, C</t>
    </r>
    <r>
      <rPr>
        <b/>
        <vertAlign val="subscript"/>
        <sz val="10"/>
        <color theme="1"/>
        <rFont val="Arial"/>
        <family val="2"/>
      </rPr>
      <t>SLOPE</t>
    </r>
  </si>
  <si>
    <t>Buck CS threshold</t>
  </si>
  <si>
    <t>Boost CS Threshold</t>
  </si>
  <si>
    <t>Ilimit_DC</t>
  </si>
  <si>
    <t>Max inductor ripple current</t>
  </si>
  <si>
    <t>Calculate input power assuming 90% efficiency</t>
  </si>
  <si>
    <t>Output power</t>
  </si>
  <si>
    <t>Input currents at min, nom, max Vin</t>
  </si>
  <si>
    <t>Frequency Set Resistor</t>
  </si>
  <si>
    <t>Rs_ideal</t>
  </si>
  <si>
    <t>or</t>
  </si>
  <si>
    <t>Ilimit_inductor_Vinmin</t>
  </si>
  <si>
    <t>Ilimit_inductor_Vinmax</t>
  </si>
  <si>
    <t>Ilimit_inductor_Vinnom</t>
  </si>
  <si>
    <t>At Iout = Ilimit_DC:</t>
  </si>
  <si>
    <t>Selected (starndard value) current limit sense resistor</t>
  </si>
  <si>
    <t>Cslope_ideal</t>
  </si>
  <si>
    <t>mΩ</t>
  </si>
  <si>
    <t>Cslope</t>
  </si>
  <si>
    <t>Cslope_recommended</t>
  </si>
  <si>
    <t>Cslope_selected</t>
  </si>
  <si>
    <t>V/s</t>
  </si>
  <si>
    <t>at VIN_min</t>
  </si>
  <si>
    <t>at VIN_nom</t>
  </si>
  <si>
    <t>at VIN_max</t>
  </si>
  <si>
    <t>Islope_fixed</t>
  </si>
  <si>
    <t>SLOPE comp dv/dt = I_slope_total/Cslope</t>
  </si>
  <si>
    <t xml:space="preserve">BUCK </t>
  </si>
  <si>
    <t>BOOST</t>
  </si>
  <si>
    <t>I_valley BUCK</t>
  </si>
  <si>
    <t>I_peak BOOST</t>
  </si>
  <si>
    <t>Required Constant Current Loop Setpoint</t>
  </si>
  <si>
    <t>Current Limit Threshold</t>
  </si>
  <si>
    <t>Shunt Resistor in Output Leg</t>
  </si>
  <si>
    <t>Rshunt</t>
  </si>
  <si>
    <t>TBD</t>
  </si>
  <si>
    <t>Output Cap RMS current</t>
  </si>
  <si>
    <t>Icoutrms_VINmin</t>
  </si>
  <si>
    <t>Icoutrms_VINnom</t>
  </si>
  <si>
    <t>Icoutrms_VINmax</t>
  </si>
  <si>
    <r>
      <rPr>
        <sz val="10"/>
        <rFont val="Symbol"/>
        <family val="1"/>
        <charset val="2"/>
      </rPr>
      <t>D</t>
    </r>
    <r>
      <rPr>
        <sz val="10"/>
        <rFont val="Arial"/>
        <family val="2"/>
      </rPr>
      <t>V_SLOPEcomp at Vinmin</t>
    </r>
  </si>
  <si>
    <r>
      <rPr>
        <sz val="10"/>
        <rFont val="Symbol"/>
        <family val="1"/>
        <charset val="2"/>
      </rPr>
      <t>D</t>
    </r>
    <r>
      <rPr>
        <sz val="10"/>
        <rFont val="Arial"/>
        <family val="2"/>
      </rPr>
      <t>V_SLOPEcomp at Vinnom</t>
    </r>
  </si>
  <si>
    <r>
      <rPr>
        <sz val="10"/>
        <rFont val="Symbol"/>
        <family val="1"/>
        <charset val="2"/>
      </rPr>
      <t>D</t>
    </r>
    <r>
      <rPr>
        <sz val="10"/>
        <rFont val="Arial"/>
        <family val="2"/>
      </rPr>
      <t>V_SLOPEcomp at Vinmax</t>
    </r>
  </si>
  <si>
    <t>Chosen Output Capacitance</t>
  </si>
  <si>
    <t>Cdither</t>
  </si>
  <si>
    <t>Cdither_calculated</t>
  </si>
  <si>
    <t>Cdither_stdvalue</t>
  </si>
  <si>
    <r>
      <t>R</t>
    </r>
    <r>
      <rPr>
        <b/>
        <vertAlign val="subscript"/>
        <sz val="10"/>
        <rFont val="Arial"/>
        <family val="2"/>
      </rPr>
      <t>C</t>
    </r>
  </si>
  <si>
    <t>Boost RHP Zero Frequency</t>
  </si>
  <si>
    <t>Frhp</t>
  </si>
  <si>
    <t>Rout</t>
  </si>
  <si>
    <t>Load resistance</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</si>
  <si>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</si>
  <si>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</si>
  <si>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</si>
  <si>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</si>
  <si>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</si>
  <si>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</si>
  <si>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</si>
  <si>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</si>
  <si>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</si>
  <si>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</si>
  <si>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</si>
  <si>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</si>
  <si>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</si>
  <si>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</si>
  <si>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</si>
  <si>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</si>
  <si>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</si>
  <si>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</si>
  <si>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</si>
  <si>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</si>
  <si>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</si>
  <si>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</si>
  <si>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</si>
  <si>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</si>
  <si>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</si>
  <si>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</si>
  <si>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</si>
  <si>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</si>
  <si>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</si>
  <si>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</si>
  <si>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</si>
  <si>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</si>
  <si>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</si>
  <si>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</si>
  <si>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</si>
  <si>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</si>
  <si>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</si>
  <si>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</si>
  <si>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</si>
  <si>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</si>
  <si>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</si>
  <si>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Se</t>
  </si>
  <si>
    <t>A/s</t>
  </si>
  <si>
    <t>Sn</t>
  </si>
  <si>
    <t>On-time Slope</t>
  </si>
  <si>
    <t>mc</t>
  </si>
  <si>
    <t>GBW</t>
  </si>
  <si>
    <t>Cbw</t>
  </si>
  <si>
    <t>RoEA</t>
  </si>
  <si>
    <t>AEA</t>
  </si>
  <si>
    <t>Afb</t>
  </si>
  <si>
    <t>p</t>
  </si>
  <si>
    <t xml:space="preserve">Error Amp Pole Frequency </t>
  </si>
  <si>
    <t>Cslope_u</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</si>
  <si>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</si>
  <si>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</si>
  <si>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</si>
  <si>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</si>
  <si>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</si>
  <si>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</si>
  <si>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</si>
  <si>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mc*D</t>
  </si>
  <si>
    <t>Off-time Slope</t>
  </si>
  <si>
    <t>Sf</t>
  </si>
  <si>
    <t>mc = 1 + Se/Sf for valley current-mode buck</t>
  </si>
  <si>
    <t>gm_slopecomp</t>
  </si>
  <si>
    <t>adaptive slope comp gm amplifier transconductance</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</si>
  <si>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</si>
  <si>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</si>
  <si>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</si>
  <si>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</si>
  <si>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</si>
  <si>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</si>
  <si>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</si>
  <si>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</si>
  <si>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</si>
  <si>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</si>
  <si>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</si>
  <si>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</si>
  <si>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Isc_const</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</si>
  <si>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</si>
  <si>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</si>
  <si>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</si>
  <si>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</si>
  <si>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</si>
  <si>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</si>
  <si>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</si>
  <si>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</si>
  <si>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</si>
  <si>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Diode Forward Voltage of Low-side FET Body Diode</t>
  </si>
  <si>
    <t>slope comp constant current source</t>
  </si>
  <si>
    <t>Duty cycles adjusted for DCR and shunt voltage drops</t>
  </si>
  <si>
    <t>Desired Crossover Frequency</t>
  </si>
  <si>
    <t>Cout ESR zero frequency</t>
  </si>
  <si>
    <t>Boost RHP zero frequency (if applicable)</t>
  </si>
  <si>
    <t>Error Amp LF pole -- related to amplifier ouptut resistance and comp cap</t>
  </si>
  <si>
    <t>Buck dominant pole frequency -- note slope comp influence</t>
  </si>
  <si>
    <t>Boost dominant pole frequency -- need to add slope comp component</t>
  </si>
  <si>
    <t>Fp_load_boost</t>
  </si>
  <si>
    <t>Fp_load_buck</t>
  </si>
  <si>
    <t>IC Power Disipation</t>
  </si>
  <si>
    <t>Iteration</t>
  </si>
  <si>
    <t>Output Ripple Spec (pk-pk)</t>
  </si>
  <si>
    <t>Rmode</t>
  </si>
  <si>
    <t>zero-order sample and hold effects of current-mode control modeled as pole at Fsw/2</t>
  </si>
  <si>
    <t>F_mod</t>
  </si>
  <si>
    <t>Am_buck</t>
  </si>
  <si>
    <t>mc_boost</t>
  </si>
  <si>
    <t>k_boost</t>
  </si>
  <si>
    <t>Am_boost</t>
  </si>
  <si>
    <t>DC Gain is Adc = AEA*Afb*Am</t>
  </si>
  <si>
    <t>A/V</t>
  </si>
  <si>
    <t>Power Stage Poles/Zeros</t>
  </si>
  <si>
    <t>Complex Pole Pair</t>
  </si>
  <si>
    <t>Divider Network &amp; EA Poles/Zeros</t>
  </si>
  <si>
    <t>mc_buck</t>
  </si>
  <si>
    <t>k_buck</t>
  </si>
  <si>
    <t>mV/μs</t>
  </si>
  <si>
    <t>mc*(1-D)</t>
  </si>
  <si>
    <t>Error Amp (EA)</t>
  </si>
  <si>
    <t>Boost modulator gain -- need to adjust for adaptive slope comp</t>
  </si>
  <si>
    <t>Estimate of efficiency</t>
  </si>
  <si>
    <r>
      <t>need to include R</t>
    </r>
    <r>
      <rPr>
        <vertAlign val="subscript"/>
        <sz val="10"/>
        <color rgb="FFFF0000"/>
        <rFont val="Arial"/>
        <family val="2"/>
      </rPr>
      <t>DS(on)</t>
    </r>
    <r>
      <rPr>
        <sz val="10"/>
        <color rgb="FFFF0000"/>
        <rFont val="Arial"/>
        <family val="2"/>
      </rPr>
      <t xml:space="preserve"> later</t>
    </r>
  </si>
  <si>
    <t>Shunt</t>
  </si>
  <si>
    <t>BOOST current limit - peak</t>
  </si>
  <si>
    <t>Iout_OCP_Vinmin</t>
  </si>
  <si>
    <t>Iout_OCP_Vinmax</t>
  </si>
  <si>
    <t>ILpeak_OCP_Vinmin</t>
  </si>
  <si>
    <t>ILpeak_OCP_Vinnom</t>
  </si>
  <si>
    <t>ILpeak_OCP_Vinmax</t>
  </si>
  <si>
    <t>Peak inductor currents in OCP</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</si>
  <si>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</si>
  <si>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</si>
  <si>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</si>
  <si>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 xml:space="preserve">Minimum Output Capacitance </t>
  </si>
  <si>
    <t>Load cap current during soft start</t>
  </si>
  <si>
    <t>Soft-start time</t>
  </si>
  <si>
    <t>zRHP</t>
  </si>
  <si>
    <t>p-dom</t>
  </si>
  <si>
    <t>p_dom</t>
  </si>
  <si>
    <t>z_ESR</t>
  </si>
  <si>
    <t>z_RHP</t>
  </si>
  <si>
    <t>uses Vin(nom)!!</t>
  </si>
  <si>
    <t>50ns for LM5175</t>
  </si>
  <si>
    <t>Low-side MOSFET/Diode</t>
  </si>
  <si>
    <t>EA pole, p2</t>
  </si>
  <si>
    <t>EA pole, p1</t>
  </si>
  <si>
    <t>EA zero, z1</t>
  </si>
  <si>
    <t>Fp_dominant</t>
  </si>
  <si>
    <t>p_sampling</t>
  </si>
  <si>
    <t>ESR zero</t>
  </si>
  <si>
    <t>EA pole</t>
  </si>
  <si>
    <t>EA zero</t>
  </si>
  <si>
    <t>RHP zero</t>
  </si>
  <si>
    <t>This zero is set at or close to the dominant load pole</t>
  </si>
  <si>
    <t>Freq (Hz)</t>
  </si>
  <si>
    <t>scaling factor to calculate Rcomp - buck</t>
  </si>
  <si>
    <t>scaling factor to calculate Rcomp - boost</t>
  </si>
  <si>
    <r>
      <t>Hz  (F</t>
    </r>
    <r>
      <rPr>
        <vertAlign val="subscript"/>
        <sz val="10"/>
        <rFont val="Arial"/>
        <family val="2"/>
      </rPr>
      <t>PEA</t>
    </r>
    <r>
      <rPr>
        <sz val="10"/>
        <rFont val="Arial"/>
        <family val="2"/>
      </rPr>
      <t>)</t>
    </r>
  </si>
  <si>
    <t>KM</t>
  </si>
  <si>
    <t>KD</t>
  </si>
  <si>
    <t>Se_fixed</t>
  </si>
  <si>
    <t>Se_proportional</t>
  </si>
  <si>
    <t>Se_ext</t>
  </si>
  <si>
    <t>Buck modulator gain</t>
  </si>
  <si>
    <t>Feedback gain from Vout to FB</t>
  </si>
  <si>
    <t>V_sc_fixed</t>
  </si>
  <si>
    <t>V_sc_proportional</t>
  </si>
  <si>
    <t>V_sc_total</t>
  </si>
  <si>
    <t>Slope comp slope - internal</t>
  </si>
  <si>
    <t>EA DC gain = gm*RoEA</t>
  </si>
  <si>
    <t>EA output resistance</t>
  </si>
  <si>
    <t>EA effective bandwidth limiting capacitance = gm/(2*Pi*GBW)</t>
  </si>
  <si>
    <t>EA gain-bandwidth product</t>
  </si>
  <si>
    <t>mc = 1 + Se/Sn for peak current-mode boost</t>
  </si>
  <si>
    <t>K_SL</t>
  </si>
  <si>
    <t>Fixed slope comp amplitude over full period</t>
  </si>
  <si>
    <t>Proportional slope comp amplitude over full period</t>
  </si>
  <si>
    <t>Total slope comp amplitude over full period</t>
  </si>
  <si>
    <t>Proportional slope comp factor, where Vslope= Abs(Vin-Vout)*KSL</t>
  </si>
  <si>
    <t>KSL = gm/(Cslope*Fsw)</t>
  </si>
  <si>
    <t>K_1</t>
  </si>
  <si>
    <t>Take the buck or boost parameter as appropriate</t>
  </si>
  <si>
    <t>2*Pi*Ri/gm -- scaling factor to calculate Rcomp given desired buck crossover frequency</t>
  </si>
  <si>
    <t>2*Pi*Ri/gm -- scaling factor to calculate Rcomp given desired boost crossover frequency</t>
  </si>
  <si>
    <t>Diode/FET</t>
  </si>
  <si>
    <t>High Efficiency Synchronous Buck-Boost Regulator BOM</t>
  </si>
  <si>
    <t>Iout_OCP_Vinnom</t>
  </si>
  <si>
    <t>IL_peak_OCP</t>
  </si>
  <si>
    <t>Peak inductor current over the full input range</t>
  </si>
  <si>
    <t>LM5175</t>
  </si>
  <si>
    <r>
      <t>C</t>
    </r>
    <r>
      <rPr>
        <vertAlign val="subscript"/>
        <sz val="10"/>
        <rFont val="Arial"/>
        <family val="2"/>
      </rPr>
      <t>SLOPE</t>
    </r>
  </si>
  <si>
    <r>
      <t>L</t>
    </r>
    <r>
      <rPr>
        <vertAlign val="subscript"/>
        <sz val="10"/>
        <rFont val="Arial"/>
        <family val="2"/>
      </rPr>
      <t>F</t>
    </r>
  </si>
  <si>
    <r>
      <t>R</t>
    </r>
    <r>
      <rPr>
        <vertAlign val="subscript"/>
        <sz val="10"/>
        <rFont val="Arial"/>
        <family val="2"/>
      </rPr>
      <t>CS</t>
    </r>
    <r>
      <rPr>
        <sz val="10"/>
        <rFont val="Arial"/>
        <family val="2"/>
      </rPr>
      <t>, R</t>
    </r>
    <r>
      <rPr>
        <vertAlign val="subscript"/>
        <sz val="10"/>
        <rFont val="Arial"/>
        <family val="2"/>
      </rPr>
      <t>CSG</t>
    </r>
  </si>
  <si>
    <r>
      <t>R</t>
    </r>
    <r>
      <rPr>
        <vertAlign val="subscript"/>
        <sz val="10"/>
        <rFont val="Arial"/>
        <family val="2"/>
      </rPr>
      <t>T</t>
    </r>
  </si>
  <si>
    <t>** Effective input and output capacitances should be appropriately derated for applied voltage and temperature, particularly with ceramics **</t>
  </si>
  <si>
    <t>Schottky Diode, 200mA</t>
  </si>
  <si>
    <r>
      <t>D</t>
    </r>
    <r>
      <rPr>
        <vertAlign val="subscript"/>
        <sz val="10"/>
        <rFont val="Arial"/>
        <family val="2"/>
      </rPr>
      <t>BOOT1</t>
    </r>
    <r>
      <rPr>
        <sz val="10"/>
        <rFont val="Arial"/>
        <family val="2"/>
      </rPr>
      <t>, D</t>
    </r>
    <r>
      <rPr>
        <vertAlign val="subscript"/>
        <sz val="10"/>
        <rFont val="Arial"/>
        <family val="2"/>
      </rPr>
      <t xml:space="preserve">BOOT2, </t>
    </r>
    <r>
      <rPr>
        <sz val="10"/>
        <rFont val="Arial"/>
        <family val="2"/>
      </rPr>
      <t>D</t>
    </r>
    <r>
      <rPr>
        <vertAlign val="subscript"/>
        <sz val="10"/>
        <rFont val="Arial"/>
        <family val="2"/>
      </rPr>
      <t xml:space="preserve">VIN </t>
    </r>
  </si>
  <si>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</si>
  <si>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</si>
  <si>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r>
      <t>C</t>
    </r>
    <r>
      <rPr>
        <vertAlign val="subscript"/>
        <sz val="10"/>
        <rFont val="Arial"/>
        <family val="2"/>
      </rPr>
      <t>VCC</t>
    </r>
  </si>
  <si>
    <t>Step 3: OCP, Sense Resistors, Slope Comp</t>
  </si>
  <si>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</si>
  <si>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</si>
  <si>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</si>
  <si>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</si>
  <si>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</si>
  <si>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</si>
  <si>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</si>
  <si>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</si>
  <si>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</si>
  <si>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</si>
  <si>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</si>
  <si>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</si>
  <si>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</si>
  <si>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</si>
  <si>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t>with 85mA current limit</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</si>
  <si>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</si>
  <si>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</si>
  <si>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</si>
  <si>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</si>
  <si>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</si>
  <si>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</si>
  <si>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</si>
  <si>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</si>
  <si>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</si>
  <si>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</si>
  <si>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</si>
  <si>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</si>
  <si>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</si>
  <si>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</si>
  <si>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</si>
  <si>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</si>
  <si>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</si>
  <si>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</si>
  <si>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</si>
  <si>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</si>
  <si>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</si>
  <si>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</si>
  <si>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</si>
  <si>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</si>
  <si>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Output Rs</t>
  </si>
  <si>
    <t>Iout Shunt Loss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</si>
  <si>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</si>
  <si>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</si>
  <si>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</si>
  <si>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</si>
  <si>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</si>
  <si>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</si>
  <si>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</si>
  <si>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</si>
  <si>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</si>
  <si>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</si>
  <si>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</si>
  <si>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LM5175RHF</t>
  </si>
  <si>
    <t>LM5175PWP</t>
  </si>
  <si>
    <t>Reported Cinmin</t>
  </si>
  <si>
    <t>Reported Cout ESR max</t>
  </si>
  <si>
    <t>Reported Cin ESR max</t>
  </si>
  <si>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</si>
  <si>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</si>
  <si>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</si>
  <si>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Pk-to-Pk Ripple Current at V</t>
    </r>
    <r>
      <rPr>
        <vertAlign val="subscript"/>
        <sz val="10"/>
        <rFont val="Arial"/>
        <family val="2"/>
      </rPr>
      <t>IN(min)</t>
    </r>
    <r>
      <rPr>
        <sz val="10"/>
        <rFont val="Arial"/>
        <family val="2"/>
      </rPr>
      <t xml:space="preserve">, </t>
    </r>
    <r>
      <rPr>
        <sz val="10"/>
        <rFont val="Symbol"/>
        <family val="1"/>
        <charset val="2"/>
      </rPr>
      <t>D</t>
    </r>
    <r>
      <rPr>
        <sz val="10"/>
        <rFont val="Arial"/>
        <family val="2"/>
      </rPr>
      <t>I</t>
    </r>
    <r>
      <rPr>
        <vertAlign val="subscript"/>
        <sz val="10"/>
        <rFont val="Arial"/>
        <family val="2"/>
      </rPr>
      <t>L1</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</si>
  <si>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L2</t>
    </r>
  </si>
  <si>
    <r>
      <t>Pk-to-Pk Ripple Current at V</t>
    </r>
    <r>
      <rPr>
        <vertAlign val="subscript"/>
        <sz val="10"/>
        <rFont val="Arial"/>
        <family val="2"/>
      </rPr>
      <t>IN(max)</t>
    </r>
    <r>
      <rPr>
        <sz val="10"/>
        <rFont val="Arial"/>
        <family val="2"/>
      </rPr>
      <t xml:space="preserve">, </t>
    </r>
    <r>
      <rPr>
        <sz val="10"/>
        <rFont val="Symbol"/>
        <family val="1"/>
        <charset val="2"/>
      </rPr>
      <t>D</t>
    </r>
    <r>
      <rPr>
        <sz val="10"/>
        <rFont val="Arial"/>
        <family val="2"/>
      </rPr>
      <t>I</t>
    </r>
    <r>
      <rPr>
        <vertAlign val="subscript"/>
        <sz val="10"/>
        <rFont val="Arial"/>
        <family val="2"/>
      </rPr>
      <t>L3</t>
    </r>
  </si>
  <si>
    <t>Buck CS threshold_min</t>
  </si>
  <si>
    <t>Boost CS Threshold_min</t>
  </si>
  <si>
    <t>BUCK current limit - valley</t>
  </si>
  <si>
    <t>Chosen OCP level - based on output current</t>
  </si>
  <si>
    <r>
      <t>I</t>
    </r>
    <r>
      <rPr>
        <vertAlign val="subscript"/>
        <sz val="10"/>
        <rFont val="Arial"/>
        <family val="2"/>
      </rPr>
      <t>OUT(typ)</t>
    </r>
    <r>
      <rPr>
        <sz val="10"/>
        <rFont val="Arial"/>
        <family val="2"/>
      </rPr>
      <t xml:space="preserve"> at OCP Inception:</t>
    </r>
  </si>
  <si>
    <t>Buck CS threshold_max</t>
  </si>
  <si>
    <t>Boost CS Threshold_max</t>
  </si>
  <si>
    <r>
      <t>Required I</t>
    </r>
    <r>
      <rPr>
        <b/>
        <vertAlign val="subscript"/>
        <sz val="10"/>
        <color theme="1"/>
        <rFont val="Arial"/>
        <family val="2"/>
      </rPr>
      <t>OCP(MIN)</t>
    </r>
    <r>
      <rPr>
        <b/>
        <sz val="10"/>
        <color theme="1"/>
        <rFont val="Arial"/>
        <family val="2"/>
      </rPr>
      <t xml:space="preserve"> Setpoint at V</t>
    </r>
    <r>
      <rPr>
        <b/>
        <vertAlign val="subscript"/>
        <sz val="10"/>
        <color theme="1"/>
        <rFont val="Arial"/>
        <family val="2"/>
      </rPr>
      <t>IN(nom)</t>
    </r>
  </si>
  <si>
    <t>RMS current in Rs</t>
  </si>
  <si>
    <t>Power diss in Rs</t>
  </si>
  <si>
    <t>Standard size based on Csideal slope capacitor</t>
  </si>
  <si>
    <t>Total Cin Loss</t>
  </si>
  <si>
    <t>Inductor Cu &amp; Core Loss</t>
  </si>
  <si>
    <t>Total Cout Loss</t>
  </si>
  <si>
    <t>Total Inductor Loss</t>
  </si>
  <si>
    <t>Gate Charge at VCC = 7.5V</t>
  </si>
  <si>
    <t>Boost hi-side</t>
  </si>
  <si>
    <t>Buck lo-side</t>
  </si>
  <si>
    <t>Anti-parallel Schottky Diode (optional)</t>
  </si>
  <si>
    <t>High- &amp; low-side boost MOSFETs</t>
  </si>
  <si>
    <t>High- &amp; low-side buck MOSFETs</t>
  </si>
  <si>
    <t>Drain-Source Resistances of Boost FETs</t>
  </si>
  <si>
    <t>Gate Charge Of Boost FETs</t>
  </si>
  <si>
    <t>Transconductance of Boost FETs</t>
  </si>
  <si>
    <t>Threshold Voltage Boost FETs</t>
  </si>
  <si>
    <t>Switch Point Voltage of Boost FETs</t>
  </si>
  <si>
    <t>Transconductance of Buck FETs</t>
  </si>
  <si>
    <t>Drain-Source Resistances of Buck FETs</t>
  </si>
  <si>
    <t>Threshold Voltage of Buck FETs</t>
  </si>
  <si>
    <t>Switch Point Voltage of Buck FETs</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</si>
  <si>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</si>
  <si>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</si>
  <si>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Hi-side</t>
  </si>
  <si>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</si>
  <si>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</si>
  <si>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</si>
  <si>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</si>
  <si>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</si>
  <si>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</si>
  <si>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</si>
  <si>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</si>
  <si>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</si>
  <si>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</si>
  <si>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</si>
  <si>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</si>
  <si>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</si>
  <si>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</si>
  <si>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</si>
  <si>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</si>
  <si>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VsdBot - Boost</t>
  </si>
  <si>
    <t>Vsd - Buck</t>
  </si>
  <si>
    <r>
      <rPr>
        <i/>
        <sz val="10"/>
        <rFont val="Arial"/>
        <family val="2"/>
      </rPr>
      <t>Buck</t>
    </r>
    <r>
      <rPr>
        <sz val="10"/>
        <rFont val="Arial"/>
        <family val="2"/>
      </rPr>
      <t xml:space="preserve"> Leg</t>
    </r>
  </si>
  <si>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</si>
  <si>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</si>
  <si>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</si>
  <si>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</si>
  <si>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</si>
  <si>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r>
      <t>Output Leg Shunt Resistance, R</t>
    </r>
    <r>
      <rPr>
        <vertAlign val="subscript"/>
        <sz val="10"/>
        <rFont val="Arial"/>
        <family val="2"/>
      </rPr>
      <t>CS(out)</t>
    </r>
  </si>
  <si>
    <r>
      <t>R</t>
    </r>
    <r>
      <rPr>
        <vertAlign val="subscript"/>
        <sz val="10"/>
        <rFont val="Arial"/>
        <family val="2"/>
      </rPr>
      <t>CS(out)</t>
    </r>
  </si>
  <si>
    <r>
      <rPr>
        <b/>
        <i/>
        <u/>
        <sz val="10"/>
        <color rgb="FF0000FF"/>
        <rFont val="Arial"/>
        <family val="2"/>
      </rPr>
      <t>Boost</t>
    </r>
    <r>
      <rPr>
        <b/>
        <sz val="10"/>
        <color rgb="FF0000FF"/>
        <rFont val="Arial"/>
        <family val="2"/>
      </rPr>
      <t>-Leg Power MOSFETs (Q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</si>
  <si>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r>
      <rPr>
        <b/>
        <i/>
        <u/>
        <sz val="10"/>
        <color rgb="FF0000FF"/>
        <rFont val="Arial"/>
        <family val="2"/>
      </rPr>
      <t>Buck</t>
    </r>
    <r>
      <rPr>
        <b/>
        <sz val="10"/>
        <color rgb="FF0000FF"/>
        <rFont val="Arial"/>
        <family val="2"/>
      </rPr>
      <t>-Leg Power MOSFETs (Q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</si>
  <si>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 xml:space="preserve">  Low-side</t>
  </si>
  <si>
    <r>
      <rPr>
        <i/>
        <sz val="10"/>
        <rFont val="Arial"/>
        <family val="2"/>
      </rPr>
      <t xml:space="preserve">   Boost</t>
    </r>
    <r>
      <rPr>
        <sz val="10"/>
        <rFont val="Arial"/>
        <family val="2"/>
      </rPr>
      <t xml:space="preserve"> Leg</t>
    </r>
  </si>
  <si>
    <t>3.5uA hysteresis current</t>
  </si>
  <si>
    <t>5.4uA if UVLO &gt; 2V</t>
  </si>
  <si>
    <t>Tie to GND or VCC for DCM/CCM, respectively. Use 93.1k or 200k for hiccup in DCM, CCM, respectively.</t>
  </si>
  <si>
    <t>Dither Modulation Frequency</t>
  </si>
  <si>
    <t>Max COMP Voltage</t>
  </si>
  <si>
    <t>Min COMP Voltage</t>
  </si>
  <si>
    <t>sec</t>
  </si>
  <si>
    <t>Toff_Vinmax</t>
  </si>
  <si>
    <t>COMP max voltage</t>
  </si>
  <si>
    <t>COMP min voltage</t>
  </si>
  <si>
    <t>BUCK</t>
  </si>
  <si>
    <t>Ton_Vinmin</t>
  </si>
  <si>
    <t xml:space="preserve">lower edge of BUCK-BOOST </t>
  </si>
  <si>
    <t>Don_buckboost</t>
  </si>
  <si>
    <t>Ilimit_inductor_buckboost</t>
  </si>
  <si>
    <t>VIN_edgebuckboost</t>
  </si>
  <si>
    <t>Iripple_edgebuckboost</t>
  </si>
  <si>
    <t>Iout_edgebuckboost</t>
  </si>
  <si>
    <t>N/A</t>
  </si>
  <si>
    <t>LM5175EVM-HD PCB Layout</t>
  </si>
  <si>
    <t>LM5175EVM-HP PCB Layout</t>
  </si>
  <si>
    <t>LM5175EVM PCB Layout</t>
  </si>
  <si>
    <t>Selected SLOPE cap</t>
  </si>
  <si>
    <t>Ideal slope capacitor - actually derated to 70% of nom to provide more slope comp</t>
  </si>
  <si>
    <t>Calculated inductance for 30% ripple at VIN(min)</t>
  </si>
  <si>
    <t>Calculated inductance for 40% ripple at VIN(nom)</t>
  </si>
  <si>
    <t>Calculated inductance for 80% ripple at VIN(max)</t>
  </si>
  <si>
    <t>min of calculated inductances at VIN(min) and VIN(nom)</t>
  </si>
  <si>
    <t>Chosen inductance</t>
  </si>
  <si>
    <t>Chosen inductor DCR</t>
  </si>
  <si>
    <r>
      <rPr>
        <b/>
        <sz val="10"/>
        <rFont val="Arial"/>
        <family val="2"/>
      </rPr>
      <t>Valley</t>
    </r>
    <r>
      <rPr>
        <sz val="10"/>
        <rFont val="Arial"/>
        <family val="2"/>
      </rPr>
      <t xml:space="preserve"> inductor current at current limit inception (if operating in </t>
    </r>
    <r>
      <rPr>
        <b/>
        <sz val="10"/>
        <rFont val="Arial"/>
        <family val="2"/>
      </rPr>
      <t>buck</t>
    </r>
    <r>
      <rPr>
        <sz val="10"/>
        <rFont val="Arial"/>
        <family val="2"/>
      </rPr>
      <t>)</t>
    </r>
  </si>
  <si>
    <r>
      <rPr>
        <b/>
        <sz val="10"/>
        <rFont val="Arial"/>
        <family val="2"/>
      </rPr>
      <t>Peak</t>
    </r>
    <r>
      <rPr>
        <sz val="10"/>
        <rFont val="Arial"/>
        <family val="2"/>
      </rPr>
      <t xml:space="preserve"> inductor current at current limit inception (if operating in </t>
    </r>
    <r>
      <rPr>
        <b/>
        <sz val="10"/>
        <rFont val="Arial"/>
        <family val="2"/>
      </rPr>
      <t>boost</t>
    </r>
    <r>
      <rPr>
        <sz val="10"/>
        <rFont val="Arial"/>
        <family val="2"/>
      </rPr>
      <t>)</t>
    </r>
  </si>
  <si>
    <t>edge of buck-boost</t>
  </si>
  <si>
    <r>
      <rPr>
        <b/>
        <sz val="10"/>
        <rFont val="Arial"/>
        <family val="2"/>
      </rPr>
      <t>Peak</t>
    </r>
    <r>
      <rPr>
        <sz val="10"/>
        <rFont val="Arial"/>
        <family val="2"/>
      </rPr>
      <t xml:space="preserve"> inductor current limit in </t>
    </r>
    <r>
      <rPr>
        <b/>
        <sz val="10"/>
        <rFont val="Arial"/>
        <family val="2"/>
      </rPr>
      <t>BOOST</t>
    </r>
  </si>
  <si>
    <r>
      <rPr>
        <b/>
        <sz val="10"/>
        <rFont val="Arial"/>
        <family val="2"/>
      </rPr>
      <t>Valley</t>
    </r>
    <r>
      <rPr>
        <sz val="10"/>
        <rFont val="Arial"/>
        <family val="2"/>
      </rPr>
      <t xml:space="preserve"> inductor current limit in </t>
    </r>
    <r>
      <rPr>
        <b/>
        <sz val="10"/>
        <rFont val="Arial"/>
        <family val="2"/>
      </rPr>
      <t>BUCK</t>
    </r>
  </si>
  <si>
    <t>Shunt required to get OCP at VIN(min)</t>
  </si>
  <si>
    <t>Shunt required to get OCP at VIN(nom)</t>
  </si>
  <si>
    <t>Shunt required to get OCP at VIN(max)</t>
  </si>
  <si>
    <t>Ideal Rs for the required OCP -- based on 80mV or 160mV CL threshold</t>
  </si>
  <si>
    <t>Assume we'd like to achieve current limit particularly at VIN(min) and boost side of buck-boost region; accept inevitable variation over line thereafter</t>
  </si>
  <si>
    <t>Shunt required to get OCP at VIN(edge-bb)</t>
  </si>
  <si>
    <t>Edge of B-B</t>
  </si>
  <si>
    <t>lower edge of buck-boost window</t>
  </si>
  <si>
    <t>BUCK-BOOST</t>
  </si>
  <si>
    <r>
      <t xml:space="preserve">80mV </t>
    </r>
    <r>
      <rPr>
        <b/>
        <sz val="10"/>
        <rFont val="Symbol"/>
        <family val="1"/>
        <charset val="2"/>
      </rPr>
      <t>±</t>
    </r>
    <r>
      <rPr>
        <b/>
        <sz val="10"/>
        <rFont val="Arial"/>
        <family val="2"/>
      </rPr>
      <t xml:space="preserve"> 20%</t>
    </r>
  </si>
  <si>
    <r>
      <t xml:space="preserve">160mV </t>
    </r>
    <r>
      <rPr>
        <b/>
        <sz val="10"/>
        <rFont val="Symbol"/>
        <family val="1"/>
        <charset val="2"/>
      </rPr>
      <t>±</t>
    </r>
    <r>
      <rPr>
        <b/>
        <sz val="10"/>
        <rFont val="Arial"/>
        <family val="2"/>
      </rPr>
      <t xml:space="preserve"> 20%</t>
    </r>
  </si>
  <si>
    <t>Icinrms_VINmin</t>
  </si>
  <si>
    <t>Icinrms_VINnom</t>
  </si>
  <si>
    <t>Icinrms_VINmiax</t>
  </si>
  <si>
    <t>Max Cout rms current</t>
  </si>
  <si>
    <t xml:space="preserve">Resulting Input Voltage Ripple (max) </t>
  </si>
  <si>
    <t xml:space="preserve">Resulting Output Voltage Ripple (max) </t>
  </si>
  <si>
    <t xml:space="preserve">Output Capacitor RMS Current (max) </t>
  </si>
  <si>
    <t>Input Capacitor RMS Current (max)</t>
  </si>
  <si>
    <t>Max Cin rms current</t>
  </si>
  <si>
    <t>Input voltage ripple spec (pk-pk)</t>
  </si>
  <si>
    <t>Reported Coutmin</t>
  </si>
  <si>
    <t>Output Voltage Ripple Spec</t>
  </si>
  <si>
    <t>Input Voltage Ripple Spec</t>
  </si>
  <si>
    <t>Minimum Input Capacitance</t>
  </si>
  <si>
    <t>Ton_min_boost</t>
  </si>
  <si>
    <t>Period</t>
  </si>
  <si>
    <t>Ts</t>
  </si>
  <si>
    <t>VIN_boost_to_BB</t>
  </si>
  <si>
    <t>VIN_BB_to_boost</t>
  </si>
  <si>
    <t>Toff_min_buck</t>
  </si>
  <si>
    <t>200ns</t>
  </si>
  <si>
    <t>300ns</t>
  </si>
  <si>
    <t>VIN_BB_to_buck</t>
  </si>
  <si>
    <t>VIN_buck_to_BB</t>
  </si>
  <si>
    <t>D_min_boost</t>
  </si>
  <si>
    <t>buck min timer</t>
  </si>
  <si>
    <t>boost min timer</t>
  </si>
  <si>
    <t>D_max_buck_BB</t>
  </si>
  <si>
    <t>T_max_BB</t>
  </si>
  <si>
    <t>max timer before transition from BB</t>
  </si>
  <si>
    <t>D_max_buck_enterBB</t>
  </si>
  <si>
    <t>This along with Rcea1 will set a zero at Fcrossover/2 to optimize phase margin</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</si>
  <si>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</si>
  <si>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</si>
  <si>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</si>
  <si>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</si>
  <si>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</si>
  <si>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</si>
  <si>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</si>
  <si>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</si>
  <si>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</si>
  <si>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</si>
  <si>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</si>
  <si>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</si>
  <si>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</si>
  <si>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</si>
  <si>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</si>
  <si>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</si>
  <si>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6b: Other Components - UVLO, Dither, MODE</t>
  </si>
  <si>
    <t>Step 6a: Soft Start</t>
  </si>
  <si>
    <t>…report highest of these</t>
  </si>
  <si>
    <t>…report this</t>
  </si>
  <si>
    <t>PLOT_TYPE</t>
  </si>
  <si>
    <r>
      <t>Full Load Output Current, I</t>
    </r>
    <r>
      <rPr>
        <b/>
        <vertAlign val="subscript"/>
        <sz val="10"/>
        <color theme="1"/>
        <rFont val="Arial"/>
        <family val="2"/>
      </rPr>
      <t>OUT(max)</t>
    </r>
  </si>
  <si>
    <t>BUCK-BOOST CONTROLLER POWER TOOL</t>
  </si>
  <si>
    <t>Transition Loss</t>
  </si>
  <si>
    <t>Total Control MOSFET Loss</t>
  </si>
  <si>
    <t>Total Sync MOSFET Loss</t>
  </si>
  <si>
    <r>
      <t>Q1/Q3 R</t>
    </r>
    <r>
      <rPr>
        <b/>
        <vertAlign val="subscript"/>
        <sz val="10"/>
        <rFont val="Arial"/>
        <family val="2"/>
      </rPr>
      <t>DS(on)</t>
    </r>
    <r>
      <rPr>
        <b/>
        <sz val="10"/>
        <rFont val="Arial"/>
        <family val="2"/>
      </rPr>
      <t xml:space="preserve"> Loss @ D = 100%</t>
    </r>
  </si>
  <si>
    <t>Pass FET</t>
  </si>
  <si>
    <t>Control FET Temp Rise</t>
  </si>
  <si>
    <t>Sync FET Temp Rise</t>
  </si>
  <si>
    <t>Core Loss</t>
  </si>
  <si>
    <t>Irms Lf</t>
  </si>
  <si>
    <t xml:space="preserve">High-side BUCK "Control" MOSFET Losses </t>
  </si>
  <si>
    <t xml:space="preserve">Low-side BUCK "Sync" MOSFET Losses </t>
  </si>
  <si>
    <t xml:space="preserve">Low-side BOOST "Control" MOSFET Losses </t>
  </si>
  <si>
    <t xml:space="preserve">High-side BOOST "Sync" MOSFET Losses </t>
  </si>
  <si>
    <t>Mode</t>
  </si>
  <si>
    <t>Operating Point Condtions</t>
  </si>
  <si>
    <t>Mode Digit</t>
  </si>
  <si>
    <t>D_max_exitBB_to_boost</t>
  </si>
  <si>
    <t>D_max_exitBB_to_buck</t>
  </si>
  <si>
    <t>Duty Cycle BOOST Leg</t>
  </si>
  <si>
    <t>Duty Cycle BUCK Leg</t>
  </si>
  <si>
    <t>Actual Duty Cycle BUCK Leg</t>
  </si>
  <si>
    <t>Actual Duty Cycle BOOST Leg</t>
  </si>
  <si>
    <t>D_min_boost_exitBB_to_buck</t>
  </si>
  <si>
    <t>Avg IL</t>
  </si>
  <si>
    <t>Quiescent Current of LM5175 Controller (Not Switching!)</t>
  </si>
  <si>
    <t>Total MOSFET Loss</t>
  </si>
  <si>
    <t>Full-load/high line efficiency</t>
  </si>
  <si>
    <t>Half-load/mid-line efficiency</t>
  </si>
  <si>
    <t>Low line efficiency</t>
  </si>
  <si>
    <t>θJA-MOSFET</t>
  </si>
  <si>
    <t>θJA</t>
  </si>
  <si>
    <t>10% load</t>
  </si>
  <si>
    <t>100% load</t>
  </si>
  <si>
    <t>50% load</t>
  </si>
  <si>
    <t>Low VIN</t>
  </si>
  <si>
    <t>High VIN</t>
  </si>
  <si>
    <t>Nom VIN</t>
  </si>
  <si>
    <r>
      <t xml:space="preserve">Efficiency vs </t>
    </r>
    <r>
      <rPr>
        <b/>
        <sz val="10"/>
        <rFont val="Arial"/>
        <family val="2"/>
      </rPr>
      <t>IOUT</t>
    </r>
    <r>
      <rPr>
        <sz val="10"/>
        <rFont val="Arial"/>
        <family val="2"/>
      </rPr>
      <t xml:space="preserve"> Plot</t>
    </r>
  </si>
  <si>
    <t>Efficiency vs VIN Plot</t>
  </si>
  <si>
    <t xml:space="preserve"> LM5175 Quickstart Design Tool</t>
  </si>
  <si>
    <t>http://www.ti.com/nexfet</t>
  </si>
  <si>
    <r>
      <t>IC, LM5175, Buck-Boost PWM Controller, 3.5V</t>
    </r>
    <r>
      <rPr>
        <b/>
        <sz val="10"/>
        <rFont val="Calibri"/>
        <family val="2"/>
      </rPr>
      <t>–</t>
    </r>
    <r>
      <rPr>
        <b/>
        <sz val="10"/>
        <rFont val="Arial"/>
        <family val="2"/>
      </rPr>
      <t>42V Input</t>
    </r>
  </si>
  <si>
    <t>QFN-28</t>
  </si>
  <si>
    <t>TSSOP-28</t>
  </si>
  <si>
    <r>
      <t>** For information on TI NexFET</t>
    </r>
    <r>
      <rPr>
        <vertAlign val="superscript"/>
        <sz val="10"/>
        <rFont val="Arial"/>
        <family val="2"/>
      </rPr>
      <t>TM</t>
    </r>
    <r>
      <rPr>
        <sz val="10"/>
        <rFont val="Arial"/>
        <family val="2"/>
      </rPr>
      <t xml:space="preserve"> MOSFETs, see **</t>
    </r>
  </si>
  <si>
    <t xml:space="preserve">   **</t>
  </si>
  <si>
    <t>** Tie MODE to VCC (or voltage &gt; 2.4V) for CCM, GND for DCM **</t>
  </si>
  <si>
    <t>VIN range</t>
  </si>
  <si>
    <t>DITHER Yes/No</t>
  </si>
  <si>
    <t>1 = Yes, 2 = No</t>
  </si>
  <si>
    <t>DITHER Disabled</t>
  </si>
  <si>
    <t>DITHER Enabled</t>
  </si>
  <si>
    <t>Modulating Frequency</t>
  </si>
  <si>
    <t>Worst case peak inductor current</t>
  </si>
  <si>
    <r>
      <t>Peak Inductor Current, I</t>
    </r>
    <r>
      <rPr>
        <vertAlign val="subscript"/>
        <sz val="10"/>
        <color theme="1"/>
        <rFont val="Arial"/>
        <family val="2"/>
      </rPr>
      <t>LPK</t>
    </r>
  </si>
  <si>
    <t>CSD18563Q5A</t>
  </si>
  <si>
    <t>CSD16321Q5</t>
  </si>
  <si>
    <r>
      <t>V</t>
    </r>
    <r>
      <rPr>
        <b/>
        <vertAlign val="subscript"/>
        <sz val="10"/>
        <color theme="1"/>
        <rFont val="Arial"/>
        <family val="2"/>
      </rPr>
      <t>IN(nom)</t>
    </r>
  </si>
  <si>
    <t>http://www.ti.com/product/lm5175</t>
  </si>
  <si>
    <t>dB</t>
  </si>
  <si>
    <t>EA Gain</t>
  </si>
  <si>
    <t>EA Gain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</si>
</sst>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quot;Capacitor, Ceramic, &quot;General&quot;-µF, 25V, X5R, 20%&quot;"/>
    <numFmt numFmtId="177" formatCode="&quot;Capacitor, Ceramic, &quot;General&quot;-pF, 50V, NP0, 5%&quot;"/>
    <numFmt numFmtId="178" formatCode="&quot;Capacitor, Ceramic, &quot;General&quot;-nF, 16V, X7R, 10%&quot;"/>
    <numFmt numFmtId="179" formatCode="&quot;Capacitor, Ceramic, &quot;General&quot;-pF, 16V, X7R, 10%&quot;"/>
    <numFmt numFmtId="180" formatCode="&quot;Capacitor, Ceramic, &quot;General&quot;-µF, 25V, X7R, 20%&quot;"/>
    <numFmt numFmtId="181" formatCode="General&quot;µH&quot;"/>
    <numFmt numFmtId="182" formatCode="&quot;Inductor, &quot;General&quot;-µH, 10%&quot;"/>
    <numFmt numFmtId="183" formatCode="&quot;Resistor, Chip, &quot;General&quot;-kΩ, 1/16W, 1%&quot;"/>
    <numFmt numFmtId="184" formatCode="&quot;Resistor, Chip, &quot;General&quot;-Ω, 1/16W, 1%&quot;"/>
    <numFmt numFmtId="185" formatCode="0.E+00"/>
    <numFmt numFmtId="186" formatCode="0.0%"/>
    <numFmt numFmtId="187" formatCode="0.0E+00"/>
    <numFmt numFmtId="188" formatCode="&quot;MOSFET, N-CH, 60V, &quot;General&quot;mΩ&quot;"/>
    <numFmt numFmtId="189" formatCode="General&quot;m&quot;"/>
    <numFmt numFmtId="190" formatCode="&quot;Capacitor, Ceramic, &quot;General&quot;-µF, 50V, X7R, 20%&quot;"/>
    <numFmt numFmtId="191" formatCode="&quot;Capacitor, Ceramic, &quot;General&quot;-µF, 100V, X7R, 20%&quot;"/>
    <numFmt numFmtId="192" formatCode="&quot;Resistor, Chip, &quot;General&quot;-mΩ, 2W, 1%&quot;"/>
  </numFmts>
  <fonts count="96"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sz val="9"/>
      <color indexed="81"/>
      <name val="Calibri"/>
      <family val="2"/>
    </font>
    <font>
      <u/>
      <sz val="9"/>
      <color indexed="12"/>
      <name val="Tahoma"/>
      <family val="2"/>
    </font>
    <font>
      <vertAlign val="superscript"/>
      <sz val="10"/>
      <name val="Arial"/>
      <family val="2"/>
    </font>
    <font>
      <vertAlign val="subscript"/>
      <sz val="10"/>
      <color theme="1"/>
      <name val="Arial"/>
      <family val="2"/>
    </font>
    <font>
      <u/>
      <sz val="9"/>
      <color indexed="81"/>
      <name val="Tahoma"/>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b/>
      <i/>
      <u/>
      <sz val="10"/>
      <color rgb="FF0000FF"/>
      <name val="Arial"/>
      <family val="2"/>
    </font>
    <font>
      <sz val="10"/>
      <color theme="0"/>
      <name val="Arial"/>
      <family val="2"/>
    </font>
    <font>
      <u/>
      <sz val="10"/>
      <color theme="0" tint="-0.499984740745262"/>
      <name val="Arial"/>
      <family val="2"/>
    </font>
    <font>
      <b/>
      <sz val="12"/>
      <color indexed="10"/>
      <name val="Tahoma"/>
      <family val="2"/>
    </font>
    <font>
      <b/>
      <sz val="10"/>
      <color rgb="FFFF00FF"/>
      <name val="Arial"/>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s>
  <fills count="27">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s>
  <cellStyleXfs count="6">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cellStyleXfs>
  <cellXfs count="723">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0" fillId="7" borderId="11" xfId="0" applyFill="1" applyBorder="1"/>
    <xf numFmtId="0" fontId="15" fillId="7" borderId="11" xfId="0" applyFont="1" applyFill="1" applyBorder="1"/>
    <xf numFmtId="0" fontId="8" fillId="7" borderId="11" xfId="0" applyFont="1"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0" fillId="0" borderId="2" xfId="0" applyBorder="1" applyAlignment="1">
      <alignment horizontal="right"/>
    </xf>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6"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9" fillId="9" borderId="0" xfId="0" applyFont="1" applyFill="1"/>
    <xf numFmtId="1" fontId="3" fillId="19" borderId="0" xfId="0" applyNumberFormat="1" applyFont="1" applyFill="1" applyProtection="1">
      <protection locked="0"/>
    </xf>
    <xf numFmtId="0" fontId="60" fillId="9" borderId="0" xfId="0" applyFont="1" applyFill="1"/>
    <xf numFmtId="0" fontId="6" fillId="9" borderId="0" xfId="0" applyFont="1" applyFill="1" applyAlignment="1">
      <alignment horizontal="right"/>
    </xf>
    <xf numFmtId="0" fontId="58" fillId="9" borderId="0" xfId="0" applyFont="1" applyFill="1"/>
    <xf numFmtId="0" fontId="61"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61" fillId="16" borderId="0" xfId="0" applyFont="1" applyFill="1"/>
    <xf numFmtId="1" fontId="58" fillId="9" borderId="0" xfId="0" applyNumberFormat="1" applyFont="1" applyFill="1" applyAlignment="1">
      <alignment horizontal="right"/>
    </xf>
    <xf numFmtId="0" fontId="63" fillId="15" borderId="19" xfId="0" applyFont="1" applyFill="1" applyBorder="1"/>
    <xf numFmtId="0" fontId="61"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4" fillId="9" borderId="0" xfId="0" applyFont="1" applyFill="1"/>
    <xf numFmtId="0" fontId="2" fillId="9" borderId="0" xfId="0" applyFont="1" applyFill="1" applyAlignment="1">
      <alignment horizontal="left"/>
    </xf>
    <xf numFmtId="0" fontId="62" fillId="19" borderId="0" xfId="0" applyFont="1" applyFill="1" applyAlignment="1" applyProtection="1">
      <alignment horizontal="right"/>
      <protection locked="0" hidden="1"/>
    </xf>
    <xf numFmtId="0" fontId="65" fillId="15" borderId="19" xfId="0" applyFont="1" applyFill="1" applyBorder="1"/>
    <xf numFmtId="0" fontId="22" fillId="9" borderId="28" xfId="0" applyFont="1" applyFill="1" applyBorder="1"/>
    <xf numFmtId="1" fontId="2" fillId="9" borderId="0" xfId="0" applyNumberFormat="1" applyFont="1" applyFill="1"/>
    <xf numFmtId="0" fontId="67"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7"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168" fontId="2" fillId="9" borderId="31" xfId="0" applyNumberFormat="1"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2" fillId="19" borderId="41" xfId="0" applyFont="1" applyFill="1" applyBorder="1" applyAlignment="1" applyProtection="1">
      <alignment horizontal="right"/>
      <protection locked="0" hidden="1"/>
    </xf>
    <xf numFmtId="0" fontId="62" fillId="9" borderId="42" xfId="0" applyFont="1" applyFill="1" applyBorder="1" applyAlignment="1">
      <alignment horizontal="left"/>
    </xf>
    <xf numFmtId="0" fontId="62"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2" xfId="0" applyFont="1" applyFill="1" applyBorder="1"/>
    <xf numFmtId="0" fontId="2" fillId="9" borderId="41" xfId="0" applyFont="1" applyFill="1" applyBorder="1" applyAlignment="1">
      <alignment vertical="center"/>
    </xf>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2" fillId="19" borderId="45" xfId="0" applyFont="1" applyFill="1" applyBorder="1" applyAlignment="1" applyProtection="1">
      <alignment horizontal="right"/>
      <protection locked="0" hidden="1"/>
    </xf>
    <xf numFmtId="0" fontId="62"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3"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71" fillId="9" borderId="0" xfId="0" applyFont="1" applyFill="1"/>
    <xf numFmtId="0" fontId="71" fillId="9" borderId="29" xfId="0" applyFont="1" applyFill="1" applyBorder="1"/>
    <xf numFmtId="171" fontId="71" fillId="18" borderId="0" xfId="0" applyNumberFormat="1" applyFont="1" applyFill="1" applyAlignment="1">
      <alignment horizontal="center"/>
    </xf>
    <xf numFmtId="0" fontId="71" fillId="18" borderId="0" xfId="0" applyFont="1" applyFill="1"/>
    <xf numFmtId="171" fontId="71" fillId="3" borderId="0" xfId="0" applyNumberFormat="1" applyFont="1" applyFill="1" applyAlignment="1">
      <alignment horizontal="center"/>
    </xf>
    <xf numFmtId="0" fontId="71" fillId="3" borderId="0" xfId="0" applyFont="1" applyFill="1"/>
    <xf numFmtId="0" fontId="69"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70" fillId="9" borderId="28" xfId="0" applyFont="1" applyFill="1" applyBorder="1" applyAlignment="1">
      <alignment vertical="center"/>
    </xf>
    <xf numFmtId="0" fontId="69" fillId="9" borderId="0" xfId="0" applyFont="1" applyFill="1" applyAlignment="1">
      <alignment horizontal="right" vertical="center"/>
    </xf>
    <xf numFmtId="168" fontId="69" fillId="9" borderId="45" xfId="0" applyNumberFormat="1" applyFont="1" applyFill="1" applyBorder="1" applyAlignment="1">
      <alignment horizontal="center" vertical="center"/>
    </xf>
    <xf numFmtId="0" fontId="69" fillId="0" borderId="0" xfId="0" applyFont="1" applyAlignment="1">
      <alignment horizontal="left" vertical="center"/>
    </xf>
    <xf numFmtId="0" fontId="2" fillId="0" borderId="1" xfId="0" applyFont="1" applyBorder="1"/>
    <xf numFmtId="0" fontId="2" fillId="0" borderId="28" xfId="0" applyFont="1" applyBorder="1"/>
    <xf numFmtId="2" fontId="0" fillId="0" borderId="0" xfId="0" applyNumberFormat="1" applyAlignment="1">
      <alignment horizontal="right"/>
    </xf>
    <xf numFmtId="0" fontId="74"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174" fontId="2" fillId="16" borderId="11" xfId="3" applyNumberFormat="1" applyFill="1" applyBorder="1" applyAlignment="1">
      <alignment horizontal="center"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1" fontId="2" fillId="20" borderId="11" xfId="3" applyNumberFormat="1" applyFill="1" applyBorder="1" applyAlignment="1">
      <alignment horizontal="center" vertical="center"/>
    </xf>
    <xf numFmtId="0" fontId="3" fillId="9" borderId="11" xfId="3" applyFont="1" applyFill="1" applyBorder="1" applyAlignment="1">
      <alignment horizontal="left"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6" fillId="16" borderId="0" xfId="0" applyFont="1" applyFill="1"/>
    <xf numFmtId="168" fontId="3" fillId="19" borderId="0" xfId="0" applyNumberFormat="1" applyFont="1" applyFill="1" applyProtection="1">
      <protection locked="0"/>
    </xf>
    <xf numFmtId="0" fontId="3" fillId="9" borderId="0" xfId="3" applyFont="1" applyFill="1"/>
    <xf numFmtId="0" fontId="64" fillId="9" borderId="41" xfId="0" applyFont="1" applyFill="1" applyBorder="1" applyProtection="1">
      <protection locked="0"/>
    </xf>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1" fontId="2" fillId="9" borderId="31" xfId="0" applyNumberFormat="1" applyFont="1" applyFill="1" applyBorder="1" applyAlignment="1">
      <alignmen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67" fillId="9"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0" fontId="3" fillId="9" borderId="3" xfId="0" applyFont="1" applyFill="1" applyBorder="1" applyAlignment="1">
      <alignment vertical="center"/>
    </xf>
    <xf numFmtId="0" fontId="67"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7" fillId="16" borderId="2" xfId="0" applyFont="1" applyFill="1" applyBorder="1" applyAlignment="1">
      <alignment horizontal="right" vertical="center"/>
    </xf>
    <xf numFmtId="1" fontId="2" fillId="9" borderId="0" xfId="0" applyNumberFormat="1" applyFont="1" applyFill="1" applyAlignment="1">
      <alignment horizontal="right" vertical="center"/>
    </xf>
    <xf numFmtId="0" fontId="67"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3" fillId="19" borderId="0" xfId="0" applyFont="1" applyFill="1" applyAlignment="1" applyProtection="1">
      <alignment horizontal="right" vertical="center"/>
      <protection locked="0"/>
    </xf>
    <xf numFmtId="0" fontId="2" fillId="9" borderId="45" xfId="0" applyFont="1" applyFill="1" applyBorder="1" applyAlignment="1">
      <alignment horizontal="right" vertical="center"/>
    </xf>
    <xf numFmtId="2" fontId="2" fillId="9" borderId="0" xfId="0" applyNumberFormat="1" applyFont="1" applyFill="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7"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7"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169"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41" xfId="0" applyFont="1" applyBorder="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167" fontId="3" fillId="22" borderId="2" xfId="0" applyNumberFormat="1" applyFont="1" applyFill="1" applyBorder="1"/>
    <xf numFmtId="0" fontId="3" fillId="19" borderId="2" xfId="0" applyFont="1" applyFill="1" applyBorder="1" applyProtection="1">
      <protection locked="0"/>
    </xf>
    <xf numFmtId="0" fontId="66" fillId="16" borderId="0" xfId="0" applyFont="1" applyFill="1" applyAlignment="1">
      <alignment horizontal="center"/>
    </xf>
    <xf numFmtId="168" fontId="2" fillId="9" borderId="0" xfId="0" applyNumberFormat="1" applyFont="1" applyFill="1"/>
    <xf numFmtId="2" fontId="0" fillId="13" borderId="0" xfId="0" applyNumberFormat="1" applyFill="1"/>
    <xf numFmtId="2" fontId="0" fillId="22" borderId="0" xfId="0" applyNumberFormat="1" applyFill="1"/>
    <xf numFmtId="1" fontId="0" fillId="12" borderId="0" xfId="0" applyNumberFormat="1" applyFill="1"/>
    <xf numFmtId="166" fontId="0" fillId="22" borderId="0" xfId="0" applyNumberFormat="1" applyFill="1"/>
    <xf numFmtId="166" fontId="0" fillId="12" borderId="0" xfId="0" applyNumberFormat="1" applyFill="1"/>
    <xf numFmtId="3" fontId="0" fillId="12" borderId="0" xfId="0" applyNumberFormat="1" applyFill="1"/>
    <xf numFmtId="1" fontId="0" fillId="22" borderId="0" xfId="0" applyNumberFormat="1" applyFill="1"/>
    <xf numFmtId="1" fontId="0" fillId="0" borderId="0" xfId="0" applyNumberFormat="1"/>
    <xf numFmtId="1" fontId="0" fillId="24" borderId="0" xfId="0" applyNumberFormat="1" applyFill="1"/>
    <xf numFmtId="166" fontId="0" fillId="0" borderId="0" xfId="0" applyNumberFormat="1"/>
    <xf numFmtId="0" fontId="0" fillId="23" borderId="0" xfId="0" applyFill="1"/>
    <xf numFmtId="168" fontId="0" fillId="22" borderId="0" xfId="0" applyNumberFormat="1" applyFill="1"/>
    <xf numFmtId="0" fontId="2" fillId="0" borderId="41" xfId="0" applyFont="1" applyBorder="1"/>
    <xf numFmtId="168" fontId="0" fillId="12" borderId="2" xfId="0" applyNumberFormat="1" applyFill="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64"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2" fontId="2" fillId="0" borderId="68" xfId="3" applyNumberFormat="1" applyBorder="1"/>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74" fillId="0" borderId="77" xfId="0" applyFont="1" applyBorder="1"/>
    <xf numFmtId="1" fontId="64" fillId="0" borderId="0" xfId="0" applyNumberFormat="1" applyFont="1"/>
    <xf numFmtId="0" fontId="84" fillId="0" borderId="0" xfId="0" applyFont="1"/>
    <xf numFmtId="1" fontId="66" fillId="0" borderId="0" xfId="0" applyNumberFormat="1" applyFont="1"/>
    <xf numFmtId="0" fontId="66" fillId="0" borderId="0" xfId="0" applyFont="1"/>
    <xf numFmtId="2" fontId="66" fillId="0" borderId="0" xfId="0" applyNumberFormat="1" applyFont="1"/>
    <xf numFmtId="167" fontId="64"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7" fillId="0" borderId="0" xfId="0" applyNumberFormat="1" applyFont="1"/>
    <xf numFmtId="0" fontId="67" fillId="0" borderId="0" xfId="0" applyFont="1"/>
    <xf numFmtId="0" fontId="74" fillId="0" borderId="58" xfId="3" applyFont="1" applyBorder="1"/>
    <xf numFmtId="167" fontId="0" fillId="12" borderId="0" xfId="0" applyNumberFormat="1" applyFill="1"/>
    <xf numFmtId="185" fontId="2" fillId="0" borderId="0" xfId="0" applyNumberFormat="1" applyFont="1"/>
    <xf numFmtId="166" fontId="7" fillId="12" borderId="0" xfId="0" applyNumberFormat="1" applyFont="1" applyFill="1"/>
    <xf numFmtId="185" fontId="0" fillId="23" borderId="0" xfId="0" applyNumberForma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0" fontId="0" fillId="23" borderId="0" xfId="0" applyFill="1" applyAlignment="1">
      <alignment horizontal="right"/>
    </xf>
    <xf numFmtId="2" fontId="0" fillId="22" borderId="0" xfId="0" applyNumberFormat="1" applyFill="1" applyAlignment="1">
      <alignment horizontal="right"/>
    </xf>
    <xf numFmtId="0" fontId="84" fillId="0" borderId="28" xfId="0" applyFont="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185" fontId="2" fillId="23" borderId="0" xfId="0" applyNumberFormat="1" applyFont="1" applyFill="1" applyAlignment="1">
      <alignment horizontal="right" vertical="center"/>
    </xf>
    <xf numFmtId="186"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168" fontId="66" fillId="9" borderId="2" xfId="1" applyNumberFormat="1" applyFont="1" applyFill="1" applyBorder="1" applyAlignment="1" applyProtection="1">
      <alignment horizontal="right"/>
    </xf>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7" fillId="0" borderId="0" xfId="0" applyNumberFormat="1" applyFont="1"/>
    <xf numFmtId="1" fontId="3" fillId="0" borderId="0" xfId="0" applyNumberFormat="1" applyFont="1"/>
    <xf numFmtId="187" fontId="3" fillId="12" borderId="0" xfId="0" applyNumberFormat="1" applyFont="1" applyFill="1"/>
    <xf numFmtId="187" fontId="2" fillId="4" borderId="0" xfId="0" applyNumberFormat="1" applyFont="1" applyFill="1"/>
    <xf numFmtId="187" fontId="30" fillId="4" borderId="0" xfId="0" applyNumberFormat="1" applyFont="1" applyFill="1"/>
    <xf numFmtId="187" fontId="0" fillId="12" borderId="0" xfId="0" applyNumberFormat="1" applyFill="1"/>
    <xf numFmtId="187"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87" fontId="2" fillId="23" borderId="0" xfId="0" applyNumberFormat="1" applyFont="1" applyFill="1"/>
    <xf numFmtId="166" fontId="66" fillId="0" borderId="0" xfId="0" applyNumberFormat="1" applyFont="1"/>
    <xf numFmtId="168" fontId="2" fillId="22" borderId="0" xfId="0" applyNumberFormat="1" applyFont="1" applyFill="1"/>
    <xf numFmtId="1" fontId="3" fillId="22" borderId="0" xfId="0" applyNumberFormat="1" applyFont="1" applyFill="1"/>
    <xf numFmtId="1" fontId="2" fillId="9" borderId="44" xfId="0" applyNumberFormat="1" applyFont="1" applyFill="1" applyBorder="1" applyAlignment="1">
      <alignment horizontal="right"/>
    </xf>
    <xf numFmtId="0" fontId="2" fillId="16" borderId="0" xfId="3" applyFill="1" applyAlignment="1">
      <alignment vertical="center"/>
    </xf>
    <xf numFmtId="49" fontId="2" fillId="16" borderId="0" xfId="3" applyNumberFormat="1" applyFill="1" applyAlignment="1">
      <alignment vertical="center"/>
    </xf>
    <xf numFmtId="189" fontId="2" fillId="21" borderId="11" xfId="3" applyNumberFormat="1" applyFill="1" applyBorder="1" applyAlignment="1">
      <alignment horizontal="center" vertical="center"/>
    </xf>
    <xf numFmtId="172"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4"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80" xfId="0" applyNumberFormat="1"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64"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83"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86" fillId="0" borderId="0" xfId="0" applyFont="1"/>
    <xf numFmtId="2" fontId="3" fillId="0" borderId="0" xfId="0" applyNumberFormat="1" applyFont="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9" fillId="9" borderId="77" xfId="0" applyFont="1" applyFill="1" applyBorder="1" applyAlignment="1">
      <alignment horizontal="left"/>
    </xf>
    <xf numFmtId="0" fontId="3" fillId="4" borderId="0" xfId="0" applyFont="1" applyFill="1"/>
    <xf numFmtId="0" fontId="75" fillId="3" borderId="49" xfId="3" applyFont="1" applyFill="1" applyBorder="1" applyAlignment="1">
      <alignment horizontal="center" vertical="center"/>
    </xf>
    <xf numFmtId="0" fontId="75" fillId="3" borderId="50" xfId="3" applyFont="1" applyFill="1" applyBorder="1" applyAlignment="1">
      <alignment horizontal="center" vertical="center"/>
    </xf>
    <xf numFmtId="0" fontId="75" fillId="3" borderId="50" xfId="3" applyFont="1" applyFill="1" applyBorder="1" applyAlignment="1">
      <alignment horizontal="left" vertical="center"/>
    </xf>
    <xf numFmtId="0" fontId="2" fillId="9" borderId="77" xfId="0" applyFont="1" applyFill="1" applyBorder="1" applyAlignment="1">
      <alignment horizontal="right" vertical="center"/>
    </xf>
    <xf numFmtId="0" fontId="2" fillId="9" borderId="41" xfId="0" applyFont="1" applyFill="1" applyBorder="1" applyAlignment="1">
      <alignment horizontal="left" vertical="center"/>
    </xf>
    <xf numFmtId="0" fontId="2" fillId="9" borderId="0" xfId="0" applyFont="1" applyFill="1" applyAlignment="1">
      <alignment horizontal="left" vertical="top"/>
    </xf>
    <xf numFmtId="1" fontId="2" fillId="9" borderId="31" xfId="0" applyNumberFormat="1" applyFont="1" applyFill="1" applyBorder="1" applyAlignment="1">
      <alignment horizontal="right"/>
    </xf>
    <xf numFmtId="0" fontId="2" fillId="9" borderId="0" xfId="0" applyFont="1" applyFill="1" applyAlignment="1">
      <alignment horizontal="right" vertical="top" readingOrder="1"/>
    </xf>
    <xf numFmtId="168" fontId="0" fillId="0" borderId="0" xfId="0" applyNumberFormat="1" applyAlignment="1">
      <alignment horizontal="left"/>
    </xf>
    <xf numFmtId="187" fontId="66" fillId="0" borderId="0" xfId="0" applyNumberFormat="1" applyFont="1"/>
    <xf numFmtId="11" fontId="66" fillId="0" borderId="0" xfId="0" applyNumberFormat="1" applyFont="1"/>
    <xf numFmtId="167" fontId="69" fillId="0" borderId="0" xfId="0" applyNumberFormat="1" applyFont="1"/>
    <xf numFmtId="0" fontId="69" fillId="0" borderId="0" xfId="0" applyFont="1"/>
    <xf numFmtId="167" fontId="3" fillId="9" borderId="0" xfId="0" applyNumberFormat="1" applyFont="1" applyFill="1" applyAlignment="1">
      <alignment horizontal="center"/>
    </xf>
    <xf numFmtId="0" fontId="88" fillId="0" borderId="0" xfId="0" applyFont="1"/>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71"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3"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9" fillId="25" borderId="0" xfId="2" applyFont="1" applyFill="1" applyBorder="1" applyAlignment="1" applyProtection="1">
      <alignment horizontal="left" vertical="center"/>
    </xf>
    <xf numFmtId="0" fontId="89" fillId="25" borderId="0" xfId="2" applyFont="1" applyFill="1" applyAlignment="1" applyProtection="1"/>
    <xf numFmtId="167" fontId="3" fillId="24" borderId="0" xfId="0" applyNumberFormat="1" applyFont="1" applyFill="1" applyAlignment="1">
      <alignment horizontal="right"/>
    </xf>
    <xf numFmtId="1" fontId="2" fillId="9" borderId="75" xfId="0" applyNumberFormat="1" applyFont="1" applyFill="1" applyBorder="1" applyAlignment="1">
      <alignment horizontal="right"/>
    </xf>
    <xf numFmtId="0" fontId="91" fillId="0" borderId="28" xfId="0" applyFont="1" applyBorder="1"/>
    <xf numFmtId="168" fontId="3" fillId="22" borderId="0" xfId="0" applyNumberFormat="1" applyFont="1" applyFill="1"/>
    <xf numFmtId="168" fontId="3" fillId="0" borderId="0" xfId="0" applyNumberFormat="1" applyFont="1"/>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87" fontId="3" fillId="0" borderId="0" xfId="0" applyNumberFormat="1" applyFont="1"/>
    <xf numFmtId="2" fontId="30" fillId="0" borderId="0" xfId="0" applyNumberFormat="1" applyFont="1"/>
    <xf numFmtId="0" fontId="76"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6" fillId="22" borderId="0" xfId="0" applyNumberFormat="1" applyFont="1" applyFill="1"/>
    <xf numFmtId="187" fontId="0" fillId="0" borderId="0" xfId="0" applyNumberFormat="1"/>
    <xf numFmtId="2" fontId="0" fillId="4" borderId="0" xfId="0" applyNumberFormat="1" applyFill="1"/>
    <xf numFmtId="1" fontId="0" fillId="0" borderId="0" xfId="0" applyNumberFormat="1" applyAlignment="1">
      <alignment horizontal="left"/>
    </xf>
    <xf numFmtId="2" fontId="3" fillId="0" borderId="0" xfId="0" applyNumberFormat="1" applyFont="1" applyAlignment="1">
      <alignment horizontal="left"/>
    </xf>
    <xf numFmtId="0" fontId="0" fillId="0" borderId="31" xfId="0" applyBorder="1" applyAlignment="1">
      <alignment horizontal="left"/>
    </xf>
    <xf numFmtId="2" fontId="92" fillId="0" borderId="0" xfId="0" applyNumberFormat="1" applyFont="1" applyAlignment="1">
      <alignment horizontal="left"/>
    </xf>
    <xf numFmtId="0" fontId="92" fillId="0" borderId="0" xfId="0" applyFont="1" applyAlignment="1">
      <alignment horizontal="left"/>
    </xf>
    <xf numFmtId="0" fontId="66"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6" fillId="0" borderId="0" xfId="0" applyFont="1" applyAlignment="1">
      <alignment horizontal="left"/>
    </xf>
    <xf numFmtId="0" fontId="64" fillId="0" borderId="0" xfId="0" applyFont="1" applyAlignment="1">
      <alignment horizontal="right"/>
    </xf>
    <xf numFmtId="0" fontId="64"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86" fontId="0" fillId="0" borderId="0" xfId="0" applyNumberFormat="1"/>
    <xf numFmtId="0" fontId="3" fillId="0" borderId="28" xfId="0" applyFont="1" applyBorder="1" applyAlignment="1">
      <alignment horizontal="center"/>
    </xf>
    <xf numFmtId="167" fontId="86"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67" fontId="3" fillId="2" borderId="21" xfId="0" applyNumberFormat="1" applyFont="1" applyFill="1" applyBorder="1" applyAlignment="1">
      <alignment horizontal="center" vertical="center" wrapText="1"/>
    </xf>
    <xf numFmtId="1" fontId="3" fillId="16" borderId="0" xfId="0" applyNumberFormat="1" applyFont="1" applyFill="1" applyAlignment="1" applyProtection="1">
      <alignment horizontal="right" vertical="center"/>
      <protection hidden="1"/>
    </xf>
    <xf numFmtId="0" fontId="64" fillId="2" borderId="6" xfId="0" applyFont="1" applyFill="1" applyBorder="1" applyAlignment="1">
      <alignment horizontal="center" vertical="center" wrapText="1"/>
    </xf>
    <xf numFmtId="168" fontId="84" fillId="0" borderId="0" xfId="0" applyNumberFormat="1" applyFont="1"/>
    <xf numFmtId="10" fontId="84" fillId="0" borderId="0" xfId="0" applyNumberFormat="1" applyFont="1" applyAlignment="1">
      <alignment horizontal="center"/>
    </xf>
    <xf numFmtId="0" fontId="10" fillId="9" borderId="0" xfId="2" applyFill="1" applyAlignment="1" applyProtection="1"/>
    <xf numFmtId="168" fontId="2" fillId="16" borderId="0" xfId="0" applyNumberFormat="1" applyFont="1" applyFill="1"/>
    <xf numFmtId="0" fontId="3" fillId="9" borderId="45" xfId="0" applyFont="1" applyFill="1" applyBorder="1" applyAlignment="1">
      <alignment horizontal="left" vertical="center"/>
    </xf>
    <xf numFmtId="0" fontId="3" fillId="19" borderId="0" xfId="0" applyFont="1" applyFill="1" applyAlignment="1">
      <alignment horizontal="left"/>
    </xf>
    <xf numFmtId="0" fontId="69" fillId="9" borderId="0" xfId="0" applyFont="1" applyFill="1" applyAlignment="1">
      <alignment horizontal="left" vertical="center"/>
    </xf>
    <xf numFmtId="0" fontId="24" fillId="25" borderId="0" xfId="0" applyFont="1" applyFill="1" applyAlignment="1">
      <alignment horizontal="center" vertical="center"/>
    </xf>
    <xf numFmtId="0" fontId="55" fillId="17" borderId="43" xfId="0" applyFont="1" applyFill="1" applyBorder="1" applyAlignment="1">
      <alignment horizontal="center" vertical="center"/>
    </xf>
    <xf numFmtId="0" fontId="55" fillId="17" borderId="41" xfId="0" applyFont="1" applyFill="1" applyBorder="1" applyAlignment="1">
      <alignment horizontal="center"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183" fontId="2" fillId="21" borderId="8" xfId="3" applyNumberFormat="1" applyFill="1" applyBorder="1" applyAlignment="1">
      <alignment horizontal="left" vertical="center"/>
    </xf>
    <xf numFmtId="183" fontId="2" fillId="21" borderId="9" xfId="3" applyNumberFormat="1" applyFill="1" applyBorder="1" applyAlignment="1">
      <alignment horizontal="left" vertical="center"/>
    </xf>
    <xf numFmtId="183" fontId="2" fillId="21" borderId="15" xfId="3" applyNumberFormat="1" applyFill="1" applyBorder="1" applyAlignment="1">
      <alignment horizontal="left" vertical="center"/>
    </xf>
    <xf numFmtId="184" fontId="2" fillId="16" borderId="8" xfId="3" applyNumberFormat="1" applyFill="1" applyBorder="1" applyAlignment="1">
      <alignment horizontal="left" vertical="center"/>
    </xf>
    <xf numFmtId="184" fontId="2" fillId="16" borderId="9" xfId="3" applyNumberFormat="1" applyFill="1" applyBorder="1" applyAlignment="1">
      <alignment horizontal="left" vertical="center"/>
    </xf>
    <xf numFmtId="184" fontId="2" fillId="16" borderId="15" xfId="3" applyNumberFormat="1" applyFill="1" applyBorder="1" applyAlignment="1">
      <alignment horizontal="left" vertical="center"/>
    </xf>
    <xf numFmtId="190" fontId="2" fillId="9" borderId="8" xfId="3" applyNumberFormat="1" applyFill="1" applyBorder="1" applyAlignment="1">
      <alignment horizontal="left" vertical="center"/>
    </xf>
    <xf numFmtId="190" fontId="2" fillId="9" borderId="9"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76" fontId="2" fillId="20" borderId="8" xfId="3" applyNumberFormat="1" applyFill="1" applyBorder="1" applyAlignment="1">
      <alignment horizontal="left" vertical="center"/>
    </xf>
    <xf numFmtId="176" fontId="2" fillId="20" borderId="9" xfId="3" applyNumberFormat="1" applyFill="1" applyBorder="1" applyAlignment="1">
      <alignment horizontal="left" vertical="center"/>
    </xf>
    <xf numFmtId="191" fontId="2" fillId="16" borderId="8" xfId="3" applyNumberFormat="1" applyFill="1" applyBorder="1" applyAlignment="1">
      <alignment horizontal="left" vertical="center"/>
    </xf>
    <xf numFmtId="191" fontId="2" fillId="16" borderId="9"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9" fontId="2" fillId="16" borderId="8" xfId="3" applyNumberFormat="1" applyFill="1" applyBorder="1" applyAlignment="1">
      <alignment horizontal="left" vertical="center"/>
    </xf>
    <xf numFmtId="179" fontId="2" fillId="16" borderId="9" xfId="3" applyNumberFormat="1" applyFill="1" applyBorder="1" applyAlignment="1">
      <alignment horizontal="left" vertical="center"/>
    </xf>
    <xf numFmtId="180" fontId="2" fillId="16" borderId="8" xfId="3" applyNumberFormat="1" applyFill="1" applyBorder="1" applyAlignment="1">
      <alignment horizontal="left" vertical="center"/>
    </xf>
    <xf numFmtId="180" fontId="2" fillId="16" borderId="9" xfId="3" applyNumberFormat="1" applyFill="1" applyBorder="1" applyAlignment="1">
      <alignment horizontal="left" vertical="center"/>
    </xf>
    <xf numFmtId="190" fontId="2" fillId="20" borderId="8" xfId="3" applyNumberFormat="1" applyFill="1" applyBorder="1" applyAlignment="1">
      <alignment horizontal="left" vertical="center"/>
    </xf>
    <xf numFmtId="190" fontId="2" fillId="20" borderId="9" xfId="3" applyNumberFormat="1" applyFill="1" applyBorder="1" applyAlignment="1">
      <alignment horizontal="left" vertical="center"/>
    </xf>
    <xf numFmtId="176" fontId="2" fillId="16" borderId="8" xfId="3" applyNumberFormat="1" applyFill="1" applyBorder="1" applyAlignment="1">
      <alignment horizontal="left" vertical="center"/>
    </xf>
    <xf numFmtId="0" fontId="0" fillId="0" borderId="9" xfId="0" applyBorder="1"/>
    <xf numFmtId="0" fontId="75" fillId="3" borderId="51" xfId="3" applyFont="1" applyFill="1" applyBorder="1" applyAlignment="1">
      <alignment horizontal="left" vertical="center"/>
    </xf>
    <xf numFmtId="0" fontId="75" fillId="3" borderId="52" xfId="3" applyFont="1" applyFill="1" applyBorder="1" applyAlignment="1">
      <alignment horizontal="left" vertical="center"/>
    </xf>
    <xf numFmtId="0" fontId="75" fillId="3" borderId="53" xfId="3" applyFont="1" applyFill="1" applyBorder="1" applyAlignment="1">
      <alignment horizontal="left" vertical="center"/>
    </xf>
    <xf numFmtId="178" fontId="2" fillId="21" borderId="8" xfId="3" applyNumberFormat="1" applyFill="1" applyBorder="1" applyAlignment="1">
      <alignment horizontal="left" vertical="center"/>
    </xf>
    <xf numFmtId="178" fontId="2" fillId="21"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88" fontId="2" fillId="16" borderId="8" xfId="3" applyNumberFormat="1" applyFill="1" applyBorder="1" applyAlignment="1">
      <alignment horizontal="left" vertical="center"/>
    </xf>
    <xf numFmtId="188" fontId="2" fillId="16" borderId="9" xfId="3" applyNumberFormat="1" applyFill="1" applyBorder="1" applyAlignment="1">
      <alignment horizontal="left" vertical="center"/>
    </xf>
    <xf numFmtId="188" fontId="2" fillId="16" borderId="15" xfId="3" applyNumberFormat="1" applyFill="1" applyBorder="1" applyAlignment="1">
      <alignment horizontal="left" vertical="center"/>
    </xf>
    <xf numFmtId="192" fontId="2" fillId="21" borderId="8" xfId="3" applyNumberFormat="1" applyFill="1" applyBorder="1" applyAlignment="1">
      <alignment horizontal="left" vertical="center"/>
    </xf>
    <xf numFmtId="192" fontId="2" fillId="21" borderId="9" xfId="3" applyNumberFormat="1" applyFill="1" applyBorder="1" applyAlignment="1">
      <alignment horizontal="left" vertical="center"/>
    </xf>
    <xf numFmtId="192" fontId="2" fillId="21" borderId="15" xfId="3" applyNumberFormat="1" applyFill="1" applyBorder="1" applyAlignment="1">
      <alignment horizontal="left" vertical="center"/>
    </xf>
    <xf numFmtId="182" fontId="2" fillId="20" borderId="8" xfId="3" applyNumberFormat="1" applyFill="1" applyBorder="1" applyAlignment="1">
      <alignment horizontal="left" vertical="center"/>
    </xf>
    <xf numFmtId="182" fontId="2" fillId="20" borderId="9" xfId="3" applyNumberFormat="1" applyFill="1" applyBorder="1" applyAlignment="1">
      <alignment horizontal="left" vertical="center"/>
    </xf>
    <xf numFmtId="182" fontId="2" fillId="20" borderId="15"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4" fillId="9" borderId="14" xfId="3" applyFont="1" applyFill="1" applyBorder="1" applyAlignment="1">
      <alignment horizontal="center" vertical="center"/>
    </xf>
    <xf numFmtId="0" fontId="64"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53" fillId="16" borderId="28" xfId="0" applyFont="1" applyFill="1" applyBorder="1" applyAlignment="1">
      <alignment horizontal="left" vertical="center"/>
    </xf>
    <xf numFmtId="0" fontId="53"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20" xfId="0" applyFont="1" applyFill="1" applyBorder="1" applyAlignment="1">
      <alignment horizontal="center"/>
    </xf>
    <xf numFmtId="0" fontId="3" fillId="24" borderId="0" xfId="0" applyFont="1" applyFill="1" applyAlignment="1">
      <alignment horizontal="center"/>
    </xf>
    <xf numFmtId="0" fontId="83" fillId="4" borderId="74" xfId="3" applyFont="1" applyFill="1" applyBorder="1" applyAlignment="1">
      <alignment horizontal="center" vertical="center"/>
    </xf>
    <xf numFmtId="0" fontId="83"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83"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83" fillId="4" borderId="60" xfId="3" applyFont="1" applyFill="1" applyBorder="1" applyAlignment="1">
      <alignment horizontal="center"/>
    </xf>
    <xf numFmtId="0" fontId="83"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83" fillId="4" borderId="55" xfId="3" applyFont="1" applyFill="1" applyBorder="1" applyAlignment="1">
      <alignment horizontal="center"/>
    </xf>
    <xf numFmtId="0" fontId="83" fillId="4" borderId="56" xfId="3" applyFont="1" applyFill="1" applyBorder="1" applyAlignment="1">
      <alignment horizontal="center"/>
    </xf>
    <xf numFmtId="0" fontId="83"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17">
    <dxf>
      <font>
        <color theme="0"/>
      </font>
    </dxf>
    <dxf>
      <font>
        <b/>
        <i val="0"/>
        <color rgb="FFC00000"/>
      </font>
    </dxf>
    <dxf>
      <font>
        <color theme="0"/>
      </font>
      <fill>
        <patternFill>
          <bgColor theme="0"/>
        </patternFill>
      </fill>
    </dxf>
    <dxf>
      <font>
        <color rgb="FFFF0000"/>
      </font>
    </dxf>
    <dxf>
      <font>
        <b/>
        <i val="0"/>
        <condense val="0"/>
        <extend val="0"/>
        <color indexed="12"/>
      </font>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0000FF"/>
      <color rgb="FFC00000"/>
      <color rgb="FFCC00FF"/>
      <color rgb="FFC0C0C0"/>
      <color rgb="FFFFFFCC"/>
      <color rgb="FFCCFFFF"/>
      <color rgb="FFFF9900"/>
      <color rgb="FFFF00FF"/>
      <color rgb="FF99CC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A5-4213-A322-27E8A856FDB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372975.61591911386</c:v>
                </c:pt>
              </c:numCache>
            </c:numRef>
          </c:xVal>
          <c:yVal>
            <c:numRef>
              <c:f>'Stability Calculations'!$Q$627</c:f>
              <c:numCache>
                <c:formatCode>0.00</c:formatCode>
                <c:ptCount val="1"/>
                <c:pt idx="0">
                  <c:v>-40.438733534161926</c:v>
                </c:pt>
              </c:numCache>
            </c:numRef>
          </c:yVal>
          <c:smooth val="0"/>
          <c:extLst>
            <c:ext xmlns:c16="http://schemas.microsoft.com/office/drawing/2014/chart" uri="{C3380CC4-5D6E-409C-BE32-E72D297353CC}">
              <c16:uniqueId val="{00000001-FCA5-4213-A322-27E8A856FDBF}"/>
            </c:ext>
          </c:extLst>
        </c:ser>
        <c:ser>
          <c:idx val="11"/>
          <c:order val="9"/>
          <c:tx>
            <c:v>FzRHP</c:v>
          </c:tx>
          <c:spPr>
            <a:ln>
              <a:solidFill>
                <a:srgbClr val="FF00FF"/>
              </a:solidFill>
            </a:ln>
          </c:spPr>
          <c:marker>
            <c:symbol val="circle"/>
            <c:size val="8"/>
            <c:spPr>
              <a:noFill/>
              <a:ln w="19050">
                <a:solidFill>
                  <a:srgbClr val="FF00FF"/>
                </a:solidFill>
              </a:ln>
            </c:spPr>
          </c:marker>
          <c:dLbls>
            <c:dLbl>
              <c:idx val="0"/>
              <c:layout>
                <c:manualLayout>
                  <c:x val="-2.3423587921912771E-2"/>
                  <c:y val="2.9171863622686083E-2"/>
                </c:manualLayout>
              </c:layout>
              <c:tx>
                <c:rich>
                  <a:bodyPr/>
                  <a:lstStyle/>
                  <a:p>
                    <a:r>
                      <a:rPr lang="en-US"/>
                      <a:t>F</a:t>
                    </a:r>
                    <a:r>
                      <a:rPr lang="en-US" baseline="-25000"/>
                      <a:t>ZRHP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A5-4213-A322-27E8A856FDB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Calculations'!$A$628</c:f>
              <c:numCache>
                <c:formatCode>0</c:formatCode>
                <c:ptCount val="1"/>
                <c:pt idx="0">
                  <c:v>10000000</c:v>
                </c:pt>
              </c:numCache>
            </c:numRef>
          </c:xVal>
          <c:yVal>
            <c:numRef>
              <c:f>'Stability Calculations'!$D$637</c:f>
              <c:numCache>
                <c:formatCode>0.00</c:formatCode>
                <c:ptCount val="1"/>
                <c:pt idx="0">
                  <c:v>-121.54101033786135</c:v>
                </c:pt>
              </c:numCache>
            </c:numRef>
          </c:yVal>
          <c:smooth val="0"/>
          <c:extLst>
            <c:ext xmlns:c16="http://schemas.microsoft.com/office/drawing/2014/chart" uri="{C3380CC4-5D6E-409C-BE32-E72D297353CC}">
              <c16:uniqueId val="{00000003-FCA5-4213-A322-27E8A856FDBF}"/>
            </c:ext>
          </c:extLst>
        </c:ser>
        <c:dLbls>
          <c:showLegendKey val="0"/>
          <c:showVal val="0"/>
          <c:showCatName val="0"/>
          <c:showSerName val="0"/>
          <c:showPercent val="0"/>
          <c:showBubbleSize val="0"/>
        </c:dLbls>
        <c:axId val="139993088"/>
        <c:axId val="1399953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89.545775588422288</c:v>
                </c:pt>
                <c:pt idx="1">
                  <c:v>89.455906728328472</c:v>
                </c:pt>
                <c:pt idx="2">
                  <c:v>89.350274556378622</c:v>
                </c:pt>
                <c:pt idx="3">
                  <c:v>89.226593829206976</c:v>
                </c:pt>
                <c:pt idx="4">
                  <c:v>89.082520346407478</c:v>
                </c:pt>
                <c:pt idx="5">
                  <c:v>88.915244370692506</c:v>
                </c:pt>
                <c:pt idx="6">
                  <c:v>88.722377768571505</c:v>
                </c:pt>
                <c:pt idx="7">
                  <c:v>88.501233638657126</c:v>
                </c:pt>
                <c:pt idx="8">
                  <c:v>88.249562007258916</c:v>
                </c:pt>
                <c:pt idx="9">
                  <c:v>87.965016624016016</c:v>
                </c:pt>
                <c:pt idx="10">
                  <c:v>87.64596896158038</c:v>
                </c:pt>
                <c:pt idx="11">
                  <c:v>87.291079660859893</c:v>
                </c:pt>
                <c:pt idx="12">
                  <c:v>86.899388512565736</c:v>
                </c:pt>
                <c:pt idx="13">
                  <c:v>86.471129599116821</c:v>
                </c:pt>
                <c:pt idx="14">
                  <c:v>86.006444065550085</c:v>
                </c:pt>
                <c:pt idx="15">
                  <c:v>85.506555998784677</c:v>
                </c:pt>
                <c:pt idx="16">
                  <c:v>84.973004230965813</c:v>
                </c:pt>
                <c:pt idx="17">
                  <c:v>84.407868187462014</c:v>
                </c:pt>
                <c:pt idx="18">
                  <c:v>83.813290939077518</c:v>
                </c:pt>
                <c:pt idx="19">
                  <c:v>83.191933692947998</c:v>
                </c:pt>
                <c:pt idx="20">
                  <c:v>82.546263923323295</c:v>
                </c:pt>
                <c:pt idx="21">
                  <c:v>81.878996340000555</c:v>
                </c:pt>
                <c:pt idx="22">
                  <c:v>81.192487170233846</c:v>
                </c:pt>
                <c:pt idx="23">
                  <c:v>80.489264929471517</c:v>
                </c:pt>
                <c:pt idx="24">
                  <c:v>79.77133119766718</c:v>
                </c:pt>
                <c:pt idx="25">
                  <c:v>79.040776115822396</c:v>
                </c:pt>
                <c:pt idx="26">
                  <c:v>78.299200814487136</c:v>
                </c:pt>
                <c:pt idx="27">
                  <c:v>77.548409455120407</c:v>
                </c:pt>
                <c:pt idx="28">
                  <c:v>76.789749011487373</c:v>
                </c:pt>
                <c:pt idx="29">
                  <c:v>76.024889805101822</c:v>
                </c:pt>
                <c:pt idx="30">
                  <c:v>75.253561018132018</c:v>
                </c:pt>
                <c:pt idx="31">
                  <c:v>74.47771209106665</c:v>
                </c:pt>
                <c:pt idx="32">
                  <c:v>73.697562884173379</c:v>
                </c:pt>
                <c:pt idx="33">
                  <c:v>72.914299189209331</c:v>
                </c:pt>
                <c:pt idx="34">
                  <c:v>72.127845533252554</c:v>
                </c:pt>
                <c:pt idx="35">
                  <c:v>71.339084071559157</c:v>
                </c:pt>
                <c:pt idx="36">
                  <c:v>70.54825876325512</c:v>
                </c:pt>
                <c:pt idx="37">
                  <c:v>69.755239851509572</c:v>
                </c:pt>
                <c:pt idx="38">
                  <c:v>68.961021638689346</c:v>
                </c:pt>
                <c:pt idx="39">
                  <c:v>68.165152393813372</c:v>
                </c:pt>
                <c:pt idx="40">
                  <c:v>67.368074229349745</c:v>
                </c:pt>
                <c:pt idx="41">
                  <c:v>66.569818231467892</c:v>
                </c:pt>
                <c:pt idx="42">
                  <c:v>65.770554858543051</c:v>
                </c:pt>
                <c:pt idx="43">
                  <c:v>64.970071870078783</c:v>
                </c:pt>
                <c:pt idx="44">
                  <c:v>64.168567868218332</c:v>
                </c:pt>
                <c:pt idx="45">
                  <c:v>63.365829800124096</c:v>
                </c:pt>
                <c:pt idx="46">
                  <c:v>62.561929749427932</c:v>
                </c:pt>
                <c:pt idx="47">
                  <c:v>61.75656323799749</c:v>
                </c:pt>
                <c:pt idx="48">
                  <c:v>60.949751962838604</c:v>
                </c:pt>
                <c:pt idx="49">
                  <c:v>60.141062915262886</c:v>
                </c:pt>
                <c:pt idx="50">
                  <c:v>59.330336760668757</c:v>
                </c:pt>
                <c:pt idx="51">
                  <c:v>58.517035147323384</c:v>
                </c:pt>
                <c:pt idx="52">
                  <c:v>57.700993726183597</c:v>
                </c:pt>
                <c:pt idx="53">
                  <c:v>56.881673642868769</c:v>
                </c:pt>
                <c:pt idx="54">
                  <c:v>56.058983034546301</c:v>
                </c:pt>
                <c:pt idx="55">
                  <c:v>55.230812063107926</c:v>
                </c:pt>
                <c:pt idx="56">
                  <c:v>54.397470319050989</c:v>
                </c:pt>
                <c:pt idx="57">
                  <c:v>53.557406910778404</c:v>
                </c:pt>
                <c:pt idx="58">
                  <c:v>52.710077460173572</c:v>
                </c:pt>
                <c:pt idx="59">
                  <c:v>51.85351126763539</c:v>
                </c:pt>
                <c:pt idx="60">
                  <c:v>50.98668519308363</c:v>
                </c:pt>
                <c:pt idx="61">
                  <c:v>50.107774482418854</c:v>
                </c:pt>
                <c:pt idx="62">
                  <c:v>49.21440680252757</c:v>
                </c:pt>
                <c:pt idx="63">
                  <c:v>48.305358520055634</c:v>
                </c:pt>
                <c:pt idx="64">
                  <c:v>47.377665163372249</c:v>
                </c:pt>
                <c:pt idx="65">
                  <c:v>46.429313841750783</c:v>
                </c:pt>
                <c:pt idx="66">
                  <c:v>45.457806209869375</c:v>
                </c:pt>
                <c:pt idx="67">
                  <c:v>44.460880939947145</c:v>
                </c:pt>
                <c:pt idx="68">
                  <c:v>43.435962318310416</c:v>
                </c:pt>
                <c:pt idx="69">
                  <c:v>42.381272612573795</c:v>
                </c:pt>
                <c:pt idx="70">
                  <c:v>41.294908004409891</c:v>
                </c:pt>
                <c:pt idx="71">
                  <c:v>40.175875062421831</c:v>
                </c:pt>
                <c:pt idx="72">
                  <c:v>39.023304507196613</c:v>
                </c:pt>
                <c:pt idx="73">
                  <c:v>37.837520218809054</c:v>
                </c:pt>
                <c:pt idx="74">
                  <c:v>36.618973250881943</c:v>
                </c:pt>
                <c:pt idx="75">
                  <c:v>35.369322682822478</c:v>
                </c:pt>
                <c:pt idx="76">
                  <c:v>34.090437295851885</c:v>
                </c:pt>
                <c:pt idx="77">
                  <c:v>32.785517603920518</c:v>
                </c:pt>
                <c:pt idx="78">
                  <c:v>31.457860179074956</c:v>
                </c:pt>
                <c:pt idx="79">
                  <c:v>30.112095589524071</c:v>
                </c:pt>
                <c:pt idx="80">
                  <c:v>28.750068099329319</c:v>
                </c:pt>
                <c:pt idx="81">
                  <c:v>27.37804458695933</c:v>
                </c:pt>
                <c:pt idx="82">
                  <c:v>25.999638069641534</c:v>
                </c:pt>
                <c:pt idx="83">
                  <c:v>24.620455543450745</c:v>
                </c:pt>
                <c:pt idx="84">
                  <c:v>23.244071616828542</c:v>
                </c:pt>
                <c:pt idx="85">
                  <c:v>21.875840440658649</c:v>
                </c:pt>
                <c:pt idx="86">
                  <c:v>20.519994564179381</c:v>
                </c:pt>
                <c:pt idx="87">
                  <c:v>19.180044282494947</c:v>
                </c:pt>
                <c:pt idx="88">
                  <c:v>17.861188040485516</c:v>
                </c:pt>
                <c:pt idx="89">
                  <c:v>16.565873554085027</c:v>
                </c:pt>
                <c:pt idx="90">
                  <c:v>15.297603309707892</c:v>
                </c:pt>
                <c:pt idx="91">
                  <c:v>14.058661329151935</c:v>
                </c:pt>
                <c:pt idx="92">
                  <c:v>12.850919597711059</c:v>
                </c:pt>
                <c:pt idx="93">
                  <c:v>11.674990326148126</c:v>
                </c:pt>
                <c:pt idx="94">
                  <c:v>11.386168194670869</c:v>
                </c:pt>
                <c:pt idx="95">
                  <c:v>11.241623925934629</c:v>
                </c:pt>
                <c:pt idx="96">
                  <c:v>11.099233983719339</c:v>
                </c:pt>
                <c:pt idx="97">
                  <c:v>10.955715365767798</c:v>
                </c:pt>
                <c:pt idx="98">
                  <c:v>10.814336962221219</c:v>
                </c:pt>
                <c:pt idx="99">
                  <c:v>10.671803348866391</c:v>
                </c:pt>
                <c:pt idx="100">
                  <c:v>10.531396270139485</c:v>
                </c:pt>
                <c:pt idx="101">
                  <c:v>10.389916264037835</c:v>
                </c:pt>
                <c:pt idx="102">
                  <c:v>10.250546299801842</c:v>
                </c:pt>
                <c:pt idx="103">
                  <c:v>10.109976708027478</c:v>
                </c:pt>
                <c:pt idx="104">
                  <c:v>9.9715041210759416</c:v>
                </c:pt>
                <c:pt idx="105">
                  <c:v>9.8319152243630565</c:v>
                </c:pt>
                <c:pt idx="106">
                  <c:v>9.6944074280929335</c:v>
                </c:pt>
                <c:pt idx="107">
                  <c:v>9.555860943887172</c:v>
                </c:pt>
                <c:pt idx="108">
                  <c:v>9.4193770375313832</c:v>
                </c:pt>
                <c:pt idx="109">
                  <c:v>9.2818337023477699</c:v>
                </c:pt>
                <c:pt idx="110">
                  <c:v>9.1463347939795909</c:v>
                </c:pt>
                <c:pt idx="111">
                  <c:v>9.0096685607856308</c:v>
                </c:pt>
                <c:pt idx="112">
                  <c:v>8.8750315390473098</c:v>
                </c:pt>
                <c:pt idx="113">
                  <c:v>8.7393050780879857</c:v>
                </c:pt>
                <c:pt idx="114">
                  <c:v>8.6055899869552288</c:v>
                </c:pt>
                <c:pt idx="115">
                  <c:v>8.4707729245543568</c:v>
                </c:pt>
                <c:pt idx="116">
                  <c:v>8.3379495126147365</c:v>
                </c:pt>
                <c:pt idx="117">
                  <c:v>8.2040138716143129</c:v>
                </c:pt>
                <c:pt idx="118">
                  <c:v>8.0720542203824337</c:v>
                </c:pt>
                <c:pt idx="119">
                  <c:v>7.9390541917847468</c:v>
                </c:pt>
                <c:pt idx="120">
                  <c:v>7.8080101568085505</c:v>
                </c:pt>
                <c:pt idx="121">
                  <c:v>7.6759147304155828</c:v>
                </c:pt>
                <c:pt idx="122">
                  <c:v>7.5457554763193642</c:v>
                </c:pt>
                <c:pt idx="123">
                  <c:v>7.4144602461417852</c:v>
                </c:pt>
                <c:pt idx="124">
                  <c:v>7.2850836835868948</c:v>
                </c:pt>
                <c:pt idx="125">
                  <c:v>7.1546413718659707</c:v>
                </c:pt>
                <c:pt idx="126">
                  <c:v>7.0260979863402406</c:v>
                </c:pt>
                <c:pt idx="127">
                  <c:v>6.8964828954653159</c:v>
                </c:pt>
                <c:pt idx="128">
                  <c:v>6.7687470476469365</c:v>
                </c:pt>
                <c:pt idx="129">
                  <c:v>6.6399349199642197</c:v>
                </c:pt>
                <c:pt idx="130">
                  <c:v>6.5129823838820613</c:v>
                </c:pt>
                <c:pt idx="131">
                  <c:v>6.3849502292454172</c:v>
                </c:pt>
                <c:pt idx="132">
                  <c:v>6.321627374173139</c:v>
                </c:pt>
                <c:pt idx="133">
                  <c:v>6.258758025916066</c:v>
                </c:pt>
                <c:pt idx="134">
                  <c:v>6.1948573619175962</c:v>
                </c:pt>
                <c:pt idx="135">
                  <c:v>6.1314187349124278</c:v>
                </c:pt>
                <c:pt idx="136">
                  <c:v>6.0684356165559583</c:v>
                </c:pt>
                <c:pt idx="137">
                  <c:v>6.0059016045223279</c:v>
                </c:pt>
                <c:pt idx="138">
                  <c:v>5.9424058051527018</c:v>
                </c:pt>
                <c:pt idx="139">
                  <c:v>5.8793665824223265</c:v>
                </c:pt>
                <c:pt idx="140">
                  <c:v>5.8167774777212644</c:v>
                </c:pt>
                <c:pt idx="141">
                  <c:v>5.7546321576143669</c:v>
                </c:pt>
                <c:pt idx="142">
                  <c:v>5.6914663701845827</c:v>
                </c:pt>
                <c:pt idx="143">
                  <c:v>5.628752621158303</c:v>
                </c:pt>
                <c:pt idx="144">
                  <c:v>5.5664845041467377</c:v>
                </c:pt>
                <c:pt idx="145">
                  <c:v>5.5046557375131844</c:v>
                </c:pt>
                <c:pt idx="146">
                  <c:v>5.4418430718191679</c:v>
                </c:pt>
                <c:pt idx="147">
                  <c:v>5.3794774292968963</c:v>
                </c:pt>
                <c:pt idx="148">
                  <c:v>5.3175524678128507</c:v>
                </c:pt>
                <c:pt idx="149">
                  <c:v>5.2560619692215846</c:v>
                </c:pt>
                <c:pt idx="150">
                  <c:v>5.1935930139365549</c:v>
                </c:pt>
                <c:pt idx="151">
                  <c:v>5.1315660606564109</c:v>
                </c:pt>
                <c:pt idx="152">
                  <c:v>5.0699748335579606</c:v>
                </c:pt>
                <c:pt idx="153">
                  <c:v>5.0088131799563591</c:v>
                </c:pt>
                <c:pt idx="154">
                  <c:v>4.9466503166391602</c:v>
                </c:pt>
                <c:pt idx="155">
                  <c:v>4.8849248286867128</c:v>
                </c:pt>
                <c:pt idx="156">
                  <c:v>4.8236305000925821</c:v>
                </c:pt>
                <c:pt idx="157">
                  <c:v>4.7627612372761643</c:v>
                </c:pt>
                <c:pt idx="158">
                  <c:v>4.7008979452106994</c:v>
                </c:pt>
                <c:pt idx="159">
                  <c:v>4.6394673607139651</c:v>
                </c:pt>
                <c:pt idx="160">
                  <c:v>4.578463330296608</c:v>
                </c:pt>
                <c:pt idx="161">
                  <c:v>4.517879822080034</c:v>
                </c:pt>
                <c:pt idx="162">
                  <c:v>4.4563365850741548</c:v>
                </c:pt>
                <c:pt idx="163">
                  <c:v>4.3952209780870728</c:v>
                </c:pt>
                <c:pt idx="164">
                  <c:v>4.3345269206501742</c:v>
                </c:pt>
                <c:pt idx="165">
                  <c:v>4.2742484527813103</c:v>
                </c:pt>
                <c:pt idx="166">
                  <c:v>4.2129642256055604</c:v>
                </c:pt>
                <c:pt idx="167">
                  <c:v>4.1521032759836327</c:v>
                </c:pt>
                <c:pt idx="168">
                  <c:v>4.0916595828003448</c:v>
                </c:pt>
                <c:pt idx="169">
                  <c:v>4.0316272446297345</c:v>
                </c:pt>
                <c:pt idx="170">
                  <c:v>3.9707253353049015</c:v>
                </c:pt>
                <c:pt idx="171">
                  <c:v>3.910240547367156</c:v>
                </c:pt>
                <c:pt idx="172">
                  <c:v>3.8501669590708376</c:v>
                </c:pt>
                <c:pt idx="173">
                  <c:v>3.7904987664711061</c:v>
                </c:pt>
                <c:pt idx="174">
                  <c:v>3.7297412334298512</c:v>
                </c:pt>
                <c:pt idx="175">
                  <c:v>3.6693978067415332</c:v>
                </c:pt>
                <c:pt idx="176">
                  <c:v>3.6094625989613345</c:v>
                </c:pt>
                <c:pt idx="177">
                  <c:v>3.5499298402462176</c:v>
                </c:pt>
                <c:pt idx="178">
                  <c:v>3.4893446635665808</c:v>
                </c:pt>
                <c:pt idx="179">
                  <c:v>3.4291700746260254</c:v>
                </c:pt>
                <c:pt idx="180">
                  <c:v>3.3694002324964263</c:v>
                </c:pt>
                <c:pt idx="181">
                  <c:v>3.3100294133015824</c:v>
                </c:pt>
                <c:pt idx="182">
                  <c:v>3.2498764340192254</c:v>
                </c:pt>
                <c:pt idx="183">
                  <c:v>3.1901269282674849</c:v>
                </c:pt>
                <c:pt idx="184">
                  <c:v>3.1307751794932441</c:v>
                </c:pt>
                <c:pt idx="185">
                  <c:v>3.0718155855411693</c:v>
                </c:pt>
                <c:pt idx="186">
                  <c:v>3.0116401727305799</c:v>
                </c:pt>
                <c:pt idx="187">
                  <c:v>2.951867108809334</c:v>
                </c:pt>
                <c:pt idx="188">
                  <c:v>2.8924906760191971</c:v>
                </c:pt>
                <c:pt idx="189">
                  <c:v>2.833505271661517</c:v>
                </c:pt>
                <c:pt idx="190">
                  <c:v>2.7737908007303691</c:v>
                </c:pt>
                <c:pt idx="191">
                  <c:v>2.7144710294718566</c:v>
                </c:pt>
                <c:pt idx="192">
                  <c:v>2.6555403786060525</c:v>
                </c:pt>
                <c:pt idx="193">
                  <c:v>2.5969933808172989</c:v>
                </c:pt>
                <c:pt idx="194">
                  <c:v>2.537304696728631</c:v>
                </c:pt>
                <c:pt idx="195">
                  <c:v>2.478008729406906</c:v>
                </c:pt>
                <c:pt idx="196">
                  <c:v>2.4190999194755007</c:v>
                </c:pt>
                <c:pt idx="197">
                  <c:v>2.3605728195648652</c:v>
                </c:pt>
                <c:pt idx="198">
                  <c:v>2.3011528893042206</c:v>
                </c:pt>
                <c:pt idx="199">
                  <c:v>2.242120413280821</c:v>
                </c:pt>
                <c:pt idx="200">
                  <c:v>2.1834699226351342</c:v>
                </c:pt>
                <c:pt idx="201">
                  <c:v>2.1251960586432181</c:v>
                </c:pt>
                <c:pt idx="202">
                  <c:v>2.0660568284399226</c:v>
                </c:pt>
                <c:pt idx="203">
                  <c:v>2.0072995768676809</c:v>
                </c:pt>
                <c:pt idx="204">
                  <c:v>1.948918931224441</c:v>
                </c:pt>
                <c:pt idx="205">
                  <c:v>1.8909096268945647</c:v>
                </c:pt>
                <c:pt idx="206">
                  <c:v>1.8318602068805836</c:v>
                </c:pt>
                <c:pt idx="207">
                  <c:v>1.7731896779286238</c:v>
                </c:pt>
                <c:pt idx="208">
                  <c:v>1.7148927144311905</c:v>
                </c:pt>
                <c:pt idx="209">
                  <c:v>1.6569640981058784</c:v>
                </c:pt>
                <c:pt idx="210">
                  <c:v>1.597832010664427</c:v>
                </c:pt>
                <c:pt idx="211">
                  <c:v>1.5390778311007638</c:v>
                </c:pt>
                <c:pt idx="212">
                  <c:v>1.4806962378248547</c:v>
                </c:pt>
                <c:pt idx="213">
                  <c:v>1.4226820169466559</c:v>
                </c:pt>
                <c:pt idx="214">
                  <c:v>1.3638844991843442</c:v>
                </c:pt>
                <c:pt idx="215">
                  <c:v>1.3054585204762841</c:v>
                </c:pt>
                <c:pt idx="216">
                  <c:v>1.2473988775127767</c:v>
                </c:pt>
                <c:pt idx="217">
                  <c:v>1.1897004719700413</c:v>
                </c:pt>
                <c:pt idx="218">
                  <c:v>1.1310549470606275</c:v>
                </c:pt>
                <c:pt idx="219">
                  <c:v>1.0727768568819509</c:v>
                </c:pt>
                <c:pt idx="220">
                  <c:v>1.0148610698798395</c:v>
                </c:pt>
                <c:pt idx="221">
                  <c:v>0.95730255800024522</c:v>
                </c:pt>
                <c:pt idx="222">
                  <c:v>0.89882507510368181</c:v>
                </c:pt>
                <c:pt idx="223">
                  <c:v>0.84071066736383215</c:v>
                </c:pt>
                <c:pt idx="224">
                  <c:v>0.7829542812856255</c:v>
                </c:pt>
                <c:pt idx="225">
                  <c:v>0.72555096520054818</c:v>
                </c:pt>
                <c:pt idx="226">
                  <c:v>0.66707833883049461</c:v>
                </c:pt>
                <c:pt idx="227">
                  <c:v>0.60896638430315186</c:v>
                </c:pt>
                <c:pt idx="228">
                  <c:v>0.55121008647581526</c:v>
                </c:pt>
                <c:pt idx="229">
                  <c:v>0.49380453140558506</c:v>
                </c:pt>
                <c:pt idx="230">
                  <c:v>0.37727676101943741</c:v>
                </c:pt>
                <c:pt idx="231">
                  <c:v>0.31954473525047533</c:v>
                </c:pt>
                <c:pt idx="232">
                  <c:v>0.2621607590416366</c:v>
                </c:pt>
                <c:pt idx="233">
                  <c:v>0.20377011360108177</c:v>
                </c:pt>
                <c:pt idx="234">
                  <c:v>0.1457342257754948</c:v>
                </c:pt>
                <c:pt idx="235">
                  <c:v>8.8048183206303005E-2</c:v>
                </c:pt>
                <c:pt idx="236">
                  <c:v>3.0707172737955948E-2</c:v>
                </c:pt>
                <c:pt idx="237">
                  <c:v>-2.7446567836060073E-2</c:v>
                </c:pt>
                <c:pt idx="238">
                  <c:v>-8.5250950966388905E-2</c:v>
                </c:pt>
                <c:pt idx="239">
                  <c:v>-0.14271078576485272</c:v>
                </c:pt>
                <c:pt idx="240">
                  <c:v>-0.19983078454864664</c:v>
                </c:pt>
                <c:pt idx="241">
                  <c:v>-0.25806309416928469</c:v>
                </c:pt>
                <c:pt idx="242">
                  <c:v>-0.31594770543561657</c:v>
                </c:pt>
                <c:pt idx="243">
                  <c:v>-0.3734894003908707</c:v>
                </c:pt>
                <c:pt idx="244">
                  <c:v>-0.43069286466345136</c:v>
                </c:pt>
                <c:pt idx="245">
                  <c:v>-0.48881921886441704</c:v>
                </c:pt>
                <c:pt idx="246">
                  <c:v>-0.54660178756282674</c:v>
                </c:pt>
                <c:pt idx="247">
                  <c:v>-0.60404527847581868</c:v>
                </c:pt>
                <c:pt idx="248">
                  <c:v>-0.66115430456079327</c:v>
                </c:pt>
                <c:pt idx="249">
                  <c:v>-0.71931415780192176</c:v>
                </c:pt>
                <c:pt idx="250">
                  <c:v>-0.77713253707607843</c:v>
                </c:pt>
                <c:pt idx="251">
                  <c:v>-0.83461410764931576</c:v>
                </c:pt>
                <c:pt idx="252">
                  <c:v>-0.8917634408389673</c:v>
                </c:pt>
                <c:pt idx="253">
                  <c:v>-0.94978407985317603</c:v>
                </c:pt>
                <c:pt idx="254">
                  <c:v>-1.0074676151646149</c:v>
                </c:pt>
                <c:pt idx="255">
                  <c:v>-1.0648186267015527</c:v>
                </c:pt>
                <c:pt idx="256">
                  <c:v>-1.1218416024090323</c:v>
                </c:pt>
                <c:pt idx="257">
                  <c:v>-1.1800055734664536</c:v>
                </c:pt>
                <c:pt idx="258">
                  <c:v>-1.2378335742701547</c:v>
                </c:pt>
                <c:pt idx="259">
                  <c:v>-1.2953301642665211</c:v>
                </c:pt>
                <c:pt idx="260">
                  <c:v>-1.3524998111580175</c:v>
                </c:pt>
                <c:pt idx="261">
                  <c:v>-1.4106351573873206</c:v>
                </c:pt>
                <c:pt idx="262">
                  <c:v>-1.4684376993494386</c:v>
                </c:pt>
                <c:pt idx="263">
                  <c:v>-1.5259119337714337</c:v>
                </c:pt>
                <c:pt idx="264">
                  <c:v>-1.5830622670097758</c:v>
                </c:pt>
                <c:pt idx="265">
                  <c:v>-1.641152325680044</c:v>
                </c:pt>
                <c:pt idx="266">
                  <c:v>-1.6989129596835406</c:v>
                </c:pt>
                <c:pt idx="267">
                  <c:v>-1.7563485978366029</c:v>
                </c:pt>
                <c:pt idx="268">
                  <c:v>-1.8134635801014607</c:v>
                </c:pt>
                <c:pt idx="269">
                  <c:v>-1.8716302276223828</c:v>
                </c:pt>
                <c:pt idx="270">
                  <c:v>-1.9294694799932794</c:v>
                </c:pt>
                <c:pt idx="271">
                  <c:v>-1.9869857242869253</c:v>
                </c:pt>
                <c:pt idx="272">
                  <c:v>-2.0441832595444915</c:v>
                </c:pt>
                <c:pt idx="273">
                  <c:v>-2.1024041178076303</c:v>
                </c:pt>
                <c:pt idx="274">
                  <c:v>-2.1602998981507975</c:v>
                </c:pt>
                <c:pt idx="275">
                  <c:v>-2.2178749390630288</c:v>
                </c:pt>
                <c:pt idx="276">
                  <c:v>-2.2751334920100335</c:v>
                </c:pt>
                <c:pt idx="277">
                  <c:v>-2.3332573600631519</c:v>
                </c:pt>
                <c:pt idx="278">
                  <c:v>-2.391060161381978</c:v>
                </c:pt>
                <c:pt idx="279">
                  <c:v>-2.4485461511934301</c:v>
                </c:pt>
                <c:pt idx="280">
                  <c:v>-2.5057194996353687</c:v>
                </c:pt>
                <c:pt idx="281">
                  <c:v>-2.5641203951198692</c:v>
                </c:pt>
                <c:pt idx="282">
                  <c:v>-2.6222001331975573</c:v>
                </c:pt>
                <c:pt idx="283">
                  <c:v>-2.67996296608493</c:v>
                </c:pt>
                <c:pt idx="284">
                  <c:v>-2.7374130607103551</c:v>
                </c:pt>
                <c:pt idx="285">
                  <c:v>-2.7956816854631428</c:v>
                </c:pt>
                <c:pt idx="286">
                  <c:v>-2.8536335685552672</c:v>
                </c:pt>
                <c:pt idx="287">
                  <c:v>-2.9112728690112371</c:v>
                </c:pt>
                <c:pt idx="288">
                  <c:v>-2.9686036627700818</c:v>
                </c:pt>
                <c:pt idx="289">
                  <c:v>-3.0271007582193361</c:v>
                </c:pt>
                <c:pt idx="290">
                  <c:v>-3.0852816141034607</c:v>
                </c:pt>
                <c:pt idx="291">
                  <c:v>-3.143150372110167</c:v>
                </c:pt>
                <c:pt idx="292">
                  <c:v>-3.2007110910296488</c:v>
                </c:pt>
                <c:pt idx="293">
                  <c:v>-3.2592873436819527</c:v>
                </c:pt>
                <c:pt idx="294">
                  <c:v>-3.3175494943279653</c:v>
                </c:pt>
                <c:pt idx="295">
                  <c:v>-3.3755016339761115</c:v>
                </c:pt>
                <c:pt idx="296">
                  <c:v>-3.4331477718134735</c:v>
                </c:pt>
                <c:pt idx="297">
                  <c:v>-3.4917836247253082</c:v>
                </c:pt>
                <c:pt idx="298">
                  <c:v>-3.5501077227082085</c:v>
                </c:pt>
                <c:pt idx="299">
                  <c:v>-3.6081241008382308</c:v>
                </c:pt>
                <c:pt idx="300">
                  <c:v>-3.6658367135884036</c:v>
                </c:pt>
                <c:pt idx="301">
                  <c:v>-3.724514233278557</c:v>
                </c:pt>
                <c:pt idx="302">
                  <c:v>-3.7828825246847293</c:v>
                </c:pt>
                <c:pt idx="303">
                  <c:v>-3.8409455623484954</c:v>
                </c:pt>
                <c:pt idx="304">
                  <c:v>-3.8987072415515431</c:v>
                </c:pt>
                <c:pt idx="305">
                  <c:v>-3.9576351668356025</c:v>
                </c:pt>
                <c:pt idx="306">
                  <c:v>-4.0162541946976607</c:v>
                </c:pt>
                <c:pt idx="307">
                  <c:v>-4.0745682799906762</c:v>
                </c:pt>
                <c:pt idx="308">
                  <c:v>-4.1325812985711892</c:v>
                </c:pt>
                <c:pt idx="309">
                  <c:v>-4.1915101106084958</c:v>
                </c:pt>
                <c:pt idx="310">
                  <c:v>-4.2501329574855911</c:v>
                </c:pt>
                <c:pt idx="311">
                  <c:v>-4.308453723260838</c:v>
                </c:pt>
                <c:pt idx="312">
                  <c:v>-4.3664762146193201</c:v>
                </c:pt>
                <c:pt idx="313">
                  <c:v>-4.4256085129765284</c:v>
                </c:pt>
                <c:pt idx="314">
                  <c:v>-4.4844356558247576</c:v>
                </c:pt>
                <c:pt idx="315">
                  <c:v>-4.542961495462043</c:v>
                </c:pt>
                <c:pt idx="316">
                  <c:v>-4.6011898074076027</c:v>
                </c:pt>
                <c:pt idx="317">
                  <c:v>-4.6605001336167815</c:v>
                </c:pt>
                <c:pt idx="318">
                  <c:v>-4.7195063664500347</c:v>
                </c:pt>
                <c:pt idx="319">
                  <c:v>-4.7782123201289597</c:v>
                </c:pt>
                <c:pt idx="320">
                  <c:v>-4.8366217328648879</c:v>
                </c:pt>
                <c:pt idx="321">
                  <c:v>-4.896086360375703</c:v>
                </c:pt>
                <c:pt idx="322">
                  <c:v>-4.9552481778019448</c:v>
                </c:pt>
                <c:pt idx="323">
                  <c:v>-5.0141109556498602</c:v>
                </c:pt>
                <c:pt idx="324">
                  <c:v>-5.0726783893416902</c:v>
                </c:pt>
                <c:pt idx="325">
                  <c:v>-5.1322751867338443</c:v>
                </c:pt>
                <c:pt idx="326">
                  <c:v>-5.1915706489632729</c:v>
                </c:pt>
                <c:pt idx="327">
                  <c:v>-5.2505684978384783</c:v>
                </c:pt>
                <c:pt idx="328">
                  <c:v>-5.3092723811520575</c:v>
                </c:pt>
                <c:pt idx="329">
                  <c:v>-5.3690802755436255</c:v>
                </c:pt>
                <c:pt idx="330">
                  <c:v>-5.428587476692682</c:v>
                </c:pt>
                <c:pt idx="331">
                  <c:v>-5.4877976716107382</c:v>
                </c:pt>
                <c:pt idx="332">
                  <c:v>-5.5467144740060608</c:v>
                </c:pt>
                <c:pt idx="333">
                  <c:v>-5.6066106099381159</c:v>
                </c:pt>
                <c:pt idx="334">
                  <c:v>-5.6662078806498855</c:v>
                </c:pt>
                <c:pt idx="335">
                  <c:v>-5.7255099152192948</c:v>
                </c:pt>
                <c:pt idx="336">
                  <c:v>-5.7845202707583763</c:v>
                </c:pt>
                <c:pt idx="337">
                  <c:v>-5.8446781137495201</c:v>
                </c:pt>
                <c:pt idx="338">
                  <c:v>-5.9045371395892534</c:v>
                </c:pt>
                <c:pt idx="339">
                  <c:v>-5.9641009503238829</c:v>
                </c:pt>
                <c:pt idx="340">
                  <c:v>-6.0233730765724802</c:v>
                </c:pt>
                <c:pt idx="341">
                  <c:v>-6.0837645755603607</c:v>
                </c:pt>
                <c:pt idx="342">
                  <c:v>-6.1438575370231954</c:v>
                </c:pt>
                <c:pt idx="343">
                  <c:v>-6.2036555301396836</c:v>
                </c:pt>
                <c:pt idx="344">
                  <c:v>-6.2631620533727128</c:v>
                </c:pt>
                <c:pt idx="345">
                  <c:v>-6.3236687213318312</c:v>
                </c:pt>
                <c:pt idx="346">
                  <c:v>-6.3838782357222401</c:v>
                </c:pt>
                <c:pt idx="347">
                  <c:v>-6.4437941117538777</c:v>
                </c:pt>
                <c:pt idx="348">
                  <c:v>-6.5034197952085684</c:v>
                </c:pt>
                <c:pt idx="349">
                  <c:v>-6.5642023987244302</c:v>
                </c:pt>
                <c:pt idx="350">
                  <c:v>-6.624687585663585</c:v>
                </c:pt>
                <c:pt idx="351">
                  <c:v>-6.684878845056442</c:v>
                </c:pt>
                <c:pt idx="352">
                  <c:v>-6.7447795970870148</c:v>
                </c:pt>
                <c:pt idx="353">
                  <c:v>-6.8058090935127469</c:v>
                </c:pt>
                <c:pt idx="354">
                  <c:v>-6.8665411260533382</c:v>
                </c:pt>
                <c:pt idx="355">
                  <c:v>-6.9269791522261661</c:v>
                </c:pt>
                <c:pt idx="356">
                  <c:v>-6.9871265614512517</c:v>
                </c:pt>
                <c:pt idx="357">
                  <c:v>-7.0482885909975295</c:v>
                </c:pt>
                <c:pt idx="358">
                  <c:v>-7.1091541380557279</c:v>
                </c:pt>
                <c:pt idx="359">
                  <c:v>-7.1697266095530399</c:v>
                </c:pt>
                <c:pt idx="360">
                  <c:v>-7.230009345596482</c:v>
                </c:pt>
                <c:pt idx="361">
                  <c:v>-7.2914529353490432</c:v>
                </c:pt>
                <c:pt idx="362">
                  <c:v>-7.3525994919350479</c:v>
                </c:pt>
                <c:pt idx="363">
                  <c:v>-7.4134523968848409</c:v>
                </c:pt>
                <c:pt idx="364">
                  <c:v>-7.4740149655609223</c:v>
                </c:pt>
                <c:pt idx="365">
                  <c:v>-7.5356266678632888</c:v>
                </c:pt>
                <c:pt idx="366">
                  <c:v>-7.5969417881439245</c:v>
                </c:pt>
                <c:pt idx="367">
                  <c:v>-7.6579636643545603</c:v>
                </c:pt>
                <c:pt idx="368">
                  <c:v>-7.7186955694393067</c:v>
                </c:pt>
                <c:pt idx="369">
                  <c:v>-7.7806154253766682</c:v>
                </c:pt>
                <c:pt idx="370">
                  <c:v>-7.8422377054688859</c:v>
                </c:pt>
                <c:pt idx="371">
                  <c:v>-7.903565727385554</c:v>
                </c:pt>
                <c:pt idx="372">
                  <c:v>-7.9646027443840737</c:v>
                </c:pt>
                <c:pt idx="373">
                  <c:v>-8.0267183306610654</c:v>
                </c:pt>
                <c:pt idx="374">
                  <c:v>-8.0885363228136562</c:v>
                </c:pt>
                <c:pt idx="375">
                  <c:v>-8.1500600009889652</c:v>
                </c:pt>
                <c:pt idx="376">
                  <c:v>-8.2112925820035674</c:v>
                </c:pt>
                <c:pt idx="377">
                  <c:v>-8.273735490400167</c:v>
                </c:pt>
                <c:pt idx="378">
                  <c:v>-8.3358794187529597</c:v>
                </c:pt>
                <c:pt idx="379">
                  <c:v>-8.3977276313987481</c:v>
                </c:pt>
                <c:pt idx="380">
                  <c:v>-8.4592833299127221</c:v>
                </c:pt>
                <c:pt idx="381">
                  <c:v>-8.5218648864337645</c:v>
                </c:pt>
                <c:pt idx="382">
                  <c:v>-8.5841477644833137</c:v>
                </c:pt>
                <c:pt idx="383">
                  <c:v>-8.6461351844499035</c:v>
                </c:pt>
                <c:pt idx="384">
                  <c:v>-8.7078303052933048</c:v>
                </c:pt>
                <c:pt idx="385">
                  <c:v>-8.7707544118739289</c:v>
                </c:pt>
                <c:pt idx="386">
                  <c:v>-8.833378077889682</c:v>
                </c:pt>
                <c:pt idx="387">
                  <c:v>-8.8957045126725323</c:v>
                </c:pt>
                <c:pt idx="388">
                  <c:v>-8.957736864672027</c:v>
                </c:pt>
                <c:pt idx="389">
                  <c:v>-9.0208933111059917</c:v>
                </c:pt>
                <c:pt idx="390">
                  <c:v>-9.083748483699976</c:v>
                </c:pt>
                <c:pt idx="391">
                  <c:v>-9.1463055654533871</c:v>
                </c:pt>
                <c:pt idx="392">
                  <c:v>-9.2085676794667908</c:v>
                </c:pt>
                <c:pt idx="393">
                  <c:v>-9.2719263283935032</c:v>
                </c:pt>
                <c:pt idx="394">
                  <c:v>-9.3349830300071179</c:v>
                </c:pt>
                <c:pt idx="395">
                  <c:v>-9.397740938482892</c:v>
                </c:pt>
                <c:pt idx="396">
                  <c:v>-9.4602031491922567</c:v>
                </c:pt>
                <c:pt idx="397">
                  <c:v>-9.5238784052076753</c:v>
                </c:pt>
                <c:pt idx="398">
                  <c:v>-9.5872498229773591</c:v>
                </c:pt>
                <c:pt idx="399">
                  <c:v>-9.6503205469774151</c:v>
                </c:pt>
                <c:pt idx="400">
                  <c:v>-9.7130936635540941</c:v>
                </c:pt>
                <c:pt idx="401">
                  <c:v>-9.7769791766209106</c:v>
                </c:pt>
                <c:pt idx="402">
                  <c:v>-9.8405598425109471</c:v>
                </c:pt>
                <c:pt idx="403">
                  <c:v>-9.903838782621607</c:v>
                </c:pt>
                <c:pt idx="404">
                  <c:v>-9.9668190612766665</c:v>
                </c:pt>
                <c:pt idx="405">
                  <c:v>-10.030953160016971</c:v>
                </c:pt>
                <c:pt idx="406">
                  <c:v>-10.094780905510511</c:v>
                </c:pt>
                <c:pt idx="407">
                  <c:v>-10.158305404317478</c:v>
                </c:pt>
                <c:pt idx="408">
                  <c:v>-10.221529706831138</c:v>
                </c:pt>
                <c:pt idx="409">
                  <c:v>-10.285946638214796</c:v>
                </c:pt>
                <c:pt idx="410">
                  <c:v>-10.350055251119286</c:v>
                </c:pt>
                <c:pt idx="411">
                  <c:v>-10.413858644959564</c:v>
                </c:pt>
                <c:pt idx="412">
                  <c:v>-10.477359863758744</c:v>
                </c:pt>
                <c:pt idx="413">
                  <c:v>-10.542023541250973</c:v>
                </c:pt>
                <c:pt idx="414">
                  <c:v>-10.606377147244448</c:v>
                </c:pt>
                <c:pt idx="415">
                  <c:v>-10.670423771770544</c:v>
                </c:pt>
                <c:pt idx="416">
                  <c:v>-10.734166450349083</c:v>
                </c:pt>
                <c:pt idx="417">
                  <c:v>-10.799107279496054</c:v>
                </c:pt>
                <c:pt idx="418">
                  <c:v>-10.863735861647413</c:v>
                </c:pt>
                <c:pt idx="419">
                  <c:v>-10.928055284952498</c:v>
                </c:pt>
                <c:pt idx="420">
                  <c:v>-10.992068583803478</c:v>
                </c:pt>
                <c:pt idx="421">
                  <c:v>-11.057185417699994</c:v>
                </c:pt>
                <c:pt idx="422">
                  <c:v>-11.121988671192579</c:v>
                </c:pt>
                <c:pt idx="423">
                  <c:v>-11.18648141960853</c:v>
                </c:pt>
                <c:pt idx="424">
                  <c:v>-11.250666685569371</c:v>
                </c:pt>
                <c:pt idx="425">
                  <c:v>-11.316115495668077</c:v>
                </c:pt>
                <c:pt idx="426">
                  <c:v>-11.381247765925039</c:v>
                </c:pt>
                <c:pt idx="427">
                  <c:v>-11.446066584413131</c:v>
                </c:pt>
                <c:pt idx="428">
                  <c:v>-11.510574987011676</c:v>
                </c:pt>
                <c:pt idx="429">
                  <c:v>-11.576252494321411</c:v>
                </c:pt>
                <c:pt idx="430">
                  <c:v>-11.641611374425578</c:v>
                </c:pt>
                <c:pt idx="431">
                  <c:v>-11.706654717260056</c:v>
                </c:pt>
                <c:pt idx="432">
                  <c:v>-11.771385561366785</c:v>
                </c:pt>
                <c:pt idx="433">
                  <c:v>-11.837255100502414</c:v>
                </c:pt>
                <c:pt idx="434">
                  <c:v>-11.902804164694512</c:v>
                </c:pt>
                <c:pt idx="435">
                  <c:v>-11.96803584447421</c:v>
                </c:pt>
                <c:pt idx="436">
                  <c:v>-12.032953179837229</c:v>
                </c:pt>
                <c:pt idx="437">
                  <c:v>-12.099097855604589</c:v>
                </c:pt>
                <c:pt idx="438">
                  <c:v>-12.164919290911092</c:v>
                </c:pt>
                <c:pt idx="439">
                  <c:v>-12.230420592507187</c:v>
                </c:pt>
                <c:pt idx="440">
                  <c:v>-12.295604817155297</c:v>
                </c:pt>
                <c:pt idx="441">
                  <c:v>-12.36198391696645</c:v>
                </c:pt>
                <c:pt idx="442">
                  <c:v>-12.428037301774301</c:v>
                </c:pt>
                <c:pt idx="443">
                  <c:v>-12.493768092902933</c:v>
                </c:pt>
                <c:pt idx="444">
                  <c:v>-12.559179362296678</c:v>
                </c:pt>
                <c:pt idx="445">
                  <c:v>-12.625753785507673</c:v>
                </c:pt>
                <c:pt idx="446">
                  <c:v>-12.692000306736643</c:v>
                </c:pt>
                <c:pt idx="447">
                  <c:v>-12.757922060531239</c:v>
                </c:pt>
                <c:pt idx="448">
                  <c:v>-12.823522132711405</c:v>
                </c:pt>
                <c:pt idx="449">
                  <c:v>-12.890365978923677</c:v>
                </c:pt>
                <c:pt idx="450">
                  <c:v>-12.956878919715226</c:v>
                </c:pt>
                <c:pt idx="451">
                  <c:v>-13.023064117477485</c:v>
                </c:pt>
                <c:pt idx="452">
                  <c:v>-13.088924686235037</c:v>
                </c:pt>
                <c:pt idx="453">
                  <c:v>-13.155940799319463</c:v>
                </c:pt>
                <c:pt idx="454">
                  <c:v>-13.222623884842976</c:v>
                </c:pt>
                <c:pt idx="455">
                  <c:v>-13.288977123535243</c:v>
                </c:pt>
                <c:pt idx="456">
                  <c:v>-13.355003648316487</c:v>
                </c:pt>
                <c:pt idx="457">
                  <c:v>-13.422261873308752</c:v>
                </c:pt>
                <c:pt idx="458">
                  <c:v>-13.489184189726199</c:v>
                </c:pt>
                <c:pt idx="459">
                  <c:v>-13.555773810732381</c:v>
                </c:pt>
                <c:pt idx="460">
                  <c:v>-13.622033901951978</c:v>
                </c:pt>
                <c:pt idx="461">
                  <c:v>-13.689492174898595</c:v>
                </c:pt>
                <c:pt idx="462">
                  <c:v>-13.756612020554881</c:v>
                </c:pt>
                <c:pt idx="463">
                  <c:v>-13.823396682702704</c:v>
                </c:pt>
                <c:pt idx="464">
                  <c:v>-13.889849357880868</c:v>
                </c:pt>
                <c:pt idx="465">
                  <c:v>-13.957519055317144</c:v>
                </c:pt>
                <c:pt idx="466">
                  <c:v>-14.024847649520449</c:v>
                </c:pt>
                <c:pt idx="467">
                  <c:v>-14.091838420621306</c:v>
                </c:pt>
                <c:pt idx="468">
                  <c:v>-14.158494601672922</c:v>
                </c:pt>
                <c:pt idx="469">
                  <c:v>-14.226334411111171</c:v>
                </c:pt>
                <c:pt idx="470">
                  <c:v>-14.29383082731942</c:v>
                </c:pt>
                <c:pt idx="471">
                  <c:v>-14.360987164770233</c:v>
                </c:pt>
                <c:pt idx="472">
                  <c:v>-14.427806691035507</c:v>
                </c:pt>
                <c:pt idx="473">
                  <c:v>-14.495876299740726</c:v>
                </c:pt>
                <c:pt idx="474">
                  <c:v>-14.563599605432385</c:v>
                </c:pt>
                <c:pt idx="475">
                  <c:v>-14.630979969507116</c:v>
                </c:pt>
                <c:pt idx="476">
                  <c:v>-14.69802070636705</c:v>
                </c:pt>
                <c:pt idx="477">
                  <c:v>-14.766276883713678</c:v>
                </c:pt>
                <c:pt idx="478">
                  <c:v>-14.834184282797626</c:v>
                </c:pt>
                <c:pt idx="479">
                  <c:v>-14.901746309322807</c:v>
                </c:pt>
                <c:pt idx="480">
                  <c:v>-14.968966321913779</c:v>
                </c:pt>
                <c:pt idx="481">
                  <c:v>-15.03736807146738</c:v>
                </c:pt>
                <c:pt idx="482">
                  <c:v>-15.10541899971078</c:v>
                </c:pt>
                <c:pt idx="483">
                  <c:v>-15.1731225539835</c:v>
                </c:pt>
                <c:pt idx="484">
                  <c:v>-15.240482134460754</c:v>
                </c:pt>
                <c:pt idx="485">
                  <c:v>-15.309037247050753</c:v>
                </c:pt>
                <c:pt idx="486">
                  <c:v>-15.37723944628234</c:v>
                </c:pt>
                <c:pt idx="487">
                  <c:v>-15.445092225451273</c:v>
                </c:pt>
                <c:pt idx="488">
                  <c:v>-15.512599030469399</c:v>
                </c:pt>
                <c:pt idx="489">
                  <c:v>-15.581359347204394</c:v>
                </c:pt>
                <c:pt idx="490">
                  <c:v>-15.649764169486978</c:v>
                </c:pt>
                <c:pt idx="491">
                  <c:v>-15.717817047464591</c:v>
                </c:pt>
                <c:pt idx="492">
                  <c:v>-15.785521483424386</c:v>
                </c:pt>
                <c:pt idx="493">
                  <c:v>-15.854444393063041</c:v>
                </c:pt>
                <c:pt idx="494">
                  <c:v>-15.923009725038362</c:v>
                </c:pt>
                <c:pt idx="495">
                  <c:v>-15.991221082542914</c:v>
                </c:pt>
                <c:pt idx="496">
                  <c:v>-16.059082020435838</c:v>
                </c:pt>
                <c:pt idx="497">
                  <c:v>-16.128171197333714</c:v>
                </c:pt>
                <c:pt idx="498">
                  <c:v>-16.19690075138552</c:v>
                </c:pt>
                <c:pt idx="499">
                  <c:v>-16.26527434177143</c:v>
                </c:pt>
                <c:pt idx="500">
                  <c:v>-16.333295578741915</c:v>
                </c:pt>
                <c:pt idx="501">
                  <c:v>-16.402553625406149</c:v>
                </c:pt>
                <c:pt idx="502">
                  <c:v>-16.471450068848561</c:v>
                </c:pt>
                <c:pt idx="503">
                  <c:v>-16.539988626698143</c:v>
                </c:pt>
                <c:pt idx="504">
                  <c:v>-16.608172966939264</c:v>
                </c:pt>
                <c:pt idx="505">
                  <c:v>-16.677559599201498</c:v>
                </c:pt>
                <c:pt idx="506">
                  <c:v>-16.74658317632737</c:v>
                </c:pt>
                <c:pt idx="507">
                  <c:v>-16.815247469545859</c:v>
                </c:pt>
                <c:pt idx="508">
                  <c:v>-16.883556199734066</c:v>
                </c:pt>
                <c:pt idx="509">
                  <c:v>-16.953074934960075</c:v>
                </c:pt>
                <c:pt idx="510">
                  <c:v>-17.022229252048241</c:v>
                </c:pt>
                <c:pt idx="511">
                  <c:v>-17.09102297752445</c:v>
                </c:pt>
                <c:pt idx="512">
                  <c:v>-17.159459886743992</c:v>
                </c:pt>
                <c:pt idx="513">
                  <c:v>-17.229153766707679</c:v>
                </c:pt>
                <c:pt idx="514">
                  <c:v>-17.298481555620629</c:v>
                </c:pt>
                <c:pt idx="515">
                  <c:v>-17.367447143199733</c:v>
                </c:pt>
                <c:pt idx="516">
                  <c:v>-17.436054366948383</c:v>
                </c:pt>
                <c:pt idx="517">
                  <c:v>-17.505883678853877</c:v>
                </c:pt>
                <c:pt idx="518">
                  <c:v>-17.575345798496755</c:v>
                </c:pt>
                <c:pt idx="519">
                  <c:v>-17.644444672574831</c:v>
                </c:pt>
                <c:pt idx="520">
                  <c:v>-17.713184194555062</c:v>
                </c:pt>
                <c:pt idx="521">
                  <c:v>-17.783150741642977</c:v>
                </c:pt>
                <c:pt idx="522">
                  <c:v>-17.852749147389165</c:v>
                </c:pt>
                <c:pt idx="523">
                  <c:v>-17.921983415634973</c:v>
                </c:pt>
                <c:pt idx="524">
                  <c:v>-17.990857495884761</c:v>
                </c:pt>
                <c:pt idx="525">
                  <c:v>-18.060962754970337</c:v>
                </c:pt>
                <c:pt idx="526">
                  <c:v>-18.130699093450676</c:v>
                </c:pt>
                <c:pt idx="527">
                  <c:v>-18.200070571963245</c:v>
                </c:pt>
                <c:pt idx="528">
                  <c:v>-18.269081195622494</c:v>
                </c:pt>
                <c:pt idx="529">
                  <c:v>-18.339326437217682</c:v>
                </c:pt>
                <c:pt idx="530">
                  <c:v>-18.4092021646006</c:v>
                </c:pt>
                <c:pt idx="531">
                  <c:v>-18.478712494352976</c:v>
                </c:pt>
                <c:pt idx="532">
                  <c:v>-18.54786148627716</c:v>
                </c:pt>
                <c:pt idx="533">
                  <c:v>-18.61828412960131</c:v>
                </c:pt>
                <c:pt idx="534">
                  <c:v>-18.688336484826905</c:v>
                </c:pt>
                <c:pt idx="535">
                  <c:v>-18.758022729550778</c:v>
                </c:pt>
                <c:pt idx="536">
                  <c:v>-18.827346983154676</c:v>
                </c:pt>
                <c:pt idx="537">
                  <c:v>-18.897874982739371</c:v>
                </c:pt>
                <c:pt idx="538">
                  <c:v>-18.968032900241273</c:v>
                </c:pt>
                <c:pt idx="539">
                  <c:v>-19.037824959483746</c:v>
                </c:pt>
                <c:pt idx="540">
                  <c:v>-19.107255324829882</c:v>
                </c:pt>
                <c:pt idx="541">
                  <c:v>-19.17796174692721</c:v>
                </c:pt>
                <c:pt idx="542">
                  <c:v>-19.248297763056804</c:v>
                </c:pt>
                <c:pt idx="543">
                  <c:v>-19.318267653789604</c:v>
                </c:pt>
                <c:pt idx="544">
                  <c:v>-19.387875638712384</c:v>
                </c:pt>
                <c:pt idx="545">
                  <c:v>-19.458725791785778</c:v>
                </c:pt>
                <c:pt idx="546">
                  <c:v>-19.529205824321679</c:v>
                </c:pt>
                <c:pt idx="547">
                  <c:v>-19.599320064414552</c:v>
                </c:pt>
                <c:pt idx="548">
                  <c:v>-19.669072777744926</c:v>
                </c:pt>
                <c:pt idx="549">
                  <c:v>-19.740068493107831</c:v>
                </c:pt>
                <c:pt idx="550">
                  <c:v>-19.810694608586893</c:v>
                </c:pt>
                <c:pt idx="551">
                  <c:v>-19.880955496621947</c:v>
                </c:pt>
                <c:pt idx="552">
                  <c:v>-19.950855465793932</c:v>
                </c:pt>
                <c:pt idx="553">
                  <c:v>-20.022031582317194</c:v>
                </c:pt>
                <c:pt idx="554">
                  <c:v>-20.092838521182216</c:v>
                </c:pt>
                <c:pt idx="555">
                  <c:v>-20.163280701645711</c:v>
                </c:pt>
                <c:pt idx="556">
                  <c:v>-20.233362477538176</c:v>
                </c:pt>
                <c:pt idx="557">
                  <c:v>-20.375708225406871</c:v>
                </c:pt>
                <c:pt idx="558">
                  <c:v>-20.516597795421276</c:v>
                </c:pt>
                <c:pt idx="559">
                  <c:v>-20.659246494043497</c:v>
                </c:pt>
                <c:pt idx="560">
                  <c:v>-20.80044423868442</c:v>
                </c:pt>
                <c:pt idx="561">
                  <c:v>-20.943525697155106</c:v>
                </c:pt>
                <c:pt idx="562">
                  <c:v>-21.085159906817708</c:v>
                </c:pt>
                <c:pt idx="563">
                  <c:v>-21.228376145325246</c:v>
                </c:pt>
                <c:pt idx="564">
                  <c:v>-21.370155915763796</c:v>
                </c:pt>
                <c:pt idx="565">
                  <c:v>-21.514055836408588</c:v>
                </c:pt>
                <c:pt idx="566">
                  <c:v>-21.656520230555572</c:v>
                </c:pt>
                <c:pt idx="567">
                  <c:v>-21.801036415017716</c:v>
                </c:pt>
                <c:pt idx="568">
                  <c:v>-21.944120563519899</c:v>
                </c:pt>
                <c:pt idx="569">
                  <c:v>-22.088628579633379</c:v>
                </c:pt>
                <c:pt idx="570">
                  <c:v>-22.231721406479</c:v>
                </c:pt>
                <c:pt idx="571">
                  <c:v>-22.377306010029365</c:v>
                </c:pt>
                <c:pt idx="572">
                  <c:v>-22.521472233810837</c:v>
                </c:pt>
                <c:pt idx="573">
                  <c:v>-22.666968191186179</c:v>
                </c:pt>
                <c:pt idx="574">
                  <c:v>-22.811066218299455</c:v>
                </c:pt>
                <c:pt idx="575">
                  <c:v>-22.95752649031952</c:v>
                </c:pt>
                <c:pt idx="576">
                  <c:v>-23.102590140939046</c:v>
                </c:pt>
                <c:pt idx="577">
                  <c:v>-23.702070274612389</c:v>
                </c:pt>
                <c:pt idx="578">
                  <c:v>-24.279667926399338</c:v>
                </c:pt>
                <c:pt idx="579">
                  <c:v>-25.479178921996034</c:v>
                </c:pt>
                <c:pt idx="580">
                  <c:v>-26.708386381623267</c:v>
                </c:pt>
                <c:pt idx="581">
                  <c:v>-27.971250826710499</c:v>
                </c:pt>
                <c:pt idx="582">
                  <c:v>-29.274464739491624</c:v>
                </c:pt>
                <c:pt idx="583">
                  <c:v>-30.622854525215967</c:v>
                </c:pt>
                <c:pt idx="584">
                  <c:v>-32.022882355070358</c:v>
                </c:pt>
                <c:pt idx="585">
                  <c:v>-33.478607039663181</c:v>
                </c:pt>
                <c:pt idx="586">
                  <c:v>-34.99424998015327</c:v>
                </c:pt>
                <c:pt idx="587">
                  <c:v>-36.573693054941501</c:v>
                </c:pt>
                <c:pt idx="588">
                  <c:v>-38.217337241720706</c:v>
                </c:pt>
                <c:pt idx="589">
                  <c:v>-39.927214983374661</c:v>
                </c:pt>
                <c:pt idx="590">
                  <c:v>-41.70225404845597</c:v>
                </c:pt>
                <c:pt idx="591">
                  <c:v>-43.54104985355562</c:v>
                </c:pt>
                <c:pt idx="592">
                  <c:v>-45.44081334868735</c:v>
                </c:pt>
                <c:pt idx="593">
                  <c:v>-47.398777805773413</c:v>
                </c:pt>
                <c:pt idx="594">
                  <c:v>-49.410491492796609</c:v>
                </c:pt>
                <c:pt idx="595">
                  <c:v>-51.472016099198953</c:v>
                </c:pt>
                <c:pt idx="596">
                  <c:v>-53.57837782041257</c:v>
                </c:pt>
                <c:pt idx="597">
                  <c:v>-55.725430659847319</c:v>
                </c:pt>
                <c:pt idx="598">
                  <c:v>-57.908145934545971</c:v>
                </c:pt>
                <c:pt idx="599">
                  <c:v>-60.122791051874465</c:v>
                </c:pt>
                <c:pt idx="600">
                  <c:v>-62.365026693224479</c:v>
                </c:pt>
              </c:numCache>
            </c:numRef>
          </c:yVal>
          <c:smooth val="1"/>
          <c:extLst>
            <c:ext xmlns:c16="http://schemas.microsoft.com/office/drawing/2014/chart" uri="{C3380CC4-5D6E-409C-BE32-E72D297353CC}">
              <c16:uniqueId val="{00000004-FCA5-4213-A322-27E8A856FDBF}"/>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A5-4213-A322-27E8A856FDBF}"/>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4871.5929988906146</c:v>
                </c:pt>
              </c:numCache>
            </c:numRef>
          </c:xVal>
          <c:yVal>
            <c:numRef>
              <c:f>'Stability Calculations'!$D$635</c:f>
              <c:numCache>
                <c:formatCode>0.00</c:formatCode>
                <c:ptCount val="1"/>
                <c:pt idx="0">
                  <c:v>12.622918242841623</c:v>
                </c:pt>
              </c:numCache>
            </c:numRef>
          </c:yVal>
          <c:smooth val="1"/>
          <c:extLst>
            <c:ext xmlns:c16="http://schemas.microsoft.com/office/drawing/2014/chart" uri="{C3380CC4-5D6E-409C-BE32-E72D297353CC}">
              <c16:uniqueId val="{00000006-FCA5-4213-A322-27E8A856FDBF}"/>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A5-4213-A322-27E8A856FDBF}"/>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2.9455317176396494</c:v>
                </c:pt>
              </c:numCache>
            </c:numRef>
          </c:xVal>
          <c:yVal>
            <c:numRef>
              <c:f>'Stability Calculations'!$Q$624</c:f>
              <c:numCache>
                <c:formatCode>0.00</c:formatCode>
                <c:ptCount val="1"/>
                <c:pt idx="0">
                  <c:v>87.009177485212007</c:v>
                </c:pt>
              </c:numCache>
            </c:numRef>
          </c:yVal>
          <c:smooth val="1"/>
          <c:extLst>
            <c:ext xmlns:c16="http://schemas.microsoft.com/office/drawing/2014/chart" uri="{C3380CC4-5D6E-409C-BE32-E72D297353CC}">
              <c16:uniqueId val="{00000008-FCA5-4213-A322-27E8A856FDBF}"/>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CA5-4213-A322-27E8A856FDBF}"/>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781.55008864865476</c:v>
                </c:pt>
              </c:numCache>
            </c:numRef>
          </c:xVal>
          <c:yVal>
            <c:numRef>
              <c:f>'Stability Calculations'!$D$632</c:f>
              <c:numCache>
                <c:formatCode>0.00</c:formatCode>
                <c:ptCount val="1"/>
                <c:pt idx="0">
                  <c:v>38.642845345621112</c:v>
                </c:pt>
              </c:numCache>
            </c:numRef>
          </c:yVal>
          <c:smooth val="1"/>
          <c:extLst>
            <c:ext xmlns:c16="http://schemas.microsoft.com/office/drawing/2014/chart" uri="{C3380CC4-5D6E-409C-BE32-E72D297353CC}">
              <c16:uniqueId val="{0000000A-FCA5-4213-A322-27E8A856FDBF}"/>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CA5-4213-A322-27E8A856FDBF}"/>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83589.781131174561</c:v>
                </c:pt>
              </c:numCache>
            </c:numRef>
          </c:xVal>
          <c:yVal>
            <c:numRef>
              <c:f>'Stability Calculations'!$Q$623</c:f>
              <c:numCache>
                <c:formatCode>0.00</c:formatCode>
                <c:ptCount val="1"/>
                <c:pt idx="0">
                  <c:v>-18.608028238873715</c:v>
                </c:pt>
              </c:numCache>
            </c:numRef>
          </c:yVal>
          <c:smooth val="1"/>
          <c:extLst>
            <c:ext xmlns:c16="http://schemas.microsoft.com/office/drawing/2014/chart" uri="{C3380CC4-5D6E-409C-BE32-E72D297353CC}">
              <c16:uniqueId val="{0000000C-FCA5-4213-A322-27E8A856FDBF}"/>
            </c:ext>
          </c:extLst>
        </c:ser>
        <c:dLbls>
          <c:showLegendKey val="0"/>
          <c:showVal val="0"/>
          <c:showCatName val="0"/>
          <c:showSerName val="0"/>
          <c:showPercent val="0"/>
          <c:showBubbleSize val="0"/>
        </c:dLbls>
        <c:axId val="139993088"/>
        <c:axId val="1399953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-18.814641491119659</c:v>
                </c:pt>
                <c:pt idx="1">
                  <c:v>-20.486679803168325</c:v>
                </c:pt>
                <c:pt idx="2">
                  <c:v>-22.27924266826555</c:v>
                </c:pt>
                <c:pt idx="3">
                  <c:v>-24.193648012541729</c:v>
                </c:pt>
                <c:pt idx="4">
                  <c:v>-26.227857571644133</c:v>
                </c:pt>
                <c:pt idx="5">
                  <c:v>-28.382275259846701</c:v>
                </c:pt>
                <c:pt idx="6">
                  <c:v>-30.648178637611245</c:v>
                </c:pt>
                <c:pt idx="7">
                  <c:v>-33.018278176523118</c:v>
                </c:pt>
                <c:pt idx="8">
                  <c:v>-35.478960051299786</c:v>
                </c:pt>
                <c:pt idx="9">
                  <c:v>-38.017169653496786</c:v>
                </c:pt>
                <c:pt idx="10">
                  <c:v>-40.613808787363524</c:v>
                </c:pt>
                <c:pt idx="11">
                  <c:v>-43.24933361181246</c:v>
                </c:pt>
                <c:pt idx="12">
                  <c:v>-45.903733143262933</c:v>
                </c:pt>
                <c:pt idx="13">
                  <c:v>-48.5523753908329</c:v>
                </c:pt>
                <c:pt idx="14">
                  <c:v>-51.175551619677933</c:v>
                </c:pt>
                <c:pt idx="15">
                  <c:v>-53.751587344124999</c:v>
                </c:pt>
                <c:pt idx="16">
                  <c:v>-56.26199455152846</c:v>
                </c:pt>
                <c:pt idx="17">
                  <c:v>-58.690298807344227</c:v>
                </c:pt>
                <c:pt idx="18">
                  <c:v>-61.02402606530044</c:v>
                </c:pt>
                <c:pt idx="19">
                  <c:v>-63.25249011969732</c:v>
                </c:pt>
                <c:pt idx="20">
                  <c:v>-65.369171819637558</c:v>
                </c:pt>
                <c:pt idx="21">
                  <c:v>-67.36956718855059</c:v>
                </c:pt>
                <c:pt idx="22">
                  <c:v>-69.252609482397588</c:v>
                </c:pt>
                <c:pt idx="23">
                  <c:v>-71.018552210516091</c:v>
                </c:pt>
                <c:pt idx="24">
                  <c:v>-72.670376326267558</c:v>
                </c:pt>
                <c:pt idx="25">
                  <c:v>-74.211769689372275</c:v>
                </c:pt>
                <c:pt idx="26">
                  <c:v>-75.64810134180631</c:v>
                </c:pt>
                <c:pt idx="27">
                  <c:v>-76.984707255378993</c:v>
                </c:pt>
                <c:pt idx="28">
                  <c:v>-78.22798347521767</c:v>
                </c:pt>
                <c:pt idx="29">
                  <c:v>-79.38387105900982</c:v>
                </c:pt>
                <c:pt idx="30">
                  <c:v>-80.461033324186644</c:v>
                </c:pt>
                <c:pt idx="31">
                  <c:v>-81.464650092397051</c:v>
                </c:pt>
                <c:pt idx="32">
                  <c:v>-82.402094254122531</c:v>
                </c:pt>
                <c:pt idx="33">
                  <c:v>-83.279244396506655</c:v>
                </c:pt>
                <c:pt idx="34">
                  <c:v>-84.103137054839848</c:v>
                </c:pt>
                <c:pt idx="35">
                  <c:v>-84.87944670740562</c:v>
                </c:pt>
                <c:pt idx="36">
                  <c:v>-85.614250399629512</c:v>
                </c:pt>
                <c:pt idx="37">
                  <c:v>-86.313656061177952</c:v>
                </c:pt>
                <c:pt idx="38">
                  <c:v>-86.982540570695519</c:v>
                </c:pt>
                <c:pt idx="39">
                  <c:v>-87.626820762703403</c:v>
                </c:pt>
                <c:pt idx="40">
                  <c:v>-88.25146325365543</c:v>
                </c:pt>
                <c:pt idx="41">
                  <c:v>-88.861618788956548</c:v>
                </c:pt>
                <c:pt idx="42">
                  <c:v>-89.462203562688501</c:v>
                </c:pt>
                <c:pt idx="43">
                  <c:v>-90.058325044028038</c:v>
                </c:pt>
                <c:pt idx="44">
                  <c:v>-90.654717362375493</c:v>
                </c:pt>
                <c:pt idx="45">
                  <c:v>-91.256385632552409</c:v>
                </c:pt>
                <c:pt idx="46">
                  <c:v>-91.868111446656059</c:v>
                </c:pt>
                <c:pt idx="47">
                  <c:v>-92.494975927244099</c:v>
                </c:pt>
                <c:pt idx="48">
                  <c:v>-93.141841938052139</c:v>
                </c:pt>
                <c:pt idx="49">
                  <c:v>-93.813982332790204</c:v>
                </c:pt>
                <c:pt idx="50">
                  <c:v>-94.516509824458453</c:v>
                </c:pt>
                <c:pt idx="51">
                  <c:v>-95.254924815520724</c:v>
                </c:pt>
                <c:pt idx="52">
                  <c:v>-96.034439150335061</c:v>
                </c:pt>
                <c:pt idx="53">
                  <c:v>-96.860614797981157</c:v>
                </c:pt>
                <c:pt idx="54">
                  <c:v>-97.738495943347743</c:v>
                </c:pt>
                <c:pt idx="55">
                  <c:v>-98.675239257116587</c:v>
                </c:pt>
                <c:pt idx="56">
                  <c:v>-99.675196864907662</c:v>
                </c:pt>
                <c:pt idx="57">
                  <c:v>-100.74451111760712</c:v>
                </c:pt>
                <c:pt idx="58">
                  <c:v>-101.88760668655232</c:v>
                </c:pt>
                <c:pt idx="59">
                  <c:v>-103.11011592889443</c:v>
                </c:pt>
                <c:pt idx="60">
                  <c:v>-104.41546179854033</c:v>
                </c:pt>
                <c:pt idx="61">
                  <c:v>-105.80697240219652</c:v>
                </c:pt>
                <c:pt idx="62">
                  <c:v>-107.28736429387965</c:v>
                </c:pt>
                <c:pt idx="63">
                  <c:v>-108.85552576781924</c:v>
                </c:pt>
                <c:pt idx="64">
                  <c:v>-110.51098718008322</c:v>
                </c:pt>
                <c:pt idx="65">
                  <c:v>-112.24902584773606</c:v>
                </c:pt>
                <c:pt idx="66">
                  <c:v>-114.06284932810151</c:v>
                </c:pt>
                <c:pt idx="67">
                  <c:v>-115.9421298074539</c:v>
                </c:pt>
                <c:pt idx="68">
                  <c:v>-117.8740090222192</c:v>
                </c:pt>
                <c:pt idx="69">
                  <c:v>-119.84116408303676</c:v>
                </c:pt>
                <c:pt idx="70">
                  <c:v>-121.82392316651404</c:v>
                </c:pt>
                <c:pt idx="71">
                  <c:v>-123.79894758337458</c:v>
                </c:pt>
                <c:pt idx="72">
                  <c:v>-125.74145453641988</c:v>
                </c:pt>
                <c:pt idx="73">
                  <c:v>-127.62429890015959</c:v>
                </c:pt>
                <c:pt idx="74">
                  <c:v>-129.42075792634273</c:v>
                </c:pt>
                <c:pt idx="75">
                  <c:v>-131.1037863919976</c:v>
                </c:pt>
                <c:pt idx="76">
                  <c:v>-132.64837169449416</c:v>
                </c:pt>
                <c:pt idx="77">
                  <c:v>-134.0308469211698</c:v>
                </c:pt>
                <c:pt idx="78">
                  <c:v>-135.23103759034271</c:v>
                </c:pt>
                <c:pt idx="79">
                  <c:v>-136.23151331173611</c:v>
                </c:pt>
                <c:pt idx="80">
                  <c:v>-137.02062103572322</c:v>
                </c:pt>
                <c:pt idx="81">
                  <c:v>-137.58764316626764</c:v>
                </c:pt>
                <c:pt idx="82">
                  <c:v>-137.92747951039112</c:v>
                </c:pt>
                <c:pt idx="83">
                  <c:v>-138.03834767133836</c:v>
                </c:pt>
                <c:pt idx="84">
                  <c:v>-137.92271289892403</c:v>
                </c:pt>
                <c:pt idx="85">
                  <c:v>-137.58689868465714</c:v>
                </c:pt>
                <c:pt idx="86">
                  <c:v>-137.04120267284884</c:v>
                </c:pt>
                <c:pt idx="87">
                  <c:v>-136.29940041299434</c:v>
                </c:pt>
                <c:pt idx="88">
                  <c:v>-135.3802299791474</c:v>
                </c:pt>
                <c:pt idx="89">
                  <c:v>-134.30465899266918</c:v>
                </c:pt>
                <c:pt idx="90">
                  <c:v>-133.09796148729825</c:v>
                </c:pt>
                <c:pt idx="91">
                  <c:v>-131.78768556033356</c:v>
                </c:pt>
                <c:pt idx="92">
                  <c:v>-130.40364876415853</c:v>
                </c:pt>
                <c:pt idx="93">
                  <c:v>-128.97617517102412</c:v>
                </c:pt>
                <c:pt idx="94">
                  <c:v>-128.61633178794278</c:v>
                </c:pt>
                <c:pt idx="95">
                  <c:v>-128.43515736253647</c:v>
                </c:pt>
                <c:pt idx="96">
                  <c:v>-128.25604443920409</c:v>
                </c:pt>
                <c:pt idx="97">
                  <c:v>-128.07492420451342</c:v>
                </c:pt>
                <c:pt idx="98">
                  <c:v>-127.89598185001981</c:v>
                </c:pt>
                <c:pt idx="99">
                  <c:v>-127.71510683499181</c:v>
                </c:pt>
                <c:pt idx="100">
                  <c:v>-127.53652311611515</c:v>
                </c:pt>
                <c:pt idx="101">
                  <c:v>-127.35622176751937</c:v>
                </c:pt>
                <c:pt idx="102">
                  <c:v>-127.17831844208222</c:v>
                </c:pt>
                <c:pt idx="103">
                  <c:v>-126.99864798340346</c:v>
                </c:pt>
                <c:pt idx="104">
                  <c:v>-126.82148251343979</c:v>
                </c:pt>
                <c:pt idx="105">
                  <c:v>-126.64277016104722</c:v>
                </c:pt>
                <c:pt idx="106">
                  <c:v>-126.46666261440153</c:v>
                </c:pt>
                <c:pt idx="107">
                  <c:v>-126.28922300738333</c:v>
                </c:pt>
                <c:pt idx="108">
                  <c:v>-126.11448055902056</c:v>
                </c:pt>
                <c:pt idx="109">
                  <c:v>-125.93849590370178</c:v>
                </c:pt>
                <c:pt idx="110">
                  <c:v>-125.7652968394567</c:v>
                </c:pt>
                <c:pt idx="111">
                  <c:v>-125.5908351350166</c:v>
                </c:pt>
                <c:pt idx="112">
                  <c:v>-125.41924721320152</c:v>
                </c:pt>
                <c:pt idx="113">
                  <c:v>-125.2466145848083</c:v>
                </c:pt>
                <c:pt idx="114">
                  <c:v>-125.07693592961135</c:v>
                </c:pt>
                <c:pt idx="115">
                  <c:v>-124.90631565819884</c:v>
                </c:pt>
                <c:pt idx="116">
                  <c:v>-124.73872522654813</c:v>
                </c:pt>
                <c:pt idx="117">
                  <c:v>-124.57029987464973</c:v>
                </c:pt>
                <c:pt idx="118">
                  <c:v>-124.40497577610823</c:v>
                </c:pt>
                <c:pt idx="119">
                  <c:v>-124.23902631458691</c:v>
                </c:pt>
                <c:pt idx="120">
                  <c:v>-124.07624112913174</c:v>
                </c:pt>
                <c:pt idx="121">
                  <c:v>-123.91293552769808</c:v>
                </c:pt>
                <c:pt idx="122">
                  <c:v>-123.75285262091019</c:v>
                </c:pt>
                <c:pt idx="123">
                  <c:v>-123.59226457355308</c:v>
                </c:pt>
                <c:pt idx="124">
                  <c:v>-123.43495672779888</c:v>
                </c:pt>
                <c:pt idx="125">
                  <c:v>-123.27734885609713</c:v>
                </c:pt>
                <c:pt idx="126">
                  <c:v>-123.12307008335341</c:v>
                </c:pt>
                <c:pt idx="127">
                  <c:v>-122.96860210624982</c:v>
                </c:pt>
                <c:pt idx="128">
                  <c:v>-122.81750730860507</c:v>
                </c:pt>
                <c:pt idx="129">
                  <c:v>-122.66633528285809</c:v>
                </c:pt>
                <c:pt idx="130">
                  <c:v>-122.51857565630347</c:v>
                </c:pt>
                <c:pt idx="131">
                  <c:v>-122.3708515433204</c:v>
                </c:pt>
                <c:pt idx="132">
                  <c:v>-122.29828595915561</c:v>
                </c:pt>
                <c:pt idx="133">
                  <c:v>-122.22657415785721</c:v>
                </c:pt>
                <c:pt idx="134">
                  <c:v>-122.15403390908415</c:v>
                </c:pt>
                <c:pt idx="135">
                  <c:v>-122.08237190830592</c:v>
                </c:pt>
                <c:pt idx="136">
                  <c:v>-122.01157982144056</c:v>
                </c:pt>
                <c:pt idx="137">
                  <c:v>-121.94164936263346</c:v>
                </c:pt>
                <c:pt idx="138">
                  <c:v>-121.87101382615928</c:v>
                </c:pt>
                <c:pt idx="139">
                  <c:v>-121.80126211831039</c:v>
                </c:pt>
                <c:pt idx="140">
                  <c:v>-121.73238554286264</c:v>
                </c:pt>
                <c:pt idx="141">
                  <c:v>-121.66437546292514</c:v>
                </c:pt>
                <c:pt idx="142">
                  <c:v>-121.59564123832178</c:v>
                </c:pt>
                <c:pt idx="143">
                  <c:v>-121.52779697042683</c:v>
                </c:pt>
                <c:pt idx="144">
                  <c:v>-121.46083359481422</c:v>
                </c:pt>
                <c:pt idx="145">
                  <c:v>-121.39474211745849</c:v>
                </c:pt>
                <c:pt idx="146">
                  <c:v>-121.32801281060094</c:v>
                </c:pt>
                <c:pt idx="147">
                  <c:v>-121.26217744419374</c:v>
                </c:pt>
                <c:pt idx="148">
                  <c:v>-121.19722661975364</c:v>
                </c:pt>
                <c:pt idx="149">
                  <c:v>-121.13315101983721</c:v>
                </c:pt>
                <c:pt idx="150">
                  <c:v>-121.0684900845942</c:v>
                </c:pt>
                <c:pt idx="151">
                  <c:v>-121.00472584520647</c:v>
                </c:pt>
                <c:pt idx="152">
                  <c:v>-120.94184859052274</c:v>
                </c:pt>
                <c:pt idx="153">
                  <c:v>-120.87984870072876</c:v>
                </c:pt>
                <c:pt idx="154">
                  <c:v>-120.81728794753455</c:v>
                </c:pt>
                <c:pt idx="155">
                  <c:v>-120.75562625399358</c:v>
                </c:pt>
                <c:pt idx="156">
                  <c:v>-120.69485360432435</c:v>
                </c:pt>
                <c:pt idx="157">
                  <c:v>-120.63496008419604</c:v>
                </c:pt>
                <c:pt idx="158">
                  <c:v>-120.57456158543916</c:v>
                </c:pt>
                <c:pt idx="159">
                  <c:v>-120.51506325938932</c:v>
                </c:pt>
                <c:pt idx="160">
                  <c:v>-120.45645480780851</c:v>
                </c:pt>
                <c:pt idx="161">
                  <c:v>-120.39872604365101</c:v>
                </c:pt>
                <c:pt idx="162">
                  <c:v>-120.34057371817651</c:v>
                </c:pt>
                <c:pt idx="163">
                  <c:v>-120.28332066157645</c:v>
                </c:pt>
                <c:pt idx="164">
                  <c:v>-120.22695632950159</c:v>
                </c:pt>
                <c:pt idx="165">
                  <c:v>-120.17147029792199</c:v>
                </c:pt>
                <c:pt idx="166">
                  <c:v>-120.11556686171363</c:v>
                </c:pt>
                <c:pt idx="167">
                  <c:v>-120.06056217294412</c:v>
                </c:pt>
                <c:pt idx="168">
                  <c:v>-120.00644543602756</c:v>
                </c:pt>
                <c:pt idx="169">
                  <c:v>-119.95320598481756</c:v>
                </c:pt>
                <c:pt idx="170">
                  <c:v>-119.89971882636874</c:v>
                </c:pt>
                <c:pt idx="171">
                  <c:v>-119.84712492221738</c:v>
                </c:pt>
                <c:pt idx="172">
                  <c:v>-119.79541331741697</c:v>
                </c:pt>
                <c:pt idx="173">
                  <c:v>-119.744573193994</c:v>
                </c:pt>
                <c:pt idx="174">
                  <c:v>-119.69334491852985</c:v>
                </c:pt>
                <c:pt idx="175">
                  <c:v>-119.64301002810173</c:v>
                </c:pt>
                <c:pt idx="176">
                  <c:v>-119.59355730663991</c:v>
                </c:pt>
                <c:pt idx="177">
                  <c:v>-119.544975684191</c:v>
                </c:pt>
                <c:pt idx="178">
                  <c:v>-119.49609150127924</c:v>
                </c:pt>
                <c:pt idx="179">
                  <c:v>-119.44809872132191</c:v>
                </c:pt>
                <c:pt idx="180">
                  <c:v>-119.40098590537903</c:v>
                </c:pt>
                <c:pt idx="181">
                  <c:v>-119.35474176909621</c:v>
                </c:pt>
                <c:pt idx="182">
                  <c:v>-119.30845612057745</c:v>
                </c:pt>
                <c:pt idx="183">
                  <c:v>-119.26305101496216</c:v>
                </c:pt>
                <c:pt idx="184">
                  <c:v>-119.21851496321813</c:v>
                </c:pt>
                <c:pt idx="185">
                  <c:v>-119.17483663613373</c:v>
                </c:pt>
                <c:pt idx="186">
                  <c:v>-119.13084092118699</c:v>
                </c:pt>
                <c:pt idx="187">
                  <c:v>-119.08772693034906</c:v>
                </c:pt>
                <c:pt idx="188">
                  <c:v>-119.04548288982976</c:v>
                </c:pt>
                <c:pt idx="189">
                  <c:v>-119.00409719517442</c:v>
                </c:pt>
                <c:pt idx="190">
                  <c:v>-118.96279292944826</c:v>
                </c:pt>
                <c:pt idx="191">
                  <c:v>-118.92235627737797</c:v>
                </c:pt>
                <c:pt idx="192">
                  <c:v>-118.88277548573714</c:v>
                </c:pt>
                <c:pt idx="193">
                  <c:v>-118.84403897423314</c:v>
                </c:pt>
                <c:pt idx="194">
                  <c:v>-118.80515270615545</c:v>
                </c:pt>
                <c:pt idx="195">
                  <c:v>-118.76713140584589</c:v>
                </c:pt>
                <c:pt idx="196">
                  <c:v>-118.7299631100388</c:v>
                </c:pt>
                <c:pt idx="197">
                  <c:v>-118.69363603640817</c:v>
                </c:pt>
                <c:pt idx="198">
                  <c:v>-118.65737046012958</c:v>
                </c:pt>
                <c:pt idx="199">
                  <c:v>-118.62195904018711</c:v>
                </c:pt>
                <c:pt idx="200">
                  <c:v>-118.58738977116705</c:v>
                </c:pt>
                <c:pt idx="201">
                  <c:v>-118.55365083317079</c:v>
                </c:pt>
                <c:pt idx="202">
                  <c:v>-118.52003402996436</c:v>
                </c:pt>
                <c:pt idx="203">
                  <c:v>-118.48725917593175</c:v>
                </c:pt>
                <c:pt idx="204">
                  <c:v>-118.45531425547946</c:v>
                </c:pt>
                <c:pt idx="205">
                  <c:v>-118.42418744230797</c:v>
                </c:pt>
                <c:pt idx="206">
                  <c:v>-118.39313500353951</c:v>
                </c:pt>
                <c:pt idx="207">
                  <c:v>-118.36291667663112</c:v>
                </c:pt>
                <c:pt idx="208">
                  <c:v>-118.33352034324707</c:v>
                </c:pt>
                <c:pt idx="209">
                  <c:v>-118.30493407997129</c:v>
                </c:pt>
                <c:pt idx="210">
                  <c:v>-118.27639852686457</c:v>
                </c:pt>
                <c:pt idx="211">
                  <c:v>-118.2486929909999</c:v>
                </c:pt>
                <c:pt idx="212">
                  <c:v>-118.22180516602545</c:v>
                </c:pt>
                <c:pt idx="213">
                  <c:v>-118.19572294796701</c:v>
                </c:pt>
                <c:pt idx="214">
                  <c:v>-118.16993832947165</c:v>
                </c:pt>
                <c:pt idx="215">
                  <c:v>-118.14496694912339</c:v>
                </c:pt>
                <c:pt idx="216">
                  <c:v>-118.12079659213653</c:v>
                </c:pt>
                <c:pt idx="217">
                  <c:v>-118.09741524738907</c:v>
                </c:pt>
                <c:pt idx="218">
                  <c:v>-118.07430467071514</c:v>
                </c:pt>
                <c:pt idx="219">
                  <c:v>-118.05199471705977</c:v>
                </c:pt>
                <c:pt idx="220">
                  <c:v>-118.03047317192298</c:v>
                </c:pt>
                <c:pt idx="221">
                  <c:v>-118.00972802764706</c:v>
                </c:pt>
                <c:pt idx="222">
                  <c:v>-117.98931067635095</c:v>
                </c:pt>
                <c:pt idx="223">
                  <c:v>-117.96967999544661</c:v>
                </c:pt>
                <c:pt idx="224">
                  <c:v>-117.9508238014523</c:v>
                </c:pt>
                <c:pt idx="225">
                  <c:v>-117.9327301201229</c:v>
                </c:pt>
                <c:pt idx="226">
                  <c:v>-117.9149644477526</c:v>
                </c:pt>
                <c:pt idx="227">
                  <c:v>-117.89797495471885</c:v>
                </c:pt>
                <c:pt idx="228">
                  <c:v>-117.88174940701686</c:v>
                </c:pt>
                <c:pt idx="229">
                  <c:v>-117.86627578407432</c:v>
                </c:pt>
                <c:pt idx="230">
                  <c:v>-117.83687455440244</c:v>
                </c:pt>
                <c:pt idx="231">
                  <c:v>-117.82330780116882</c:v>
                </c:pt>
                <c:pt idx="232">
                  <c:v>-117.81048083943615</c:v>
                </c:pt>
                <c:pt idx="233">
                  <c:v>-117.79810338238174</c:v>
                </c:pt>
                <c:pt idx="234">
                  <c:v>-117.78647641322701</c:v>
                </c:pt>
                <c:pt idx="235">
                  <c:v>-117.77558769932574</c:v>
                </c:pt>
                <c:pt idx="236">
                  <c:v>-117.76542522736472</c:v>
                </c:pt>
                <c:pt idx="237">
                  <c:v>-117.75579281364149</c:v>
                </c:pt>
                <c:pt idx="238">
                  <c:v>-117.74689182455316</c:v>
                </c:pt>
                <c:pt idx="239">
                  <c:v>-117.73871017776995</c:v>
                </c:pt>
                <c:pt idx="240">
                  <c:v>-117.73123600957788</c:v>
                </c:pt>
                <c:pt idx="241">
                  <c:v>-117.72429338178189</c:v>
                </c:pt>
                <c:pt idx="242">
                  <c:v>-117.71807028358866</c:v>
                </c:pt>
                <c:pt idx="243">
                  <c:v>-117.71255460461526</c:v>
                </c:pt>
                <c:pt idx="244">
                  <c:v>-117.70773445661216</c:v>
                </c:pt>
                <c:pt idx="245">
                  <c:v>-117.70351416331704</c:v>
                </c:pt>
                <c:pt idx="246">
                  <c:v>-117.69999614213201</c:v>
                </c:pt>
                <c:pt idx="247">
                  <c:v>-117.69716838607232</c:v>
                </c:pt>
                <c:pt idx="248">
                  <c:v>-117.69501911056827</c:v>
                </c:pt>
                <c:pt idx="249">
                  <c:v>-117.69350882883327</c:v>
                </c:pt>
                <c:pt idx="250">
                  <c:v>-117.69268618830681</c:v>
                </c:pt>
                <c:pt idx="251">
                  <c:v>-117.69253921592984</c:v>
                </c:pt>
                <c:pt idx="252">
                  <c:v>-117.69305616301067</c:v>
                </c:pt>
                <c:pt idx="253">
                  <c:v>-117.6942572151717</c:v>
                </c:pt>
                <c:pt idx="254">
                  <c:v>-117.69612651914824</c:v>
                </c:pt>
                <c:pt idx="255">
                  <c:v>-117.69865225739129</c:v>
                </c:pt>
                <c:pt idx="256">
                  <c:v>-117.70182283560175</c:v>
                </c:pt>
                <c:pt idx="257">
                  <c:v>-117.70573374556555</c:v>
                </c:pt>
                <c:pt idx="258">
                  <c:v>-117.7102993179075</c:v>
                </c:pt>
                <c:pt idx="259">
                  <c:v>-117.71550773412308</c:v>
                </c:pt>
                <c:pt idx="260">
                  <c:v>-117.72134740175115</c:v>
                </c:pt>
                <c:pt idx="261">
                  <c:v>-117.72796087358581</c:v>
                </c:pt>
                <c:pt idx="262">
                  <c:v>-117.73521079193888</c:v>
                </c:pt>
                <c:pt idx="263">
                  <c:v>-117.74308545699931</c:v>
                </c:pt>
                <c:pt idx="264">
                  <c:v>-117.75157339475606</c:v>
                </c:pt>
                <c:pt idx="265">
                  <c:v>-117.76087210379936</c:v>
                </c:pt>
                <c:pt idx="266">
                  <c:v>-117.77078809941729</c:v>
                </c:pt>
                <c:pt idx="267">
                  <c:v>-117.7813098244108</c:v>
                </c:pt>
                <c:pt idx="268">
                  <c:v>-117.79242594649745</c:v>
                </c:pt>
                <c:pt idx="269">
                  <c:v>-117.80441507083619</c:v>
                </c:pt>
                <c:pt idx="270">
                  <c:v>-117.81700429515431</c:v>
                </c:pt>
                <c:pt idx="271">
                  <c:v>-117.83018214645421</c:v>
                </c:pt>
                <c:pt idx="272">
                  <c:v>-117.84393737727859</c:v>
                </c:pt>
                <c:pt idx="273">
                  <c:v>-117.85860348146723</c:v>
                </c:pt>
                <c:pt idx="274">
                  <c:v>-117.87385137645057</c:v>
                </c:pt>
                <c:pt idx="275">
                  <c:v>-117.88966970076943</c:v>
                </c:pt>
                <c:pt idx="276">
                  <c:v>-117.90604731843253</c:v>
                </c:pt>
                <c:pt idx="277">
                  <c:v>-117.92333004079252</c:v>
                </c:pt>
                <c:pt idx="278">
                  <c:v>-117.94117274324516</c:v>
                </c:pt>
                <c:pt idx="279">
                  <c:v>-117.95956427599683</c:v>
                </c:pt>
                <c:pt idx="280">
                  <c:v>-117.97849371200631</c:v>
                </c:pt>
                <c:pt idx="281">
                  <c:v>-117.99848461828046</c:v>
                </c:pt>
                <c:pt idx="282">
                  <c:v>-118.01902029722503</c:v>
                </c:pt>
                <c:pt idx="283">
                  <c:v>-118.04008960946462</c:v>
                </c:pt>
                <c:pt idx="284">
                  <c:v>-118.06168164104989</c:v>
                </c:pt>
                <c:pt idx="285">
                  <c:v>-118.0842280139054</c:v>
                </c:pt>
                <c:pt idx="286">
                  <c:v>-118.10729575843192</c:v>
                </c:pt>
                <c:pt idx="287">
                  <c:v>-118.13087399069505</c:v>
                </c:pt>
                <c:pt idx="288">
                  <c:v>-118.15495204832138</c:v>
                </c:pt>
                <c:pt idx="289">
                  <c:v>-118.1801612497175</c:v>
                </c:pt>
                <c:pt idx="290">
                  <c:v>-118.20587442472713</c:v>
                </c:pt>
                <c:pt idx="291">
                  <c:v>-118.23208075497034</c:v>
                </c:pt>
                <c:pt idx="292">
                  <c:v>-118.25876964494449</c:v>
                </c:pt>
                <c:pt idx="293">
                  <c:v>-118.28656388905785</c:v>
                </c:pt>
                <c:pt idx="294">
                  <c:v>-118.3148415074043</c:v>
                </c:pt>
                <c:pt idx="295">
                  <c:v>-118.34359184297797</c:v>
                </c:pt>
                <c:pt idx="296">
                  <c:v>-118.37280446042782</c:v>
                </c:pt>
                <c:pt idx="297">
                  <c:v>-118.40314432729738</c:v>
                </c:pt>
                <c:pt idx="298">
                  <c:v>-118.43394621134361</c:v>
                </c:pt>
                <c:pt idx="299">
                  <c:v>-118.46519963898793</c:v>
                </c:pt>
                <c:pt idx="300">
                  <c:v>-118.4968943565348</c:v>
                </c:pt>
                <c:pt idx="301">
                  <c:v>-118.52973472746552</c:v>
                </c:pt>
                <c:pt idx="302">
                  <c:v>-118.5630151185685</c:v>
                </c:pt>
                <c:pt idx="303">
                  <c:v>-118.59672525977318</c:v>
                </c:pt>
                <c:pt idx="304">
                  <c:v>-118.63085509862097</c:v>
                </c:pt>
                <c:pt idx="305">
                  <c:v>-118.66628223035438</c:v>
                </c:pt>
                <c:pt idx="306">
                  <c:v>-118.7021300365262</c:v>
                </c:pt>
                <c:pt idx="307">
                  <c:v>-118.73838835362498</c:v>
                </c:pt>
                <c:pt idx="308">
                  <c:v>-118.77504723631432</c:v>
                </c:pt>
                <c:pt idx="309">
                  <c:v>-118.81288182862322</c:v>
                </c:pt>
                <c:pt idx="310">
                  <c:v>-118.85111376289574</c:v>
                </c:pt>
                <c:pt idx="311">
                  <c:v>-118.88973312199684</c:v>
                </c:pt>
                <c:pt idx="312">
                  <c:v>-118.92873020365009</c:v>
                </c:pt>
                <c:pt idx="313">
                  <c:v>-118.96906016617822</c:v>
                </c:pt>
                <c:pt idx="314">
                  <c:v>-119.00976655916149</c:v>
                </c:pt>
                <c:pt idx="315">
                  <c:v>-119.05083962046035</c:v>
                </c:pt>
                <c:pt idx="316">
                  <c:v>-119.09226980221085</c:v>
                </c:pt>
                <c:pt idx="317">
                  <c:v>-119.13504664231611</c:v>
                </c:pt>
                <c:pt idx="318">
                  <c:v>-119.17817822257662</c:v>
                </c:pt>
                <c:pt idx="319">
                  <c:v>-119.22165496099075</c:v>
                </c:pt>
                <c:pt idx="320">
                  <c:v>-119.26546748866299</c:v>
                </c:pt>
                <c:pt idx="321">
                  <c:v>-119.31063695061333</c:v>
                </c:pt>
                <c:pt idx="322">
                  <c:v>-119.35613881485736</c:v>
                </c:pt>
                <c:pt idx="323">
                  <c:v>-119.40196370273688</c:v>
                </c:pt>
                <c:pt idx="324">
                  <c:v>-119.44810244698785</c:v>
                </c:pt>
                <c:pt idx="325">
                  <c:v>-119.49560509822456</c:v>
                </c:pt>
                <c:pt idx="326">
                  <c:v>-119.54341729337054</c:v>
                </c:pt>
                <c:pt idx="327">
                  <c:v>-119.59152987840653</c:v>
                </c:pt>
                <c:pt idx="328">
                  <c:v>-119.63993390849798</c:v>
                </c:pt>
                <c:pt idx="329">
                  <c:v>-119.68978918816933</c:v>
                </c:pt>
                <c:pt idx="330">
                  <c:v>-119.73993169853725</c:v>
                </c:pt>
                <c:pt idx="331">
                  <c:v>-119.79035248539975</c:v>
                </c:pt>
                <c:pt idx="332">
                  <c:v>-119.84104280244323</c:v>
                </c:pt>
                <c:pt idx="333">
                  <c:v>-119.89310272478653</c:v>
                </c:pt>
                <c:pt idx="334">
                  <c:v>-119.94542618674753</c:v>
                </c:pt>
                <c:pt idx="335">
                  <c:v>-119.9980044993758</c:v>
                </c:pt>
                <c:pt idx="336">
                  <c:v>-120.05082917845012</c:v>
                </c:pt>
                <c:pt idx="337">
                  <c:v>-120.10519541747534</c:v>
                </c:pt>
                <c:pt idx="338">
                  <c:v>-120.15980285590234</c:v>
                </c:pt>
                <c:pt idx="339">
                  <c:v>-120.21464300576744</c:v>
                </c:pt>
                <c:pt idx="340">
                  <c:v>-120.26970758286166</c:v>
                </c:pt>
                <c:pt idx="341">
                  <c:v>-120.32631359576703</c:v>
                </c:pt>
                <c:pt idx="342">
                  <c:v>-120.3831379567129</c:v>
                </c:pt>
                <c:pt idx="343">
                  <c:v>-120.44017240363056</c:v>
                </c:pt>
                <c:pt idx="344">
                  <c:v>-120.49740887665483</c:v>
                </c:pt>
                <c:pt idx="345">
                  <c:v>-120.55609399976876</c:v>
                </c:pt>
                <c:pt idx="346">
                  <c:v>-120.61497366619659</c:v>
                </c:pt>
                <c:pt idx="347">
                  <c:v>-120.67403989876817</c:v>
                </c:pt>
                <c:pt idx="348">
                  <c:v>-120.73328491922835</c:v>
                </c:pt>
                <c:pt idx="349">
                  <c:v>-120.79415239543576</c:v>
                </c:pt>
                <c:pt idx="350">
                  <c:v>-120.85519158178569</c:v>
                </c:pt>
                <c:pt idx="351">
                  <c:v>-120.91639473361136</c:v>
                </c:pt>
                <c:pt idx="352">
                  <c:v>-120.97775430380116</c:v>
                </c:pt>
                <c:pt idx="353">
                  <c:v>-121.04072918656341</c:v>
                </c:pt>
                <c:pt idx="354">
                  <c:v>-121.1038526278064</c:v>
                </c:pt>
                <c:pt idx="355">
                  <c:v>-121.16711713947652</c:v>
                </c:pt>
                <c:pt idx="356">
                  <c:v>-121.2305154291391</c:v>
                </c:pt>
                <c:pt idx="357">
                  <c:v>-121.29542674570935</c:v>
                </c:pt>
                <c:pt idx="358">
                  <c:v>-121.36046294670257</c:v>
                </c:pt>
                <c:pt idx="359">
                  <c:v>-121.42561685297109</c:v>
                </c:pt>
                <c:pt idx="360">
                  <c:v>-121.49088147742614</c:v>
                </c:pt>
                <c:pt idx="361">
                  <c:v>-121.55783199839705</c:v>
                </c:pt>
                <c:pt idx="362">
                  <c:v>-121.62488441782033</c:v>
                </c:pt>
                <c:pt idx="363">
                  <c:v>-121.69203182378274</c:v>
                </c:pt>
                <c:pt idx="364">
                  <c:v>-121.75926749455095</c:v>
                </c:pt>
                <c:pt idx="365">
                  <c:v>-121.82808171508938</c:v>
                </c:pt>
                <c:pt idx="366">
                  <c:v>-121.89697455010602</c:v>
                </c:pt>
                <c:pt idx="367">
                  <c:v>-121.96593940412535</c:v>
                </c:pt>
                <c:pt idx="368">
                  <c:v>-122.03496986838675</c:v>
                </c:pt>
                <c:pt idx="369">
                  <c:v>-122.10575010570487</c:v>
                </c:pt>
                <c:pt idx="370">
                  <c:v>-122.17658616474385</c:v>
                </c:pt>
                <c:pt idx="371">
                  <c:v>-122.24747173282702</c:v>
                </c:pt>
                <c:pt idx="372">
                  <c:v>-122.31840068200975</c:v>
                </c:pt>
                <c:pt idx="373">
                  <c:v>-122.39096748827389</c:v>
                </c:pt>
                <c:pt idx="374">
                  <c:v>-122.46356726482601</c:v>
                </c:pt>
                <c:pt idx="375">
                  <c:v>-122.53619402751039</c:v>
                </c:pt>
                <c:pt idx="376">
                  <c:v>-122.6088419733705</c:v>
                </c:pt>
                <c:pt idx="377">
                  <c:v>-122.68329629532593</c:v>
                </c:pt>
                <c:pt idx="378">
                  <c:v>-122.75776108464559</c:v>
                </c:pt>
                <c:pt idx="379">
                  <c:v>-122.8322306591989</c:v>
                </c:pt>
                <c:pt idx="380">
                  <c:v>-122.90669951581526</c:v>
                </c:pt>
                <c:pt idx="381">
                  <c:v>-122.9827645846883</c:v>
                </c:pt>
                <c:pt idx="382">
                  <c:v>-123.05881784597267</c:v>
                </c:pt>
                <c:pt idx="383">
                  <c:v>-123.13485398081878</c:v>
                </c:pt>
                <c:pt idx="384">
                  <c:v>-123.21086784473037</c:v>
                </c:pt>
                <c:pt idx="385">
                  <c:v>-123.28873726276626</c:v>
                </c:pt>
                <c:pt idx="386">
                  <c:v>-123.36657289393767</c:v>
                </c:pt>
                <c:pt idx="387">
                  <c:v>-123.44436974048327</c:v>
                </c:pt>
                <c:pt idx="388">
                  <c:v>-123.52212297641029</c:v>
                </c:pt>
                <c:pt idx="389">
                  <c:v>-123.60161258057288</c:v>
                </c:pt>
                <c:pt idx="390">
                  <c:v>-123.68104686037506</c:v>
                </c:pt>
                <c:pt idx="391">
                  <c:v>-123.76042117652646</c:v>
                </c:pt>
                <c:pt idx="392">
                  <c:v>-123.83973105744845</c:v>
                </c:pt>
                <c:pt idx="393">
                  <c:v>-123.9207510200774</c:v>
                </c:pt>
                <c:pt idx="394">
                  <c:v>-124.00169468252723</c:v>
                </c:pt>
                <c:pt idx="395">
                  <c:v>-124.08255777830148</c:v>
                </c:pt>
                <c:pt idx="396">
                  <c:v>-124.16333620399868</c:v>
                </c:pt>
                <c:pt idx="397">
                  <c:v>-124.24598382405348</c:v>
                </c:pt>
                <c:pt idx="398">
                  <c:v>-124.32853440252066</c:v>
                </c:pt>
                <c:pt idx="399">
                  <c:v>-124.41098403143269</c:v>
                </c:pt>
                <c:pt idx="400">
                  <c:v>-124.49332896218863</c:v>
                </c:pt>
                <c:pt idx="401">
                  <c:v>-124.57742068143494</c:v>
                </c:pt>
                <c:pt idx="402">
                  <c:v>-124.66139548428127</c:v>
                </c:pt>
                <c:pt idx="403">
                  <c:v>-124.74524984916656</c:v>
                </c:pt>
                <c:pt idx="404">
                  <c:v>-124.82898040881629</c:v>
                </c:pt>
                <c:pt idx="405">
                  <c:v>-124.91452024479923</c:v>
                </c:pt>
                <c:pt idx="406">
                  <c:v>-124.99992381226986</c:v>
                </c:pt>
                <c:pt idx="407">
                  <c:v>-125.08518797581745</c:v>
                </c:pt>
                <c:pt idx="408">
                  <c:v>-125.17030974932548</c:v>
                </c:pt>
                <c:pt idx="409">
                  <c:v>-125.25730120793648</c:v>
                </c:pt>
                <c:pt idx="410">
                  <c:v>-125.34413756394191</c:v>
                </c:pt>
                <c:pt idx="411">
                  <c:v>-125.43081606989936</c:v>
                </c:pt>
                <c:pt idx="412">
                  <c:v>-125.51733412266609</c:v>
                </c:pt>
                <c:pt idx="413">
                  <c:v>-125.60568921817118</c:v>
                </c:pt>
                <c:pt idx="414">
                  <c:v>-125.69387126417402</c:v>
                </c:pt>
                <c:pt idx="415">
                  <c:v>-125.78187791173669</c:v>
                </c:pt>
                <c:pt idx="416">
                  <c:v>-125.86970695057776</c:v>
                </c:pt>
                <c:pt idx="417">
                  <c:v>-125.95943025313927</c:v>
                </c:pt>
                <c:pt idx="418">
                  <c:v>-126.04896317162908</c:v>
                </c:pt>
                <c:pt idx="419">
                  <c:v>-126.13830375711697</c:v>
                </c:pt>
                <c:pt idx="420">
                  <c:v>-126.22745019361263</c:v>
                </c:pt>
                <c:pt idx="421">
                  <c:v>-126.31836729178148</c:v>
                </c:pt>
                <c:pt idx="422">
                  <c:v>-126.40907812088555</c:v>
                </c:pt>
                <c:pt idx="423">
                  <c:v>-126.49958114336307</c:v>
                </c:pt>
                <c:pt idx="424">
                  <c:v>-126.58987494774645</c:v>
                </c:pt>
                <c:pt idx="425">
                  <c:v>-126.6821721969241</c:v>
                </c:pt>
                <c:pt idx="426">
                  <c:v>-126.77424719197288</c:v>
                </c:pt>
                <c:pt idx="427">
                  <c:v>-126.86609879790785</c:v>
                </c:pt>
                <c:pt idx="428">
                  <c:v>-126.95772599985591</c:v>
                </c:pt>
                <c:pt idx="429">
                  <c:v>-127.05123248353745</c:v>
                </c:pt>
                <c:pt idx="430">
                  <c:v>-127.14450231402702</c:v>
                </c:pt>
                <c:pt idx="431">
                  <c:v>-127.23753476667544</c:v>
                </c:pt>
                <c:pt idx="432">
                  <c:v>-127.33032922984457</c:v>
                </c:pt>
                <c:pt idx="433">
                  <c:v>-127.42496821785608</c:v>
                </c:pt>
                <c:pt idx="434">
                  <c:v>-127.51935741900732</c:v>
                </c:pt>
                <c:pt idx="435">
                  <c:v>-127.61349651825444</c:v>
                </c:pt>
                <c:pt idx="436">
                  <c:v>-127.70738530591748</c:v>
                </c:pt>
                <c:pt idx="437">
                  <c:v>-127.80325623916707</c:v>
                </c:pt>
                <c:pt idx="438">
                  <c:v>-127.89886464120244</c:v>
                </c:pt>
                <c:pt idx="439">
                  <c:v>-127.9942106031064</c:v>
                </c:pt>
                <c:pt idx="440">
                  <c:v>-128.08929431388935</c:v>
                </c:pt>
                <c:pt idx="441">
                  <c:v>-128.18632402356607</c:v>
                </c:pt>
                <c:pt idx="442">
                  <c:v>-128.28307980579544</c:v>
                </c:pt>
                <c:pt idx="443">
                  <c:v>-128.37956215499744</c:v>
                </c:pt>
                <c:pt idx="444">
                  <c:v>-128.47577165550661</c:v>
                </c:pt>
                <c:pt idx="445">
                  <c:v>-128.57389193808112</c:v>
                </c:pt>
                <c:pt idx="446">
                  <c:v>-128.67172830260722</c:v>
                </c:pt>
                <c:pt idx="447">
                  <c:v>-128.76928164027927</c:v>
                </c:pt>
                <c:pt idx="448">
                  <c:v>-128.86655292369963</c:v>
                </c:pt>
                <c:pt idx="449">
                  <c:v>-128.96586686196952</c:v>
                </c:pt>
                <c:pt idx="450">
                  <c:v>-129.06488735780536</c:v>
                </c:pt>
                <c:pt idx="451">
                  <c:v>-129.16361569566439</c:v>
                </c:pt>
                <c:pt idx="452">
                  <c:v>-129.26205323297071</c:v>
                </c:pt>
                <c:pt idx="453">
                  <c:v>-129.36241563842742</c:v>
                </c:pt>
                <c:pt idx="454">
                  <c:v>-129.46247704237649</c:v>
                </c:pt>
                <c:pt idx="455">
                  <c:v>-129.56223910870909</c:v>
                </c:pt>
                <c:pt idx="456">
                  <c:v>-129.66170356515667</c:v>
                </c:pt>
                <c:pt idx="457">
                  <c:v>-129.76322205030112</c:v>
                </c:pt>
                <c:pt idx="458">
                  <c:v>-129.86443248615259</c:v>
                </c:pt>
                <c:pt idx="459">
                  <c:v>-129.96533691082274</c:v>
                </c:pt>
                <c:pt idx="460">
                  <c:v>-130.06593741716964</c:v>
                </c:pt>
                <c:pt idx="461">
                  <c:v>-130.16855765837897</c:v>
                </c:pt>
                <c:pt idx="462">
                  <c:v>-130.27086432071587</c:v>
                </c:pt>
                <c:pt idx="463">
                  <c:v>-130.37285980144034</c:v>
                </c:pt>
                <c:pt idx="464">
                  <c:v>-130.47454654310144</c:v>
                </c:pt>
                <c:pt idx="465">
                  <c:v>-130.57829948264785</c:v>
                </c:pt>
                <c:pt idx="466">
                  <c:v>-130.68173434909815</c:v>
                </c:pt>
                <c:pt idx="467">
                  <c:v>-130.78485388669404</c:v>
                </c:pt>
                <c:pt idx="468">
                  <c:v>-130.88766087535592</c:v>
                </c:pt>
                <c:pt idx="469">
                  <c:v>-130.99250178738524</c:v>
                </c:pt>
                <c:pt idx="470">
                  <c:v>-131.09702165610221</c:v>
                </c:pt>
                <c:pt idx="471">
                  <c:v>-131.20122355241008</c:v>
                </c:pt>
                <c:pt idx="472">
                  <c:v>-131.30511057305685</c:v>
                </c:pt>
                <c:pt idx="473">
                  <c:v>-131.41115549130382</c:v>
                </c:pt>
                <c:pt idx="474">
                  <c:v>-131.51687695611523</c:v>
                </c:pt>
                <c:pt idx="475">
                  <c:v>-131.62227835657094</c:v>
                </c:pt>
                <c:pt idx="476">
                  <c:v>-131.72736309773578</c:v>
                </c:pt>
                <c:pt idx="477">
                  <c:v>-131.83457453743694</c:v>
                </c:pt>
                <c:pt idx="478">
                  <c:v>-131.94146162835713</c:v>
                </c:pt>
                <c:pt idx="479">
                  <c:v>-132.04802805363403</c:v>
                </c:pt>
                <c:pt idx="480">
                  <c:v>-132.15427750239638</c:v>
                </c:pt>
                <c:pt idx="481">
                  <c:v>-132.26262454413853</c:v>
                </c:pt>
                <c:pt idx="482">
                  <c:v>-132.37064781025688</c:v>
                </c:pt>
                <c:pt idx="483">
                  <c:v>-132.47835125104314</c:v>
                </c:pt>
                <c:pt idx="484">
                  <c:v>-132.58573881277232</c:v>
                </c:pt>
                <c:pt idx="485">
                  <c:v>-132.69527145140907</c:v>
                </c:pt>
                <c:pt idx="486">
                  <c:v>-132.80448185761844</c:v>
                </c:pt>
                <c:pt idx="487">
                  <c:v>-132.91337422817728</c:v>
                </c:pt>
                <c:pt idx="488">
                  <c:v>-133.02195274589957</c:v>
                </c:pt>
                <c:pt idx="489">
                  <c:v>-133.13279741870903</c:v>
                </c:pt>
                <c:pt idx="490">
                  <c:v>-133.24332192468671</c:v>
                </c:pt>
                <c:pt idx="491">
                  <c:v>-133.35353069403854</c:v>
                </c:pt>
                <c:pt idx="492">
                  <c:v>-133.46342813308618</c:v>
                </c:pt>
                <c:pt idx="493">
                  <c:v>-133.57556531334731</c:v>
                </c:pt>
                <c:pt idx="494">
                  <c:v>-133.68738575511645</c:v>
                </c:pt>
                <c:pt idx="495">
                  <c:v>-133.79889409024639</c:v>
                </c:pt>
                <c:pt idx="496">
                  <c:v>-133.91009491695078</c:v>
                </c:pt>
                <c:pt idx="497">
                  <c:v>-134.02358331121442</c:v>
                </c:pt>
                <c:pt idx="498">
                  <c:v>-134.13675927216906</c:v>
                </c:pt>
                <c:pt idx="499">
                  <c:v>-134.24962760894894</c:v>
                </c:pt>
                <c:pt idx="500">
                  <c:v>-134.3621930874682</c:v>
                </c:pt>
                <c:pt idx="501">
                  <c:v>-134.47709427443709</c:v>
                </c:pt>
                <c:pt idx="502">
                  <c:v>-134.59168816446575</c:v>
                </c:pt>
                <c:pt idx="503">
                  <c:v>-134.70597971847815</c:v>
                </c:pt>
                <c:pt idx="504">
                  <c:v>-134.81997384481724</c:v>
                </c:pt>
                <c:pt idx="505">
                  <c:v>-134.93628177666534</c:v>
                </c:pt>
                <c:pt idx="506">
                  <c:v>-135.052288688114</c:v>
                </c:pt>
                <c:pt idx="507">
                  <c:v>-135.16799965615763</c:v>
                </c:pt>
                <c:pt idx="508">
                  <c:v>-135.28341969627039</c:v>
                </c:pt>
                <c:pt idx="509">
                  <c:v>-135.40120361008806</c:v>
                </c:pt>
                <c:pt idx="510">
                  <c:v>-135.51869345234073</c:v>
                </c:pt>
                <c:pt idx="511">
                  <c:v>-135.63589438890384</c:v>
                </c:pt>
                <c:pt idx="512">
                  <c:v>-135.75281151555242</c:v>
                </c:pt>
                <c:pt idx="513">
                  <c:v>-135.87221209487967</c:v>
                </c:pt>
                <c:pt idx="514">
                  <c:v>-135.9913258263332</c:v>
                </c:pt>
                <c:pt idx="515">
                  <c:v>-136.11015794592183</c:v>
                </c:pt>
                <c:pt idx="516">
                  <c:v>-136.22871361119903</c:v>
                </c:pt>
                <c:pt idx="517">
                  <c:v>-136.34973437339701</c:v>
                </c:pt>
                <c:pt idx="518">
                  <c:v>-136.47047639818902</c:v>
                </c:pt>
                <c:pt idx="519">
                  <c:v>-136.59094495414001</c:v>
                </c:pt>
                <c:pt idx="520">
                  <c:v>-136.71114522362907</c:v>
                </c:pt>
                <c:pt idx="521">
                  <c:v>-136.83386213934429</c:v>
                </c:pt>
                <c:pt idx="522">
                  <c:v>-136.95630887555316</c:v>
                </c:pt>
                <c:pt idx="523">
                  <c:v>-137.0784907048367</c:v>
                </c:pt>
                <c:pt idx="524">
                  <c:v>-137.20041280636613</c:v>
                </c:pt>
                <c:pt idx="525">
                  <c:v>-137.32490362602869</c:v>
                </c:pt>
                <c:pt idx="526">
                  <c:v>-137.4491331843887</c:v>
                </c:pt>
                <c:pt idx="527">
                  <c:v>-137.57310672942864</c:v>
                </c:pt>
                <c:pt idx="528">
                  <c:v>-137.6968294090529</c:v>
                </c:pt>
                <c:pt idx="529">
                  <c:v>-137.82317339127371</c:v>
                </c:pt>
                <c:pt idx="530">
                  <c:v>-137.94926529828771</c:v>
                </c:pt>
                <c:pt idx="531">
                  <c:v>-138.07511032499059</c:v>
                </c:pt>
                <c:pt idx="532">
                  <c:v>-138.20071356013011</c:v>
                </c:pt>
                <c:pt idx="533">
                  <c:v>-138.32905733048813</c:v>
                </c:pt>
                <c:pt idx="534">
                  <c:v>-138.45715813452156</c:v>
                </c:pt>
                <c:pt idx="535">
                  <c:v>-138.5850210937223</c:v>
                </c:pt>
                <c:pt idx="536">
                  <c:v>-138.71265121777782</c:v>
                </c:pt>
                <c:pt idx="537">
                  <c:v>-138.84294331346737</c:v>
                </c:pt>
                <c:pt idx="538">
                  <c:v>-138.97300212769395</c:v>
                </c:pt>
                <c:pt idx="539">
                  <c:v>-139.10283266503129</c:v>
                </c:pt>
                <c:pt idx="540">
                  <c:v>-139.23243981373486</c:v>
                </c:pt>
                <c:pt idx="541">
                  <c:v>-139.36489397692668</c:v>
                </c:pt>
                <c:pt idx="542">
                  <c:v>-139.49712403180894</c:v>
                </c:pt>
                <c:pt idx="543">
                  <c:v>-139.62913485439066</c:v>
                </c:pt>
                <c:pt idx="544">
                  <c:v>-139.76093120009492</c:v>
                </c:pt>
                <c:pt idx="545">
                  <c:v>-139.89556334091859</c:v>
                </c:pt>
                <c:pt idx="546">
                  <c:v>-140.02998064677902</c:v>
                </c:pt>
                <c:pt idx="547">
                  <c:v>-140.16418783152122</c:v>
                </c:pt>
                <c:pt idx="548">
                  <c:v>-140.29818948511851</c:v>
                </c:pt>
                <c:pt idx="549">
                  <c:v>-140.43508138780285</c:v>
                </c:pt>
                <c:pt idx="550">
                  <c:v>-140.57176747763299</c:v>
                </c:pt>
                <c:pt idx="551">
                  <c:v>-140.70825228162633</c:v>
                </c:pt>
                <c:pt idx="552">
                  <c:v>-140.84454020041102</c:v>
                </c:pt>
                <c:pt idx="553">
                  <c:v>-140.98383697439814</c:v>
                </c:pt>
                <c:pt idx="554">
                  <c:v>-141.12293641809003</c:v>
                </c:pt>
                <c:pt idx="555">
                  <c:v>-141.26184285429983</c:v>
                </c:pt>
                <c:pt idx="556">
                  <c:v>-141.40056047748413</c:v>
                </c:pt>
                <c:pt idx="557">
                  <c:v>-141.68393228042598</c:v>
                </c:pt>
                <c:pt idx="558">
                  <c:v>-141.96656319242456</c:v>
                </c:pt>
                <c:pt idx="559">
                  <c:v>-142.2549383732165</c:v>
                </c:pt>
                <c:pt idx="560">
                  <c:v>-142.54260225856868</c:v>
                </c:pt>
                <c:pt idx="561">
                  <c:v>-142.83638487982412</c:v>
                </c:pt>
                <c:pt idx="562">
                  <c:v>-143.12948183817775</c:v>
                </c:pt>
                <c:pt idx="563">
                  <c:v>-143.42818872240642</c:v>
                </c:pt>
                <c:pt idx="564">
                  <c:v>-143.72623526075327</c:v>
                </c:pt>
                <c:pt idx="565">
                  <c:v>-144.03113593652151</c:v>
                </c:pt>
                <c:pt idx="566">
                  <c:v>-144.33539309668248</c:v>
                </c:pt>
                <c:pt idx="567">
                  <c:v>-144.64648809001918</c:v>
                </c:pt>
                <c:pt idx="568">
                  <c:v>-144.95695332479909</c:v>
                </c:pt>
                <c:pt idx="569">
                  <c:v>-145.27299998796713</c:v>
                </c:pt>
                <c:pt idx="570">
                  <c:v>-145.58843181077609</c:v>
                </c:pt>
                <c:pt idx="571">
                  <c:v>-145.91190051654894</c:v>
                </c:pt>
                <c:pt idx="572">
                  <c:v>-146.23475559260308</c:v>
                </c:pt>
                <c:pt idx="573">
                  <c:v>-146.56315635413361</c:v>
                </c:pt>
                <c:pt idx="574">
                  <c:v>-146.89094964541485</c:v>
                </c:pt>
                <c:pt idx="575">
                  <c:v>-147.22671813643186</c:v>
                </c:pt>
                <c:pt idx="576">
                  <c:v>-147.56187141599375</c:v>
                </c:pt>
                <c:pt idx="577">
                  <c:v>-148.97415062293251</c:v>
                </c:pt>
                <c:pt idx="578">
                  <c:v>-150.37600468145405</c:v>
                </c:pt>
                <c:pt idx="579">
                  <c:v>-153.41161380214714</c:v>
                </c:pt>
                <c:pt idx="580">
                  <c:v>-156.68254935728859</c:v>
                </c:pt>
                <c:pt idx="581">
                  <c:v>-160.18640277120664</c:v>
                </c:pt>
                <c:pt idx="582">
                  <c:v>-163.92014908370248</c:v>
                </c:pt>
                <c:pt idx="583">
                  <c:v>-167.86815387909425</c:v>
                </c:pt>
                <c:pt idx="584">
                  <c:v>-172.01309607653934</c:v>
                </c:pt>
                <c:pt idx="585">
                  <c:v>-176.32551294214201</c:v>
                </c:pt>
                <c:pt idx="586">
                  <c:v>-180.77296529776302</c:v>
                </c:pt>
                <c:pt idx="587">
                  <c:v>-185.32031327417531</c:v>
                </c:pt>
                <c:pt idx="588">
                  <c:v>-189.92262382130306</c:v>
                </c:pt>
                <c:pt idx="589">
                  <c:v>-194.54167636871369</c:v>
                </c:pt>
                <c:pt idx="590">
                  <c:v>-199.13423777354302</c:v>
                </c:pt>
                <c:pt idx="591">
                  <c:v>-203.66124039276394</c:v>
                </c:pt>
                <c:pt idx="592">
                  <c:v>-208.08602789855487</c:v>
                </c:pt>
                <c:pt idx="593">
                  <c:v>-212.37832510428953</c:v>
                </c:pt>
                <c:pt idx="594">
                  <c:v>-216.51059846594882</c:v>
                </c:pt>
                <c:pt idx="595">
                  <c:v>-220.46282402093408</c:v>
                </c:pt>
                <c:pt idx="596">
                  <c:v>-224.21887204189534</c:v>
                </c:pt>
                <c:pt idx="597">
                  <c:v>-227.76945399925356</c:v>
                </c:pt>
                <c:pt idx="598">
                  <c:v>-231.1083588411818</c:v>
                </c:pt>
                <c:pt idx="599">
                  <c:v>-234.23522637513722</c:v>
                </c:pt>
                <c:pt idx="600">
                  <c:v>-237.15177461285435</c:v>
                </c:pt>
              </c:numCache>
            </c:numRef>
          </c:yVal>
          <c:smooth val="0"/>
          <c:extLst>
            <c:ext xmlns:c16="http://schemas.microsoft.com/office/drawing/2014/chart" uri="{C3380CC4-5D6E-409C-BE32-E72D297353CC}">
              <c16:uniqueId val="{0000000D-FCA5-4213-A322-27E8A856FDBF}"/>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FCA5-4213-A322-27E8A856FDBF}"/>
              </c:ext>
            </c:extLst>
          </c:dPt>
          <c:xVal>
            <c:numRef>
              <c:f>'Stability Calculations'!$A$617:$A$618</c:f>
              <c:numCache>
                <c:formatCode>General</c:formatCode>
                <c:ptCount val="2"/>
                <c:pt idx="0">
                  <c:v>15136</c:v>
                </c:pt>
                <c:pt idx="1">
                  <c:v>15136</c:v>
                </c:pt>
              </c:numCache>
            </c:numRef>
          </c:xVal>
          <c:yVal>
            <c:numRef>
              <c:f>'Stability Calculations'!$R$617:$R$618</c:f>
              <c:numCache>
                <c:formatCode>0.00</c:formatCode>
                <c:ptCount val="2"/>
                <c:pt idx="0">
                  <c:v>-117.76542522736472</c:v>
                </c:pt>
                <c:pt idx="1">
                  <c:v>-90</c:v>
                </c:pt>
              </c:numCache>
            </c:numRef>
          </c:yVal>
          <c:smooth val="0"/>
          <c:extLst>
            <c:ext xmlns:c16="http://schemas.microsoft.com/office/drawing/2014/chart" uri="{C3380CC4-5D6E-409C-BE32-E72D297353CC}">
              <c16:uniqueId val="{0000000F-FCA5-4213-A322-27E8A856FDBF}"/>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15136</c:v>
                </c:pt>
                <c:pt idx="1">
                  <c:v>1000000</c:v>
                </c:pt>
              </c:numCache>
            </c:numRef>
          </c:xVal>
          <c:yVal>
            <c:numRef>
              <c:f>'Stability Calculations'!$R$619:$R$620</c:f>
              <c:numCache>
                <c:formatCode>0.00</c:formatCode>
                <c:ptCount val="2"/>
                <c:pt idx="0">
                  <c:v>-117.76542522736472</c:v>
                </c:pt>
                <c:pt idx="1">
                  <c:v>-117.76542522736472</c:v>
                </c:pt>
              </c:numCache>
            </c:numRef>
          </c:yVal>
          <c:smooth val="0"/>
          <c:extLst>
            <c:ext xmlns:c16="http://schemas.microsoft.com/office/drawing/2014/chart" uri="{C3380CC4-5D6E-409C-BE32-E72D297353CC}">
              <c16:uniqueId val="{00000010-FCA5-4213-A322-27E8A856FDBF}"/>
            </c:ext>
          </c:extLst>
        </c:ser>
        <c:dLbls>
          <c:showLegendKey val="0"/>
          <c:showVal val="0"/>
          <c:showCatName val="0"/>
          <c:showSerName val="0"/>
          <c:showPercent val="0"/>
          <c:showBubbleSize val="0"/>
        </c:dLbls>
        <c:axId val="150008192"/>
        <c:axId val="150009728"/>
      </c:scatterChart>
      <c:valAx>
        <c:axId val="139993088"/>
        <c:scaling>
          <c:logBase val="10"/>
          <c:orientation val="minMax"/>
          <c:max val="1000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39995392"/>
        <c:crossesAt val="-80"/>
        <c:crossBetween val="midCat"/>
      </c:valAx>
      <c:valAx>
        <c:axId val="139995392"/>
        <c:scaling>
          <c:orientation val="minMax"/>
          <c:max val="80"/>
          <c:min val="-8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39993088"/>
        <c:crossesAt val="1.0000000000000005E-2"/>
        <c:crossBetween val="midCat"/>
        <c:majorUnit val="20"/>
      </c:valAx>
      <c:valAx>
        <c:axId val="150008192"/>
        <c:scaling>
          <c:logBase val="10"/>
          <c:orientation val="minMax"/>
        </c:scaling>
        <c:delete val="1"/>
        <c:axPos val="b"/>
        <c:numFmt formatCode="General" sourceLinked="1"/>
        <c:majorTickMark val="out"/>
        <c:minorTickMark val="none"/>
        <c:tickLblPos val="none"/>
        <c:crossAx val="150009728"/>
        <c:crosses val="autoZero"/>
        <c:crossBetween val="midCat"/>
      </c:valAx>
      <c:valAx>
        <c:axId val="150009728"/>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5000819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cat>
          <c:val>
            <c:numRef>
              <c:f>'Efficiency vs Load Calculations'!$BH$9:$BH$109</c:f>
              <c:numCache>
                <c:formatCode>0.00</c:formatCode>
                <c:ptCount val="101"/>
                <c:pt idx="0">
                  <c:v>0</c:v>
                </c:pt>
                <c:pt idx="1">
                  <c:v>58.205995062865469</c:v>
                </c:pt>
                <c:pt idx="2">
                  <c:v>73.443391247288844</c:v>
                </c:pt>
                <c:pt idx="3">
                  <c:v>80.461183898538124</c:v>
                </c:pt>
                <c:pt idx="4">
                  <c:v>84.495204992980717</c:v>
                </c:pt>
                <c:pt idx="5">
                  <c:v>87.113213378019466</c:v>
                </c:pt>
                <c:pt idx="6">
                  <c:v>88.948335321454735</c:v>
                </c:pt>
                <c:pt idx="7">
                  <c:v>90.305210968449657</c:v>
                </c:pt>
                <c:pt idx="8">
                  <c:v>91.34857080676052</c:v>
                </c:pt>
                <c:pt idx="9">
                  <c:v>92.175282544537865</c:v>
                </c:pt>
                <c:pt idx="10">
                  <c:v>92.846034184641042</c:v>
                </c:pt>
                <c:pt idx="11">
                  <c:v>93.400782726067959</c:v>
                </c:pt>
                <c:pt idx="12">
                  <c:v>93.866909794477749</c:v>
                </c:pt>
                <c:pt idx="13">
                  <c:v>94.26380797179182</c:v>
                </c:pt>
                <c:pt idx="14">
                  <c:v>94.605596379635386</c:v>
                </c:pt>
                <c:pt idx="15">
                  <c:v>94.90279909614226</c:v>
                </c:pt>
                <c:pt idx="16">
                  <c:v>95.163420896168788</c:v>
                </c:pt>
                <c:pt idx="17">
                  <c:v>95.393658532029519</c:v>
                </c:pt>
                <c:pt idx="18">
                  <c:v>95.598383913239175</c:v>
                </c:pt>
                <c:pt idx="19">
                  <c:v>95.781480196788635</c:v>
                </c:pt>
                <c:pt idx="20">
                  <c:v>95.946080505232203</c:v>
                </c:pt>
                <c:pt idx="21">
                  <c:v>96.094740669041485</c:v>
                </c:pt>
                <c:pt idx="22">
                  <c:v>96.229566329541456</c:v>
                </c:pt>
                <c:pt idx="23">
                  <c:v>96.352307876952352</c:v>
                </c:pt>
                <c:pt idx="24">
                  <c:v>96.464432335542767</c:v>
                </c:pt>
                <c:pt idx="25">
                  <c:v>96.567178472540391</c:v>
                </c:pt>
                <c:pt idx="26">
                  <c:v>96.661599527480377</c:v>
                </c:pt>
                <c:pt idx="27">
                  <c:v>96.748596689314112</c:v>
                </c:pt>
                <c:pt idx="28">
                  <c:v>96.828945577165257</c:v>
                </c:pt>
                <c:pt idx="29">
                  <c:v>96.903317373171106</c:v>
                </c:pt>
                <c:pt idx="30">
                  <c:v>96.972295826420833</c:v>
                </c:pt>
                <c:pt idx="31">
                  <c:v>97.036391039459389</c:v>
                </c:pt>
                <c:pt idx="32">
                  <c:v>97.096050725901378</c:v>
                </c:pt>
                <c:pt idx="33">
                  <c:v>97.151669464293974</c:v>
                </c:pt>
                <c:pt idx="34">
                  <c:v>97.203596352331502</c:v>
                </c:pt>
                <c:pt idx="35">
                  <c:v>97.251982969450552</c:v>
                </c:pt>
                <c:pt idx="36">
                  <c:v>97.293482157606718</c:v>
                </c:pt>
                <c:pt idx="37">
                  <c:v>97.332327980955441</c:v>
                </c:pt>
                <c:pt idx="38">
                  <c:v>97.368726128866712</c:v>
                </c:pt>
                <c:pt idx="39">
                  <c:v>97.402861535794997</c:v>
                </c:pt>
                <c:pt idx="40">
                  <c:v>97.434900933730432</c:v>
                </c:pt>
                <c:pt idx="41">
                  <c:v>97.464995037007853</c:v>
                </c:pt>
                <c:pt idx="42">
                  <c:v>97.493280419803739</c:v>
                </c:pt>
                <c:pt idx="43">
                  <c:v>97.519881135596876</c:v>
                </c:pt>
                <c:pt idx="44">
                  <c:v>97.544910119039741</c:v>
                </c:pt>
                <c:pt idx="45">
                  <c:v>97.568470403601509</c:v>
                </c:pt>
                <c:pt idx="46">
                  <c:v>97.590656182622752</c:v>
                </c:pt>
                <c:pt idx="47">
                  <c:v>97.611553736782014</c:v>
                </c:pt>
                <c:pt idx="48">
                  <c:v>97.631242247193313</c:v>
                </c:pt>
                <c:pt idx="49">
                  <c:v>97.64979451025664</c:v>
                </c:pt>
                <c:pt idx="50">
                  <c:v>97.6672775678379</c:v>
                </c:pt>
                <c:pt idx="51">
                  <c:v>97.683753264252104</c:v>
                </c:pt>
                <c:pt idx="52">
                  <c:v>97.699278739780084</c:v>
                </c:pt>
                <c:pt idx="53">
                  <c:v>97.713906868998862</c:v>
                </c:pt>
                <c:pt idx="54">
                  <c:v>97.727686650993334</c:v>
                </c:pt>
                <c:pt idx="55">
                  <c:v>97.74066355750098</c:v>
                </c:pt>
                <c:pt idx="56">
                  <c:v>97.752879844187675</c:v>
                </c:pt>
                <c:pt idx="57">
                  <c:v>97.764374829530126</c:v>
                </c:pt>
                <c:pt idx="58">
                  <c:v>97.775185145170937</c:v>
                </c:pt>
                <c:pt idx="59">
                  <c:v>97.785344961094069</c:v>
                </c:pt>
                <c:pt idx="60">
                  <c:v>97.794886188525638</c:v>
                </c:pt>
                <c:pt idx="61">
                  <c:v>97.803838663089962</c:v>
                </c:pt>
                <c:pt idx="62">
                  <c:v>97.812230310425718</c:v>
                </c:pt>
                <c:pt idx="63">
                  <c:v>97.820087296191971</c:v>
                </c:pt>
                <c:pt idx="64">
                  <c:v>97.827434162153281</c:v>
                </c:pt>
                <c:pt idx="65">
                  <c:v>97.834293949828492</c:v>
                </c:pt>
                <c:pt idx="66">
                  <c:v>97.840688313009181</c:v>
                </c:pt>
                <c:pt idx="67">
                  <c:v>97.846637620299219</c:v>
                </c:pt>
                <c:pt idx="68">
                  <c:v>97.852161048692906</c:v>
                </c:pt>
                <c:pt idx="69">
                  <c:v>97.857276669092386</c:v>
                </c:pt>
                <c:pt idx="70">
                  <c:v>97.862001524562615</c:v>
                </c:pt>
                <c:pt idx="71">
                  <c:v>97.866351702033668</c:v>
                </c:pt>
                <c:pt idx="72">
                  <c:v>97.870342398081405</c:v>
                </c:pt>
                <c:pt idx="73">
                  <c:v>97.873987979349536</c:v>
                </c:pt>
                <c:pt idx="74">
                  <c:v>97.877302038115204</c:v>
                </c:pt>
                <c:pt idx="75">
                  <c:v>97.880297443447802</c:v>
                </c:pt>
                <c:pt idx="76">
                  <c:v>97.882986388362909</c:v>
                </c:pt>
                <c:pt idx="77">
                  <c:v>97.885380433333069</c:v>
                </c:pt>
                <c:pt idx="78">
                  <c:v>97.887490546478844</c:v>
                </c:pt>
                <c:pt idx="79">
                  <c:v>97.889327140732433</c:v>
                </c:pt>
                <c:pt idx="80">
                  <c:v>97.890900108236409</c:v>
                </c:pt>
                <c:pt idx="81">
                  <c:v>97.892218852214498</c:v>
                </c:pt>
                <c:pt idx="82">
                  <c:v>97.893292316528658</c:v>
                </c:pt>
                <c:pt idx="83">
                  <c:v>97.894129013115943</c:v>
                </c:pt>
                <c:pt idx="84">
                  <c:v>97.894737047480476</c:v>
                </c:pt>
                <c:pt idx="85">
                  <c:v>97.895124142399524</c:v>
                </c:pt>
                <c:pt idx="86">
                  <c:v>97.895297659987889</c:v>
                </c:pt>
                <c:pt idx="87">
                  <c:v>97.895264622251645</c:v>
                </c:pt>
                <c:pt idx="88">
                  <c:v>97.895031730250764</c:v>
                </c:pt>
                <c:pt idx="89">
                  <c:v>97.894605381978778</c:v>
                </c:pt>
                <c:pt idx="90">
                  <c:v>97.89399168905905</c:v>
                </c:pt>
                <c:pt idx="91">
                  <c:v>97.893196492347684</c:v>
                </c:pt>
                <c:pt idx="92">
                  <c:v>97.892225376525616</c:v>
                </c:pt>
                <c:pt idx="93">
                  <c:v>97.891083683756065</c:v>
                </c:pt>
                <c:pt idx="94">
                  <c:v>97.88977652647533</c:v>
                </c:pt>
                <c:pt idx="95">
                  <c:v>97.888308799381591</c:v>
                </c:pt>
                <c:pt idx="96">
                  <c:v>97.886685190678861</c:v>
                </c:pt>
                <c:pt idx="97">
                  <c:v>97.884910192629974</c:v>
                </c:pt>
                <c:pt idx="98">
                  <c:v>97.882988111467427</c:v>
                </c:pt>
                <c:pt idx="99">
                  <c:v>97.880923076707262</c:v>
                </c:pt>
                <c:pt idx="100">
                  <c:v>97.878719049907446</c:v>
                </c:pt>
              </c:numCache>
            </c:numRef>
          </c:val>
          <c:smooth val="0"/>
          <c:extLst>
            <c:ext xmlns:c16="http://schemas.microsoft.com/office/drawing/2014/chart" uri="{C3380CC4-5D6E-409C-BE32-E72D297353CC}">
              <c16:uniqueId val="{00000000-DA24-4888-8D26-B2EC54B3C661}"/>
            </c:ext>
          </c:extLst>
        </c:ser>
        <c:dLbls>
          <c:showLegendKey val="0"/>
          <c:showVal val="0"/>
          <c:showCatName val="0"/>
          <c:showSerName val="0"/>
          <c:showPercent val="0"/>
          <c:showBubbleSize val="0"/>
        </c:dLbls>
        <c:marker val="1"/>
        <c:smooth val="0"/>
        <c:axId val="139997184"/>
        <c:axId val="139999104"/>
      </c:lineChart>
      <c:lineChart>
        <c:grouping val="standard"/>
        <c:varyColors val="0"/>
        <c:ser>
          <c:idx val="2"/>
          <c:order val="1"/>
          <c:tx>
            <c:strRef>
              <c:f>'Efficiency vs Load Calculations'!$BK$8</c:f>
              <c:strCache>
                <c:ptCount val="1"/>
                <c:pt idx="0">
                  <c:v>Buck ''Control'' MOSFET Loss</c:v>
                </c:pt>
              </c:strCache>
            </c:strRef>
          </c:tx>
          <c:spPr>
            <a:ln w="38100">
              <a:solidFill>
                <a:srgbClr val="808000"/>
              </a:solidFill>
              <a:prstDash val="sysDash"/>
            </a:ln>
          </c:spPr>
          <c:marker>
            <c:symbol val="none"/>
          </c:marker>
          <c:cat>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cat>
          <c:val>
            <c:numRef>
              <c:f>'Efficiency vs Load Calculations'!$BK$9:$BK$109</c:f>
              <c:numCache>
                <c:formatCode>0.000</c:formatCode>
                <c:ptCount val="101"/>
                <c:pt idx="0">
                  <c:v>2.4128826667913626E-2</c:v>
                </c:pt>
                <c:pt idx="1">
                  <c:v>2.6240650449819995E-2</c:v>
                </c:pt>
                <c:pt idx="2">
                  <c:v>2.8378493941086633E-2</c:v>
                </c:pt>
                <c:pt idx="3">
                  <c:v>3.05423692166348E-2</c:v>
                </c:pt>
                <c:pt idx="4">
                  <c:v>3.2732289165965198E-2</c:v>
                </c:pt>
                <c:pt idx="5">
                  <c:v>3.4948267494177676E-2</c:v>
                </c:pt>
                <c:pt idx="6">
                  <c:v>3.7190318723054727E-2</c:v>
                </c:pt>
                <c:pt idx="7">
                  <c:v>3.9458458192209077E-2</c:v>
                </c:pt>
                <c:pt idx="8">
                  <c:v>4.1752702060295535E-2</c:v>
                </c:pt>
                <c:pt idx="9">
                  <c:v>4.4073067306287114E-2</c:v>
                </c:pt>
                <c:pt idx="10">
                  <c:v>4.6419571730815845E-2</c:v>
                </c:pt>
                <c:pt idx="11">
                  <c:v>4.879223395757834E-2</c:v>
                </c:pt>
                <c:pt idx="12">
                  <c:v>5.119107343480634E-2</c:v>
                </c:pt>
                <c:pt idx="13">
                  <c:v>5.3616110436802422E-2</c:v>
                </c:pt>
                <c:pt idx="14">
                  <c:v>5.6067366065541149E-2</c:v>
                </c:pt>
                <c:pt idx="15">
                  <c:v>5.8544862252335933E-2</c:v>
                </c:pt>
                <c:pt idx="16">
                  <c:v>6.1048621759571771E-2</c:v>
                </c:pt>
                <c:pt idx="17">
                  <c:v>6.35786681825041E-2</c:v>
                </c:pt>
                <c:pt idx="18">
                  <c:v>6.613502595112411E-2</c:v>
                </c:pt>
                <c:pt idx="19">
                  <c:v>6.8717720332090809E-2</c:v>
                </c:pt>
                <c:pt idx="20">
                  <c:v>7.132677743072996E-2</c:v>
                </c:pt>
                <c:pt idx="21">
                  <c:v>7.3962224193100445E-2</c:v>
                </c:pt>
                <c:pt idx="22">
                  <c:v>7.662408840812801E-2</c:v>
                </c:pt>
                <c:pt idx="23">
                  <c:v>7.9312398709807178E-2</c:v>
                </c:pt>
                <c:pt idx="24">
                  <c:v>8.2027184579471113E-2</c:v>
                </c:pt>
                <c:pt idx="25">
                  <c:v>8.4768476348130284E-2</c:v>
                </c:pt>
                <c:pt idx="26">
                  <c:v>8.753630519887988E-2</c:v>
                </c:pt>
                <c:pt idx="27">
                  <c:v>9.0330703169376511E-2</c:v>
                </c:pt>
                <c:pt idx="28">
                  <c:v>9.3151703154384646E-2</c:v>
                </c:pt>
                <c:pt idx="29">
                  <c:v>9.5999338908392906E-2</c:v>
                </c:pt>
                <c:pt idx="30">
                  <c:v>9.8873645048301068E-2</c:v>
                </c:pt>
                <c:pt idx="31">
                  <c:v>0.10177465705617719</c:v>
                </c:pt>
                <c:pt idx="32">
                  <c:v>0.10470241128208696</c:v>
                </c:pt>
                <c:pt idx="33">
                  <c:v>0.10765694494699374</c:v>
                </c:pt>
                <c:pt idx="34">
                  <c:v>0.1106382961457312</c:v>
                </c:pt>
                <c:pt idx="35">
                  <c:v>0.11366762569984723</c:v>
                </c:pt>
                <c:pt idx="36">
                  <c:v>0.11724324758482443</c:v>
                </c:pt>
                <c:pt idx="37">
                  <c:v>0.12084601336070527</c:v>
                </c:pt>
                <c:pt idx="38">
                  <c:v>0.1244759732859195</c:v>
                </c:pt>
                <c:pt idx="39">
                  <c:v>0.12813317852467071</c:v>
                </c:pt>
                <c:pt idx="40">
                  <c:v>0.13181768115082335</c:v>
                </c:pt>
                <c:pt idx="41">
                  <c:v>0.13552953415186719</c:v>
                </c:pt>
                <c:pt idx="42">
                  <c:v>0.13926879143296039</c:v>
                </c:pt>
                <c:pt idx="43">
                  <c:v>0.14303550782105043</c:v>
                </c:pt>
                <c:pt idx="44">
                  <c:v>0.14682973906907498</c:v>
                </c:pt>
                <c:pt idx="45">
                  <c:v>0.15065154186024227</c:v>
                </c:pt>
                <c:pt idx="46">
                  <c:v>0.15450097381239225</c:v>
                </c:pt>
                <c:pt idx="47">
                  <c:v>0.15837809348243867</c:v>
                </c:pt>
                <c:pt idx="48">
                  <c:v>0.16228296037089324</c:v>
                </c:pt>
                <c:pt idx="49">
                  <c:v>0.16621563492647212</c:v>
                </c:pt>
                <c:pt idx="50">
                  <c:v>0.17017617855078562</c:v>
                </c:pt>
                <c:pt idx="51">
                  <c:v>0.17416465360311206</c:v>
                </c:pt>
                <c:pt idx="52">
                  <c:v>0.17818112340525596</c:v>
                </c:pt>
                <c:pt idx="53">
                  <c:v>0.18222565224649162</c:v>
                </c:pt>
                <c:pt idx="54">
                  <c:v>0.18629830538859282</c:v>
                </c:pt>
                <c:pt idx="55">
                  <c:v>0.19039914907094965</c:v>
                </c:pt>
                <c:pt idx="56">
                  <c:v>0.19452825051577272</c:v>
                </c:pt>
                <c:pt idx="57">
                  <c:v>0.19868567793338546</c:v>
                </c:pt>
                <c:pt idx="58">
                  <c:v>0.20287150052760658</c:v>
                </c:pt>
                <c:pt idx="59">
                  <c:v>0.2070857885012215</c:v>
                </c:pt>
                <c:pt idx="60">
                  <c:v>0.21132861306154552</c:v>
                </c:pt>
                <c:pt idx="61">
                  <c:v>0.21560004642607827</c:v>
                </c:pt>
                <c:pt idx="62">
                  <c:v>0.21990016182825101</c:v>
                </c:pt>
                <c:pt idx="63">
                  <c:v>0.22422903352326706</c:v>
                </c:pt>
                <c:pt idx="64">
                  <c:v>0.22858673679403735</c:v>
                </c:pt>
                <c:pt idx="65">
                  <c:v>0.23297334795721031</c:v>
                </c:pt>
                <c:pt idx="66">
                  <c:v>0.23738894436929892</c:v>
                </c:pt>
                <c:pt idx="67">
                  <c:v>0.24183360443290422</c:v>
                </c:pt>
                <c:pt idx="68">
                  <c:v>0.24630740760303788</c:v>
                </c:pt>
                <c:pt idx="69">
                  <c:v>0.25081043439354272</c:v>
                </c:pt>
                <c:pt idx="70">
                  <c:v>0.25534276638361458</c:v>
                </c:pt>
                <c:pt idx="71">
                  <c:v>0.25990448622442452</c:v>
                </c:pt>
                <c:pt idx="72">
                  <c:v>0.26449567764584425</c:v>
                </c:pt>
                <c:pt idx="73">
                  <c:v>0.26911642546327313</c:v>
                </c:pt>
                <c:pt idx="74">
                  <c:v>0.27376681558457155</c:v>
                </c:pt>
                <c:pt idx="75">
                  <c:v>0.27844693501709872</c:v>
                </c:pt>
                <c:pt idx="76">
                  <c:v>0.28315687187485661</c:v>
                </c:pt>
                <c:pt idx="77">
                  <c:v>0.28789671538574313</c:v>
                </c:pt>
                <c:pt idx="78">
                  <c:v>0.29266655589891233</c:v>
                </c:pt>
                <c:pt idx="79">
                  <c:v>0.29746648489224642</c:v>
                </c:pt>
                <c:pt idx="80">
                  <c:v>0.30229659497993755</c:v>
                </c:pt>
                <c:pt idx="81">
                  <c:v>0.30715697992018348</c:v>
                </c:pt>
                <c:pt idx="82">
                  <c:v>0.31204773462299568</c:v>
                </c:pt>
                <c:pt idx="83">
                  <c:v>0.31696895515812368</c:v>
                </c:pt>
                <c:pt idx="84">
                  <c:v>0.32192073876309446</c:v>
                </c:pt>
                <c:pt idx="85">
                  <c:v>0.32690318385137024</c:v>
                </c:pt>
                <c:pt idx="86">
                  <c:v>0.33191639002062567</c:v>
                </c:pt>
                <c:pt idx="87">
                  <c:v>0.33696045806114361</c:v>
                </c:pt>
                <c:pt idx="88">
                  <c:v>0.34203548996433442</c:v>
                </c:pt>
                <c:pt idx="89">
                  <c:v>0.34714158893137681</c:v>
                </c:pt>
                <c:pt idx="90">
                  <c:v>0.352278859381985</c:v>
                </c:pt>
                <c:pt idx="91">
                  <c:v>0.3574474069632993</c:v>
                </c:pt>
                <c:pt idx="92">
                  <c:v>0.36264733855890685</c:v>
                </c:pt>
                <c:pt idx="93">
                  <c:v>0.36787876229798933</c:v>
                </c:pt>
                <c:pt idx="94">
                  <c:v>0.37314178756460142</c:v>
                </c:pt>
                <c:pt idx="95">
                  <c:v>0.37843652500708258</c:v>
                </c:pt>
                <c:pt idx="96">
                  <c:v>0.38376308654760094</c:v>
                </c:pt>
                <c:pt idx="97">
                  <c:v>0.3891215853918325</c:v>
                </c:pt>
                <c:pt idx="98">
                  <c:v>0.39451213603877855</c:v>
                </c:pt>
                <c:pt idx="99">
                  <c:v>0.39993485429071995</c:v>
                </c:pt>
                <c:pt idx="100">
                  <c:v>0.40538985726331234</c:v>
                </c:pt>
              </c:numCache>
            </c:numRef>
          </c:val>
          <c:smooth val="0"/>
          <c:extLst>
            <c:ext xmlns:c16="http://schemas.microsoft.com/office/drawing/2014/chart" uri="{C3380CC4-5D6E-409C-BE32-E72D297353CC}">
              <c16:uniqueId val="{00000001-DA24-4888-8D26-B2EC54B3C661}"/>
            </c:ext>
          </c:extLst>
        </c:ser>
        <c:ser>
          <c:idx val="3"/>
          <c:order val="2"/>
          <c:tx>
            <c:v>Inductor Loss</c:v>
          </c:tx>
          <c:spPr>
            <a:ln w="38100">
              <a:solidFill>
                <a:srgbClr val="800080"/>
              </a:solidFill>
              <a:prstDash val="dash"/>
            </a:ln>
          </c:spPr>
          <c:marker>
            <c:symbol val="none"/>
          </c:marker>
          <c:cat>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cat>
          <c:val>
            <c:numRef>
              <c:f>'Efficiency vs Load Calculations'!$BI$9:$BI$109</c:f>
              <c:numCache>
                <c:formatCode>0.000</c:formatCode>
                <c:ptCount val="101"/>
                <c:pt idx="0">
                  <c:v>0.35412802327211734</c:v>
                </c:pt>
                <c:pt idx="1">
                  <c:v>0.3541276494663867</c:v>
                </c:pt>
                <c:pt idx="2">
                  <c:v>0.3541705230027829</c:v>
                </c:pt>
                <c:pt idx="3">
                  <c:v>0.35425664522065342</c:v>
                </c:pt>
                <c:pt idx="4">
                  <c:v>0.35438601835712463</c:v>
                </c:pt>
                <c:pt idx="5">
                  <c:v>0.35455864554722127</c:v>
                </c:pt>
                <c:pt idx="6">
                  <c:v>0.3547745308240286</c:v>
                </c:pt>
                <c:pt idx="7">
                  <c:v>0.3550336791188981</c:v>
                </c:pt>
                <c:pt idx="8">
                  <c:v>0.35533609626170842</c:v>
                </c:pt>
                <c:pt idx="9">
                  <c:v>0.35568178898116287</c:v>
                </c:pt>
                <c:pt idx="10">
                  <c:v>0.35607076490514306</c:v>
                </c:pt>
                <c:pt idx="11">
                  <c:v>0.35650303256109928</c:v>
                </c:pt>
                <c:pt idx="12">
                  <c:v>0.35697860137649889</c:v>
                </c:pt>
                <c:pt idx="13">
                  <c:v>0.35749748167931233</c:v>
                </c:pt>
                <c:pt idx="14">
                  <c:v>0.35805968469854837</c:v>
                </c:pt>
                <c:pt idx="15">
                  <c:v>0.35866522256484057</c:v>
                </c:pt>
                <c:pt idx="16">
                  <c:v>0.35931410831107419</c:v>
                </c:pt>
                <c:pt idx="17">
                  <c:v>0.36000635587306473</c:v>
                </c:pt>
                <c:pt idx="18">
                  <c:v>0.3607419800902818</c:v>
                </c:pt>
                <c:pt idx="19">
                  <c:v>0.36152099670661936</c:v>
                </c:pt>
                <c:pt idx="20">
                  <c:v>0.36234342237121725</c:v>
                </c:pt>
                <c:pt idx="21">
                  <c:v>0.36320927463932412</c:v>
                </c:pt>
                <c:pt idx="22">
                  <c:v>0.36411857197320879</c:v>
                </c:pt>
                <c:pt idx="23">
                  <c:v>0.36507133374312745</c:v>
                </c:pt>
                <c:pt idx="24">
                  <c:v>0.36606758022832492</c:v>
                </c:pt>
                <c:pt idx="25">
                  <c:v>0.36710733261809492</c:v>
                </c:pt>
                <c:pt idx="26">
                  <c:v>0.36819061301288186</c:v>
                </c:pt>
                <c:pt idx="27">
                  <c:v>0.36931744442543307</c:v>
                </c:pt>
                <c:pt idx="28">
                  <c:v>0.37048785078199753</c:v>
                </c:pt>
                <c:pt idx="29">
                  <c:v>0.37170185692357394</c:v>
                </c:pt>
                <c:pt idx="30">
                  <c:v>0.37295948860720829</c:v>
                </c:pt>
                <c:pt idx="31">
                  <c:v>0.37426077250733297</c:v>
                </c:pt>
                <c:pt idx="32">
                  <c:v>0.37560573621716653</c:v>
                </c:pt>
                <c:pt idx="33">
                  <c:v>0.37699440825014885</c:v>
                </c:pt>
                <c:pt idx="34">
                  <c:v>0.3784268180414348</c:v>
                </c:pt>
                <c:pt idx="35">
                  <c:v>0.37990299594943283</c:v>
                </c:pt>
                <c:pt idx="36">
                  <c:v>0.38142297325739</c:v>
                </c:pt>
                <c:pt idx="37">
                  <c:v>0.38298678217503324</c:v>
                </c:pt>
                <c:pt idx="38">
                  <c:v>0.38459445584025498</c:v>
                </c:pt>
                <c:pt idx="39">
                  <c:v>0.38624602832084559</c:v>
                </c:pt>
                <c:pt idx="40">
                  <c:v>0.3879415346162845</c:v>
                </c:pt>
                <c:pt idx="41">
                  <c:v>0.38968101065957483</c:v>
                </c:pt>
                <c:pt idx="42">
                  <c:v>0.39146449331912497</c:v>
                </c:pt>
                <c:pt idx="43">
                  <c:v>0.39329202040068939</c:v>
                </c:pt>
                <c:pt idx="44">
                  <c:v>0.39516363064935439</c:v>
                </c:pt>
                <c:pt idx="45">
                  <c:v>0.39707936375157254</c:v>
                </c:pt>
                <c:pt idx="46">
                  <c:v>0.39903926033725401</c:v>
                </c:pt>
                <c:pt idx="47">
                  <c:v>0.40104336198190338</c:v>
                </c:pt>
                <c:pt idx="48">
                  <c:v>0.40309171120881004</c:v>
                </c:pt>
                <c:pt idx="49">
                  <c:v>0.40518435149129201</c:v>
                </c:pt>
                <c:pt idx="50">
                  <c:v>0.40732132725498726</c:v>
                </c:pt>
                <c:pt idx="51">
                  <c:v>0.40950268388019934</c:v>
                </c:pt>
                <c:pt idx="52">
                  <c:v>0.4117284677042965</c:v>
                </c:pt>
                <c:pt idx="53">
                  <c:v>0.41399872602415849</c:v>
                </c:pt>
                <c:pt idx="54">
                  <c:v>0.41631350709868276</c:v>
                </c:pt>
                <c:pt idx="55">
                  <c:v>0.41867286015133737</c:v>
                </c:pt>
                <c:pt idx="56">
                  <c:v>0.42107683537277152</c:v>
                </c:pt>
                <c:pt idx="57">
                  <c:v>0.42352548392347411</c:v>
                </c:pt>
                <c:pt idx="58">
                  <c:v>0.42601885793649374</c:v>
                </c:pt>
                <c:pt idx="59">
                  <c:v>0.42855701052020556</c:v>
                </c:pt>
                <c:pt idx="60">
                  <c:v>0.43113999576113476</c:v>
                </c:pt>
                <c:pt idx="61">
                  <c:v>0.43376786872683676</c:v>
                </c:pt>
                <c:pt idx="62">
                  <c:v>0.43644068546882808</c:v>
                </c:pt>
                <c:pt idx="63">
                  <c:v>0.43915850302557724</c:v>
                </c:pt>
                <c:pt idx="64">
                  <c:v>0.44192137942554399</c:v>
                </c:pt>
                <c:pt idx="65">
                  <c:v>0.4447293736902832</c:v>
                </c:pt>
                <c:pt idx="66">
                  <c:v>0.44758254583759677</c:v>
                </c:pt>
                <c:pt idx="67">
                  <c:v>0.4504809568847466</c:v>
                </c:pt>
                <c:pt idx="68">
                  <c:v>0.45342466885172183</c:v>
                </c:pt>
                <c:pt idx="69">
                  <c:v>0.45641374476456459</c:v>
                </c:pt>
                <c:pt idx="70">
                  <c:v>0.45944824865875178</c:v>
                </c:pt>
                <c:pt idx="71">
                  <c:v>0.46252824558263478</c:v>
                </c:pt>
                <c:pt idx="72">
                  <c:v>0.46565380160094016</c:v>
                </c:pt>
                <c:pt idx="73">
                  <c:v>0.46882498379831972</c:v>
                </c:pt>
                <c:pt idx="74">
                  <c:v>0.47204186028297346</c:v>
                </c:pt>
                <c:pt idx="75">
                  <c:v>0.475304500190318</c:v>
                </c:pt>
                <c:pt idx="76">
                  <c:v>0.47861297368672173</c:v>
                </c:pt>
                <c:pt idx="77">
                  <c:v>0.48196735197329971</c:v>
                </c:pt>
                <c:pt idx="78">
                  <c:v>0.48536770728976464</c:v>
                </c:pt>
                <c:pt idx="79">
                  <c:v>0.4888141129183422</c:v>
                </c:pt>
                <c:pt idx="80">
                  <c:v>0.49230664318774764</c:v>
                </c:pt>
                <c:pt idx="81">
                  <c:v>0.49584537347721935</c:v>
                </c:pt>
                <c:pt idx="82">
                  <c:v>0.49943038022062081</c:v>
                </c:pt>
                <c:pt idx="83">
                  <c:v>0.50306174091059808</c:v>
                </c:pt>
                <c:pt idx="84">
                  <c:v>0.50673953410280637</c:v>
                </c:pt>
                <c:pt idx="85">
                  <c:v>0.51046383942019291</c:v>
                </c:pt>
                <c:pt idx="86">
                  <c:v>0.51423473755735005</c:v>
                </c:pt>
                <c:pt idx="87">
                  <c:v>0.5180523102849286</c:v>
                </c:pt>
                <c:pt idx="88">
                  <c:v>0.52191664045411601</c:v>
                </c:pt>
                <c:pt idx="89">
                  <c:v>0.52582781200117745</c:v>
                </c:pt>
                <c:pt idx="90">
                  <c:v>0.52978590995207087</c:v>
                </c:pt>
                <c:pt idx="91">
                  <c:v>0.53379102042711579</c:v>
                </c:pt>
                <c:pt idx="92">
                  <c:v>0.53784323064573614</c:v>
                </c:pt>
                <c:pt idx="93">
                  <c:v>0.54194262893127088</c:v>
                </c:pt>
                <c:pt idx="94">
                  <c:v>0.54608930471584582</c:v>
                </c:pt>
                <c:pt idx="95">
                  <c:v>0.5502833485453188</c:v>
                </c:pt>
                <c:pt idx="96">
                  <c:v>0.55452485208429148</c:v>
                </c:pt>
                <c:pt idx="97">
                  <c:v>0.55881390812118947</c:v>
                </c:pt>
                <c:pt idx="98">
                  <c:v>0.56315061057341054</c:v>
                </c:pt>
                <c:pt idx="99">
                  <c:v>0.56753505449254904</c:v>
                </c:pt>
                <c:pt idx="100">
                  <c:v>0.57196733606968353</c:v>
                </c:pt>
              </c:numCache>
            </c:numRef>
          </c:val>
          <c:smooth val="0"/>
          <c:extLst>
            <c:ext xmlns:c16="http://schemas.microsoft.com/office/drawing/2014/chart" uri="{C3380CC4-5D6E-409C-BE32-E72D297353CC}">
              <c16:uniqueId val="{00000002-DA24-4888-8D26-B2EC54B3C661}"/>
            </c:ext>
          </c:extLst>
        </c:ser>
        <c:ser>
          <c:idx val="1"/>
          <c:order val="3"/>
          <c:tx>
            <c:strRef>
              <c:f>'Efficiency vs Load Calculations'!$BL$8</c:f>
              <c:strCache>
                <c:ptCount val="1"/>
                <c:pt idx="0">
                  <c:v>Buck ''SYNC'' MOSFET Loss</c:v>
                </c:pt>
              </c:strCache>
            </c:strRef>
          </c:tx>
          <c:spPr>
            <a:ln w="38100">
              <a:solidFill>
                <a:srgbClr val="002060"/>
              </a:solidFill>
              <a:prstDash val="sysDot"/>
            </a:ln>
          </c:spPr>
          <c:marker>
            <c:symbol val="none"/>
          </c:marker>
          <c:cat>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cat>
          <c:val>
            <c:numRef>
              <c:f>'Efficiency vs Load Calculations'!$BL$9:$BL$109</c:f>
              <c:numCache>
                <c:formatCode>0.000</c:formatCode>
                <c:ptCount val="101"/>
                <c:pt idx="0">
                  <c:v>2.1912526784505025E-2</c:v>
                </c:pt>
                <c:pt idx="1">
                  <c:v>2.3341796354596704E-2</c:v>
                </c:pt>
                <c:pt idx="2">
                  <c:v>2.4786228505179083E-2</c:v>
                </c:pt>
                <c:pt idx="3">
                  <c:v>2.6245822792088334E-2</c:v>
                </c:pt>
                <c:pt idx="4">
                  <c:v>2.7720579044790892E-2</c:v>
                </c:pt>
                <c:pt idx="5">
                  <c:v>2.9210497366215626E-2</c:v>
                </c:pt>
                <c:pt idx="6">
                  <c:v>3.0715578132598377E-2</c:v>
                </c:pt>
                <c:pt idx="7">
                  <c:v>3.2235821993338978E-2</c:v>
                </c:pt>
                <c:pt idx="8">
                  <c:v>3.3771229870870625E-2</c:v>
                </c:pt>
                <c:pt idx="9">
                  <c:v>3.5321802960541548E-2</c:v>
                </c:pt>
                <c:pt idx="10">
                  <c:v>3.6887542730509169E-2</c:v>
                </c:pt>
                <c:pt idx="11">
                  <c:v>3.8468450921646358E-2</c:v>
                </c:pt>
                <c:pt idx="12">
                  <c:v>4.0064529547460273E-2</c:v>
                </c:pt>
                <c:pt idx="13">
                  <c:v>4.1675780894023323E-2</c:v>
                </c:pt>
                <c:pt idx="14">
                  <c:v>4.3302207519916369E-2</c:v>
                </c:pt>
                <c:pt idx="15">
                  <c:v>4.4943812256184448E-2</c:v>
                </c:pt>
                <c:pt idx="16">
                  <c:v>4.6600598206304494E-2</c:v>
                </c:pt>
                <c:pt idx="17">
                  <c:v>4.8272568746165465E-2</c:v>
                </c:pt>
                <c:pt idx="18">
                  <c:v>4.9959727524060679E-2</c:v>
                </c:pt>
                <c:pt idx="19">
                  <c:v>5.1662078460692387E-2</c:v>
                </c:pt>
                <c:pt idx="20">
                  <c:v>5.3379625749188572E-2</c:v>
                </c:pt>
                <c:pt idx="21">
                  <c:v>5.5112373855132069E-2</c:v>
                </c:pt>
                <c:pt idx="22">
                  <c:v>5.6860327516601625E-2</c:v>
                </c:pt>
                <c:pt idx="23">
                  <c:v>5.8623491744225625E-2</c:v>
                </c:pt>
                <c:pt idx="24">
                  <c:v>6.0401871821247663E-2</c:v>
                </c:pt>
                <c:pt idx="25">
                  <c:v>6.219547330360449E-2</c:v>
                </c:pt>
                <c:pt idx="26">
                  <c:v>6.4004302020016141E-2</c:v>
                </c:pt>
                <c:pt idx="27">
                  <c:v>6.582836407208828E-2</c:v>
                </c:pt>
                <c:pt idx="28">
                  <c:v>6.7667665834426821E-2</c:v>
                </c:pt>
                <c:pt idx="29">
                  <c:v>6.9522213954764725E-2</c:v>
                </c:pt>
                <c:pt idx="30">
                  <c:v>7.1392015354101016E-2</c:v>
                </c:pt>
                <c:pt idx="31">
                  <c:v>7.327707722685195E-2</c:v>
                </c:pt>
                <c:pt idx="32">
                  <c:v>7.5177407041014693E-2</c:v>
                </c:pt>
                <c:pt idx="33">
                  <c:v>7.7093012538342914E-2</c:v>
                </c:pt>
                <c:pt idx="34">
                  <c:v>7.9023901734534857E-2</c:v>
                </c:pt>
                <c:pt idx="35">
                  <c:v>8.0991166980474594E-2</c:v>
                </c:pt>
                <c:pt idx="36">
                  <c:v>8.3492155345024424E-2</c:v>
                </c:pt>
                <c:pt idx="37">
                  <c:v>8.6008571986475379E-2</c:v>
                </c:pt>
                <c:pt idx="38">
                  <c:v>8.8540430898402828E-2</c:v>
                </c:pt>
                <c:pt idx="39">
                  <c:v>9.1087746351388055E-2</c:v>
                </c:pt>
                <c:pt idx="40">
                  <c:v>9.3650532893425925E-2</c:v>
                </c:pt>
                <c:pt idx="41">
                  <c:v>9.6228805350344976E-2</c:v>
                </c:pt>
                <c:pt idx="42">
                  <c:v>9.8822578826240029E-2</c:v>
                </c:pt>
                <c:pt idx="43">
                  <c:v>0.10143186870391716</c:v>
                </c:pt>
                <c:pt idx="44">
                  <c:v>0.10405669064535134</c:v>
                </c:pt>
                <c:pt idx="45">
                  <c:v>0.10669706059215638</c:v>
                </c:pt>
                <c:pt idx="46">
                  <c:v>0.10935299476606768</c:v>
                </c:pt>
                <c:pt idx="47">
                  <c:v>0.11202450966943737</c:v>
                </c:pt>
                <c:pt idx="48">
                  <c:v>0.11471162208574223</c:v>
                </c:pt>
                <c:pt idx="49">
                  <c:v>0.11741434908010401</c:v>
                </c:pt>
                <c:pt idx="50">
                  <c:v>0.12013270799982273</c:v>
                </c:pt>
                <c:pt idx="51">
                  <c:v>0.12286671647492264</c:v>
                </c:pt>
                <c:pt idx="52">
                  <c:v>0.12561639241871078</c:v>
                </c:pt>
                <c:pt idx="53">
                  <c:v>0.12838175402834848</c:v>
                </c:pt>
                <c:pt idx="54">
                  <c:v>0.13116281978543554</c:v>
                </c:pt>
                <c:pt idx="55">
                  <c:v>0.13395960845660765</c:v>
                </c:pt>
                <c:pt idx="56">
                  <c:v>0.13677213909414618</c:v>
                </c:pt>
                <c:pt idx="57">
                  <c:v>0.13960043103660136</c:v>
                </c:pt>
                <c:pt idx="58">
                  <c:v>0.14244450390942837</c:v>
                </c:pt>
                <c:pt idx="59">
                  <c:v>0.14530437762563619</c:v>
                </c:pt>
                <c:pt idx="60">
                  <c:v>0.14818007238645001</c:v>
                </c:pt>
                <c:pt idx="61">
                  <c:v>0.15107160868198632</c:v>
                </c:pt>
                <c:pt idx="62">
                  <c:v>0.15397900729194147</c:v>
                </c:pt>
                <c:pt idx="63">
                  <c:v>0.15690228928629341</c:v>
                </c:pt>
                <c:pt idx="64">
                  <c:v>0.1598414760260165</c:v>
                </c:pt>
                <c:pt idx="65">
                  <c:v>0.16279658916380993</c:v>
                </c:pt>
                <c:pt idx="66">
                  <c:v>0.16576765064483942</c:v>
                </c:pt>
                <c:pt idx="67">
                  <c:v>0.16875468270749217</c:v>
                </c:pt>
                <c:pt idx="68">
                  <c:v>0.1717577078841456</c:v>
                </c:pt>
                <c:pt idx="69">
                  <c:v>0.17477674900194931</c:v>
                </c:pt>
                <c:pt idx="70">
                  <c:v>0.17781182918362112</c:v>
                </c:pt>
                <c:pt idx="71">
                  <c:v>0.18086297184825598</c:v>
                </c:pt>
                <c:pt idx="72">
                  <c:v>0.18393020071214947</c:v>
                </c:pt>
                <c:pt idx="73">
                  <c:v>0.18701353978963436</c:v>
                </c:pt>
                <c:pt idx="74">
                  <c:v>0.19011301339393152</c:v>
                </c:pt>
                <c:pt idx="75">
                  <c:v>0.19322864613801427</c:v>
                </c:pt>
                <c:pt idx="76">
                  <c:v>0.19636046293548717</c:v>
                </c:pt>
                <c:pt idx="77">
                  <c:v>0.19950848900147844</c:v>
                </c:pt>
                <c:pt idx="78">
                  <c:v>0.20267274985354639</c:v>
                </c:pt>
                <c:pt idx="79">
                  <c:v>0.20585327131260078</c:v>
                </c:pt>
                <c:pt idx="80">
                  <c:v>0.20905007950383725</c:v>
                </c:pt>
                <c:pt idx="81">
                  <c:v>0.21226320085768696</c:v>
                </c:pt>
                <c:pt idx="82">
                  <c:v>0.21549266211078008</c:v>
                </c:pt>
                <c:pt idx="83">
                  <c:v>0.21873849030692424</c:v>
                </c:pt>
                <c:pt idx="84">
                  <c:v>0.22200071279809652</c:v>
                </c:pt>
                <c:pt idx="85">
                  <c:v>0.22527935724545134</c:v>
                </c:pt>
                <c:pt idx="86">
                  <c:v>0.22857445162034193</c:v>
                </c:pt>
                <c:pt idx="87">
                  <c:v>0.23188602420535681</c:v>
                </c:pt>
                <c:pt idx="88">
                  <c:v>0.23521410359537157</c:v>
                </c:pt>
                <c:pt idx="89">
                  <c:v>0.23855871869861489</c:v>
                </c:pt>
                <c:pt idx="90">
                  <c:v>0.24191989873774988</c:v>
                </c:pt>
                <c:pt idx="91">
                  <c:v>0.24529767325097029</c:v>
                </c:pt>
                <c:pt idx="92">
                  <c:v>0.24869207209311225</c:v>
                </c:pt>
                <c:pt idx="93">
                  <c:v>0.25210312543678082</c:v>
                </c:pt>
                <c:pt idx="94">
                  <c:v>0.25553086377349166</c:v>
                </c:pt>
                <c:pt idx="95">
                  <c:v>0.25897531791482931</c:v>
                </c:pt>
                <c:pt idx="96">
                  <c:v>0.26243651899361881</c:v>
                </c:pt>
                <c:pt idx="97">
                  <c:v>0.2659144984651155</c:v>
                </c:pt>
                <c:pt idx="98">
                  <c:v>0.26940928810820819</c:v>
                </c:pt>
                <c:pt idx="99">
                  <c:v>0.27292092002663959</c:v>
                </c:pt>
                <c:pt idx="100">
                  <c:v>0.27644942665024175</c:v>
                </c:pt>
              </c:numCache>
            </c:numRef>
          </c:val>
          <c:smooth val="0"/>
          <c:extLst>
            <c:ext xmlns:c16="http://schemas.microsoft.com/office/drawing/2014/chart" uri="{C3380CC4-5D6E-409C-BE32-E72D297353CC}">
              <c16:uniqueId val="{00000003-DA24-4888-8D26-B2EC54B3C661}"/>
            </c:ext>
          </c:extLst>
        </c:ser>
        <c:dLbls>
          <c:showLegendKey val="0"/>
          <c:showVal val="0"/>
          <c:showCatName val="0"/>
          <c:showSerName val="0"/>
          <c:showPercent val="0"/>
          <c:showBubbleSize val="0"/>
        </c:dLbls>
        <c:marker val="1"/>
        <c:smooth val="0"/>
        <c:axId val="140003200"/>
        <c:axId val="140001280"/>
      </c:lineChart>
      <c:catAx>
        <c:axId val="13999718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39999104"/>
        <c:crosses val="autoZero"/>
        <c:auto val="1"/>
        <c:lblAlgn val="ctr"/>
        <c:lblOffset val="100"/>
        <c:tickLblSkip val="20"/>
        <c:tickMarkSkip val="20"/>
        <c:noMultiLvlLbl val="1"/>
      </c:catAx>
      <c:valAx>
        <c:axId val="139999104"/>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39997184"/>
        <c:crosses val="autoZero"/>
        <c:crossBetween val="between"/>
        <c:majorUnit val="5"/>
        <c:minorUnit val="2.5"/>
      </c:valAx>
      <c:valAx>
        <c:axId val="140001280"/>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40003200"/>
        <c:crosses val="max"/>
        <c:crossBetween val="between"/>
      </c:valAx>
      <c:catAx>
        <c:axId val="140003200"/>
        <c:scaling>
          <c:orientation val="minMax"/>
        </c:scaling>
        <c:delete val="1"/>
        <c:axPos val="b"/>
        <c:numFmt formatCode="General" sourceLinked="1"/>
        <c:majorTickMark val="out"/>
        <c:minorTickMark val="none"/>
        <c:tickLblPos val="nextTo"/>
        <c:crossAx val="140001280"/>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61417999772302789"/>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I</a:t>
            </a:r>
            <a:r>
              <a:rPr lang="en-US" sz="2000" b="1" i="0" u="none" strike="noStrike" baseline="-25000"/>
              <a:t>OUT</a:t>
            </a:r>
            <a:r>
              <a:rPr lang="en-US" sz="2000" b="1" i="0" u="none" strike="noStrike" baseline="0"/>
              <a:t> = I</a:t>
            </a:r>
            <a:r>
              <a:rPr lang="en-US" sz="2000" b="1" i="0" u="none" strike="noStrike" baseline="-25000"/>
              <a:t>OUT(max)</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cat>
          <c:val>
            <c:numRef>
              <c:f>'Efficiency vs VIN Calculations'!$BH$9:$BH$209</c:f>
              <c:numCache>
                <c:formatCode>0.00</c:formatCode>
                <c:ptCount val="201"/>
                <c:pt idx="0">
                  <c:v>92.367875232611524</c:v>
                </c:pt>
                <c:pt idx="1">
                  <c:v>92.650626003576235</c:v>
                </c:pt>
                <c:pt idx="2">
                  <c:v>92.916648396615827</c:v>
                </c:pt>
                <c:pt idx="3">
                  <c:v>93.167328784853765</c:v>
                </c:pt>
                <c:pt idx="4">
                  <c:v>93.403907465315655</c:v>
                </c:pt>
                <c:pt idx="5">
                  <c:v>93.627497746434358</c:v>
                </c:pt>
                <c:pt idx="6">
                  <c:v>93.839102016020632</c:v>
                </c:pt>
                <c:pt idx="7">
                  <c:v>94.039625350317621</c:v>
                </c:pt>
                <c:pt idx="8">
                  <c:v>94.229887105666805</c:v>
                </c:pt>
                <c:pt idx="9">
                  <c:v>94.410630843542947</c:v>
                </c:pt>
                <c:pt idx="10">
                  <c:v>94.582532869863428</c:v>
                </c:pt>
                <c:pt idx="11">
                  <c:v>94.74620961523344</c:v>
                </c:pt>
                <c:pt idx="12">
                  <c:v>94.902224040309306</c:v>
                </c:pt>
                <c:pt idx="13">
                  <c:v>95.051091216929507</c:v>
                </c:pt>
                <c:pt idx="14">
                  <c:v>95.193283208997116</c:v>
                </c:pt>
                <c:pt idx="15">
                  <c:v>95.329233355741607</c:v>
                </c:pt>
                <c:pt idx="16">
                  <c:v>95.45934004277153</c:v>
                </c:pt>
                <c:pt idx="17">
                  <c:v>95.58397003236594</c:v>
                </c:pt>
                <c:pt idx="18">
                  <c:v>95.703461413057767</c:v>
                </c:pt>
                <c:pt idx="19">
                  <c:v>95.818126219215301</c:v>
                </c:pt>
                <c:pt idx="20">
                  <c:v>95.928252763617564</c:v>
                </c:pt>
                <c:pt idx="21">
                  <c:v>96.03410771963037</c:v>
                </c:pt>
                <c:pt idx="22">
                  <c:v>96.135937984269631</c:v>
                </c:pt>
                <c:pt idx="23">
                  <c:v>96.233972348987294</c:v>
                </c:pt>
                <c:pt idx="24">
                  <c:v>96.328423001279788</c:v>
                </c:pt>
                <c:pt idx="25">
                  <c:v>96.419486877065069</c:v>
                </c:pt>
                <c:pt idx="26">
                  <c:v>96.507346881108887</c:v>
                </c:pt>
                <c:pt idx="27">
                  <c:v>96.592172990513419</c:v>
                </c:pt>
                <c:pt idx="28">
                  <c:v>96.674123254350363</c:v>
                </c:pt>
                <c:pt idx="29">
                  <c:v>96.75334470086932</c:v>
                </c:pt>
                <c:pt idx="30">
                  <c:v>96.829974162294903</c:v>
                </c:pt>
                <c:pt idx="31">
                  <c:v>96.904139026007826</c:v>
                </c:pt>
                <c:pt idx="32">
                  <c:v>96.975957919852959</c:v>
                </c:pt>
                <c:pt idx="33">
                  <c:v>97.045541338409336</c:v>
                </c:pt>
                <c:pt idx="34">
                  <c:v>97.112992216267159</c:v>
                </c:pt>
                <c:pt idx="35">
                  <c:v>97.178406453672764</c:v>
                </c:pt>
                <c:pt idx="36">
                  <c:v>97.241873399305433</c:v>
                </c:pt>
                <c:pt idx="37">
                  <c:v>97.303476294429018</c:v>
                </c:pt>
                <c:pt idx="38">
                  <c:v>97.363292682206549</c:v>
                </c:pt>
                <c:pt idx="39">
                  <c:v>97.421394785567557</c:v>
                </c:pt>
                <c:pt idx="40">
                  <c:v>97.477849856668257</c:v>
                </c:pt>
                <c:pt idx="41">
                  <c:v>97.532720500678977</c:v>
                </c:pt>
                <c:pt idx="42">
                  <c:v>97.586064976363616</c:v>
                </c:pt>
                <c:pt idx="43">
                  <c:v>97.637937475680957</c:v>
                </c:pt>
                <c:pt idx="44">
                  <c:v>97.688388384429885</c:v>
                </c:pt>
                <c:pt idx="45">
                  <c:v>97.737464525780723</c:v>
                </c:pt>
                <c:pt idx="46">
                  <c:v>97.785209388376529</c:v>
                </c:pt>
                <c:pt idx="47">
                  <c:v>97.83166334055214</c:v>
                </c:pt>
                <c:pt idx="48">
                  <c:v>97.876863832101876</c:v>
                </c:pt>
                <c:pt idx="49">
                  <c:v>97.920845584927363</c:v>
                </c:pt>
                <c:pt idx="50">
                  <c:v>97.963640773815982</c:v>
                </c:pt>
                <c:pt idx="51">
                  <c:v>98.005279198536172</c:v>
                </c:pt>
                <c:pt idx="52">
                  <c:v>98.04578844838791</c:v>
                </c:pt>
                <c:pt idx="53">
                  <c:v>98.085194060319424</c:v>
                </c:pt>
                <c:pt idx="54">
                  <c:v>98.123519671711662</c:v>
                </c:pt>
                <c:pt idx="55">
                  <c:v>98.160787168946669</c:v>
                </c:pt>
                <c:pt idx="56">
                  <c:v>98.197016832918862</c:v>
                </c:pt>
                <c:pt idx="57">
                  <c:v>98.232227482723459</c:v>
                </c:pt>
                <c:pt idx="58">
                  <c:v>98.266436618877464</c:v>
                </c:pt>
                <c:pt idx="59">
                  <c:v>98.299660567606551</c:v>
                </c:pt>
                <c:pt idx="60">
                  <c:v>98.331914627990614</c:v>
                </c:pt>
                <c:pt idx="61">
                  <c:v>98.363213224133105</c:v>
                </c:pt>
                <c:pt idx="62">
                  <c:v>98.39357006505557</c:v>
                </c:pt>
                <c:pt idx="63">
                  <c:v>98.422998315803454</c:v>
                </c:pt>
                <c:pt idx="64">
                  <c:v>98.451510784414779</c:v>
                </c:pt>
                <c:pt idx="65">
                  <c:v>98.479120131181602</c:v>
                </c:pt>
                <c:pt idx="66">
                  <c:v>98.404723516300379</c:v>
                </c:pt>
                <c:pt idx="67">
                  <c:v>98.440716377511322</c:v>
                </c:pt>
                <c:pt idx="68">
                  <c:v>98.474968223566876</c:v>
                </c:pt>
                <c:pt idx="69">
                  <c:v>98.50745119125763</c:v>
                </c:pt>
                <c:pt idx="70">
                  <c:v>98.53814197176176</c:v>
                </c:pt>
                <c:pt idx="71">
                  <c:v>98.567023022114043</c:v>
                </c:pt>
                <c:pt idx="72">
                  <c:v>98.594084125728884</c:v>
                </c:pt>
                <c:pt idx="73">
                  <c:v>98.619324486831346</c:v>
                </c:pt>
                <c:pt idx="74">
                  <c:v>98.653073423251513</c:v>
                </c:pt>
                <c:pt idx="75">
                  <c:v>98.64870125873783</c:v>
                </c:pt>
                <c:pt idx="76">
                  <c:v>98.643581908266441</c:v>
                </c:pt>
                <c:pt idx="77">
                  <c:v>98.637415528474165</c:v>
                </c:pt>
                <c:pt idx="78">
                  <c:v>98.630095692384174</c:v>
                </c:pt>
                <c:pt idx="79">
                  <c:v>98.62156537492541</c:v>
                </c:pt>
                <c:pt idx="80">
                  <c:v>98.611794217593214</c:v>
                </c:pt>
                <c:pt idx="81">
                  <c:v>98.600768812403331</c:v>
                </c:pt>
                <c:pt idx="82">
                  <c:v>98.588487427392835</c:v>
                </c:pt>
                <c:pt idx="83">
                  <c:v>98.574956755864832</c:v>
                </c:pt>
                <c:pt idx="84">
                  <c:v>98.560189746115128</c:v>
                </c:pt>
                <c:pt idx="85">
                  <c:v>98.544204070811531</c:v>
                </c:pt>
                <c:pt idx="86">
                  <c:v>98.527021003858749</c:v>
                </c:pt>
                <c:pt idx="87">
                  <c:v>98.508664571479429</c:v>
                </c:pt>
                <c:pt idx="88">
                  <c:v>98.489160895838012</c:v>
                </c:pt>
                <c:pt idx="89">
                  <c:v>98.609839458379582</c:v>
                </c:pt>
                <c:pt idx="90">
                  <c:v>98.600485264677445</c:v>
                </c:pt>
                <c:pt idx="91">
                  <c:v>98.590926637884309</c:v>
                </c:pt>
                <c:pt idx="92">
                  <c:v>98.581169369364659</c:v>
                </c:pt>
                <c:pt idx="93">
                  <c:v>98.571219347074006</c:v>
                </c:pt>
                <c:pt idx="94">
                  <c:v>98.561082515186342</c:v>
                </c:pt>
                <c:pt idx="95">
                  <c:v>98.550764840761872</c:v>
                </c:pt>
                <c:pt idx="96">
                  <c:v>98.540272286166015</c:v>
                </c:pt>
                <c:pt idx="97">
                  <c:v>98.529610786226769</c:v>
                </c:pt>
                <c:pt idx="98">
                  <c:v>98.518786229322458</c:v>
                </c:pt>
                <c:pt idx="99">
                  <c:v>98.507804441751119</c:v>
                </c:pt>
                <c:pt idx="100">
                  <c:v>98.49667117485248</c:v>
                </c:pt>
                <c:pt idx="101">
                  <c:v>98.485392094450859</c:v>
                </c:pt>
                <c:pt idx="102">
                  <c:v>98.473972772260865</c:v>
                </c:pt>
                <c:pt idx="103">
                  <c:v>98.46241867895958</c:v>
                </c:pt>
                <c:pt idx="104">
                  <c:v>98.45073517867624</c:v>
                </c:pt>
                <c:pt idx="105">
                  <c:v>98.43892752469074</c:v>
                </c:pt>
                <c:pt idx="106">
                  <c:v>98.427000856164327</c:v>
                </c:pt>
                <c:pt idx="107">
                  <c:v>98.41496019575267</c:v>
                </c:pt>
                <c:pt idx="108">
                  <c:v>98.402810447973536</c:v>
                </c:pt>
                <c:pt idx="109">
                  <c:v>98.390556398220014</c:v>
                </c:pt>
                <c:pt idx="110">
                  <c:v>98.378202712325461</c:v>
                </c:pt>
                <c:pt idx="111">
                  <c:v>98.365753936599518</c:v>
                </c:pt>
                <c:pt idx="112">
                  <c:v>98.353214498266368</c:v>
                </c:pt>
                <c:pt idx="113">
                  <c:v>98.340588706244091</c:v>
                </c:pt>
                <c:pt idx="114">
                  <c:v>98.327880752214298</c:v>
                </c:pt>
                <c:pt idx="115">
                  <c:v>98.31509471193624</c:v>
                </c:pt>
                <c:pt idx="116">
                  <c:v>98.302234546766385</c:v>
                </c:pt>
                <c:pt idx="117">
                  <c:v>98.289304105349757</c:v>
                </c:pt>
                <c:pt idx="118">
                  <c:v>98.276307125453016</c:v>
                </c:pt>
                <c:pt idx="119">
                  <c:v>98.263247235913937</c:v>
                </c:pt>
                <c:pt idx="120">
                  <c:v>98.250127958684345</c:v>
                </c:pt>
                <c:pt idx="121">
                  <c:v>98.236952710947449</c:v>
                </c:pt>
                <c:pt idx="122">
                  <c:v>98.223724807292385</c:v>
                </c:pt>
                <c:pt idx="123">
                  <c:v>98.210447461931011</c:v>
                </c:pt>
                <c:pt idx="124">
                  <c:v>98.197123790944275</c:v>
                </c:pt>
                <c:pt idx="125">
                  <c:v>98.183756814546868</c:v>
                </c:pt>
                <c:pt idx="126">
                  <c:v>98.170349459360338</c:v>
                </c:pt>
                <c:pt idx="127">
                  <c:v>98.156904560686726</c:v>
                </c:pt>
                <c:pt idx="128">
                  <c:v>98.143424864774715</c:v>
                </c:pt>
                <c:pt idx="129">
                  <c:v>98.129913031072675</c:v>
                </c:pt>
                <c:pt idx="130">
                  <c:v>98.116371634463007</c:v>
                </c:pt>
                <c:pt idx="131">
                  <c:v>98.10280316747297</c:v>
                </c:pt>
                <c:pt idx="132">
                  <c:v>98.089210042458532</c:v>
                </c:pt>
                <c:pt idx="133">
                  <c:v>98.075594593757515</c:v>
                </c:pt>
                <c:pt idx="134">
                  <c:v>98.061959079809554</c:v>
                </c:pt>
                <c:pt idx="135">
                  <c:v>98.048305685240408</c:v>
                </c:pt>
                <c:pt idx="136">
                  <c:v>98.034636522908741</c:v>
                </c:pt>
                <c:pt idx="137">
                  <c:v>98.020953635914069</c:v>
                </c:pt>
                <c:pt idx="138">
                  <c:v>98.007258999564158</c:v>
                </c:pt>
                <c:pt idx="139">
                  <c:v>97.993554523301697</c:v>
                </c:pt>
                <c:pt idx="140">
                  <c:v>97.979842052588808</c:v>
                </c:pt>
                <c:pt idx="141">
                  <c:v>97.966123370749528</c:v>
                </c:pt>
                <c:pt idx="142">
                  <c:v>97.952400200769588</c:v>
                </c:pt>
                <c:pt idx="143">
                  <c:v>97.938674207053595</c:v>
                </c:pt>
                <c:pt idx="144">
                  <c:v>97.924946997139656</c:v>
                </c:pt>
                <c:pt idx="145">
                  <c:v>97.911220123371564</c:v>
                </c:pt>
                <c:pt idx="146">
                  <c:v>97.897495084528728</c:v>
                </c:pt>
                <c:pt idx="147">
                  <c:v>97.883773327414417</c:v>
                </c:pt>
                <c:pt idx="148">
                  <c:v>97.870056248402605</c:v>
                </c:pt>
                <c:pt idx="149">
                  <c:v>97.856345194944112</c:v>
                </c:pt>
                <c:pt idx="150">
                  <c:v>97.842641467032294</c:v>
                </c:pt>
                <c:pt idx="151">
                  <c:v>97.828946318629335</c:v>
                </c:pt>
                <c:pt idx="152">
                  <c:v>97.815260959053546</c:v>
                </c:pt>
                <c:pt idx="153">
                  <c:v>97.801586554328296</c:v>
                </c:pt>
                <c:pt idx="154">
                  <c:v>97.787924228493623</c:v>
                </c:pt>
                <c:pt idx="155">
                  <c:v>97.774275064881039</c:v>
                </c:pt>
                <c:pt idx="156">
                  <c:v>97.760640107352273</c:v>
                </c:pt>
                <c:pt idx="157">
                  <c:v>97.747020361502919</c:v>
                </c:pt>
                <c:pt idx="158">
                  <c:v>97.733416795831616</c:v>
                </c:pt>
                <c:pt idx="159">
                  <c:v>97.719830342875738</c:v>
                </c:pt>
                <c:pt idx="160">
                  <c:v>97.706261900314075</c:v>
                </c:pt>
                <c:pt idx="161">
                  <c:v>97.69271233203763</c:v>
                </c:pt>
                <c:pt idx="162">
                  <c:v>97.6791824691893</c:v>
                </c:pt>
                <c:pt idx="163">
                  <c:v>97.665673111172822</c:v>
                </c:pt>
                <c:pt idx="164">
                  <c:v>97.652185026632438</c:v>
                </c:pt>
                <c:pt idx="165">
                  <c:v>97.638718954403402</c:v>
                </c:pt>
                <c:pt idx="166">
                  <c:v>97.625275604434563</c:v>
                </c:pt>
                <c:pt idx="167">
                  <c:v>97.611855658683425</c:v>
                </c:pt>
                <c:pt idx="168">
                  <c:v>97.598459771984864</c:v>
                </c:pt>
                <c:pt idx="169">
                  <c:v>97.585088572893682</c:v>
                </c:pt>
                <c:pt idx="170">
                  <c:v>97.571742664502111</c:v>
                </c:pt>
                <c:pt idx="171">
                  <c:v>97.55842262523295</c:v>
                </c:pt>
                <c:pt idx="172">
                  <c:v>97.545129009608772</c:v>
                </c:pt>
                <c:pt idx="173">
                  <c:v>97.531862348998203</c:v>
                </c:pt>
                <c:pt idx="174">
                  <c:v>97.518623152339529</c:v>
                </c:pt>
                <c:pt idx="175">
                  <c:v>97.505411906842838</c:v>
                </c:pt>
                <c:pt idx="176">
                  <c:v>97.492229078670718</c:v>
                </c:pt>
                <c:pt idx="177">
                  <c:v>97.479075113598512</c:v>
                </c:pt>
                <c:pt idx="178">
                  <c:v>97.465950437654698</c:v>
                </c:pt>
                <c:pt idx="179">
                  <c:v>97.452855457741833</c:v>
                </c:pt>
                <c:pt idx="180">
                  <c:v>97.439790562238684</c:v>
                </c:pt>
                <c:pt idx="181">
                  <c:v>97.426756121584262</c:v>
                </c:pt>
                <c:pt idx="182">
                  <c:v>97.413752488843969</c:v>
                </c:pt>
                <c:pt idx="183">
                  <c:v>97.400780000258749</c:v>
                </c:pt>
                <c:pt idx="184">
                  <c:v>97.387838975777569</c:v>
                </c:pt>
                <c:pt idx="185">
                  <c:v>97.374929719573629</c:v>
                </c:pt>
                <c:pt idx="186">
                  <c:v>97.362052520545006</c:v>
                </c:pt>
                <c:pt idx="187">
                  <c:v>97.349207652800132</c:v>
                </c:pt>
                <c:pt idx="188">
                  <c:v>97.336395376128436</c:v>
                </c:pt>
                <c:pt idx="189">
                  <c:v>97.323615936456761</c:v>
                </c:pt>
                <c:pt idx="190">
                  <c:v>97.310869566291885</c:v>
                </c:pt>
                <c:pt idx="191">
                  <c:v>97.298156485149661</c:v>
                </c:pt>
                <c:pt idx="192">
                  <c:v>97.285476899971073</c:v>
                </c:pt>
                <c:pt idx="193">
                  <c:v>97.272831005525603</c:v>
                </c:pt>
                <c:pt idx="194">
                  <c:v>97.260218984802506</c:v>
                </c:pt>
                <c:pt idx="195">
                  <c:v>97.247641009390094</c:v>
                </c:pt>
                <c:pt idx="196">
                  <c:v>97.235097239843398</c:v>
                </c:pt>
                <c:pt idx="197">
                  <c:v>97.222587826041021</c:v>
                </c:pt>
                <c:pt idx="198">
                  <c:v>97.210112907530657</c:v>
                </c:pt>
                <c:pt idx="199">
                  <c:v>97.197672613864555</c:v>
                </c:pt>
                <c:pt idx="200">
                  <c:v>97.185267064924659</c:v>
                </c:pt>
              </c:numCache>
            </c:numRef>
          </c:val>
          <c:smooth val="0"/>
          <c:extLst>
            <c:ext xmlns:c16="http://schemas.microsoft.com/office/drawing/2014/chart" uri="{C3380CC4-5D6E-409C-BE32-E72D297353CC}">
              <c16:uniqueId val="{00000000-1CEB-4807-9B68-DA408029CAAF}"/>
            </c:ext>
          </c:extLst>
        </c:ser>
        <c:dLbls>
          <c:showLegendKey val="0"/>
          <c:showVal val="0"/>
          <c:showCatName val="0"/>
          <c:showSerName val="0"/>
          <c:showPercent val="0"/>
          <c:showBubbleSize val="0"/>
        </c:dLbls>
        <c:marker val="1"/>
        <c:smooth val="0"/>
        <c:axId val="140015104"/>
        <c:axId val="140017024"/>
      </c:lineChart>
      <c:lineChart>
        <c:grouping val="standard"/>
        <c:varyColors val="0"/>
        <c:ser>
          <c:idx val="3"/>
          <c:order val="1"/>
          <c:tx>
            <c:v>Inductor Loss</c:v>
          </c:tx>
          <c:spPr>
            <a:ln w="38100">
              <a:solidFill>
                <a:srgbClr val="800080"/>
              </a:solidFill>
              <a:prstDash val="dash"/>
            </a:ln>
          </c:spPr>
          <c:marker>
            <c:symbol val="none"/>
          </c:marker>
          <c:cat>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cat>
          <c:val>
            <c:numRef>
              <c:f>'Efficiency vs VIN Calculations'!$BI$9:$BI$209</c:f>
              <c:numCache>
                <c:formatCode>0.000</c:formatCode>
                <c:ptCount val="201"/>
                <c:pt idx="0">
                  <c:v>1.6439501538078534</c:v>
                </c:pt>
                <c:pt idx="1">
                  <c:v>1.5835356558866944</c:v>
                </c:pt>
                <c:pt idx="2">
                  <c:v>1.5268663216972069</c:v>
                </c:pt>
                <c:pt idx="3">
                  <c:v>1.4736108967003849</c:v>
                </c:pt>
                <c:pt idx="4">
                  <c:v>1.4234730152143205</c:v>
                </c:pt>
                <c:pt idx="5">
                  <c:v>1.3761868407696707</c:v>
                </c:pt>
                <c:pt idx="6">
                  <c:v>1.3315133452123402</c:v>
                </c:pt>
                <c:pt idx="7">
                  <c:v>1.2892371203769541</c:v>
                </c:pt>
                <c:pt idx="8">
                  <c:v>1.2491636358080818</c:v>
                </c:pt>
                <c:pt idx="9">
                  <c:v>1.2111168716640672</c:v>
                </c:pt>
                <c:pt idx="10">
                  <c:v>1.1749372684826525</c:v>
                </c:pt>
                <c:pt idx="11">
                  <c:v>1.1404799455910224</c:v>
                </c:pt>
                <c:pt idx="12">
                  <c:v>1.1076131481215454</c:v>
                </c:pt>
                <c:pt idx="13">
                  <c:v>1.0762168892470043</c:v>
                </c:pt>
                <c:pt idx="14">
                  <c:v>1.0461817596852032</c:v>
                </c:pt>
                <c:pt idx="15">
                  <c:v>1.0174078809845</c:v>
                </c:pt>
                <c:pt idx="16">
                  <c:v>0.98980398277910042</c:v>
                </c:pt>
                <c:pt idx="17">
                  <c:v>0.96328658724596483</c:v>
                </c:pt>
                <c:pt idx="18">
                  <c:v>0.93777928652305909</c:v>
                </c:pt>
                <c:pt idx="19">
                  <c:v>0.91321210095636196</c:v>
                </c:pt>
                <c:pt idx="20">
                  <c:v>0.8895209078066344</c:v>
                </c:pt>
                <c:pt idx="21">
                  <c:v>0.86664693152762573</c:v>
                </c:pt>
                <c:pt idx="22">
                  <c:v>0.84453628797459845</c:v>
                </c:pt>
                <c:pt idx="23">
                  <c:v>0.82313957595590281</c:v>
                </c:pt>
                <c:pt idx="24">
                  <c:v>0.80241151043347769</c:v>
                </c:pt>
                <c:pt idx="25">
                  <c:v>0.78231059243726908</c:v>
                </c:pt>
                <c:pt idx="26">
                  <c:v>0.76279881140558881</c:v>
                </c:pt>
                <c:pt idx="27">
                  <c:v>0.74384137621631585</c:v>
                </c:pt>
                <c:pt idx="28">
                  <c:v>0.72540647164756533</c:v>
                </c:pt>
                <c:pt idx="29">
                  <c:v>0.70746503741323863</c:v>
                </c:pt>
                <c:pt idx="30">
                  <c:v>0.68999056726903585</c:v>
                </c:pt>
                <c:pt idx="31">
                  <c:v>0.67295892598656926</c:v>
                </c:pt>
                <c:pt idx="32">
                  <c:v>0.65634818225430169</c:v>
                </c:pt>
                <c:pt idx="33">
                  <c:v>0.64013845579011552</c:v>
                </c:pt>
                <c:pt idx="34">
                  <c:v>0.62431177714643826</c:v>
                </c:pt>
                <c:pt idx="35">
                  <c:v>0.60885195885918997</c:v>
                </c:pt>
                <c:pt idx="36">
                  <c:v>0.59374447673997732</c:v>
                </c:pt>
                <c:pt idx="37">
                  <c:v>0.57897636023992127</c:v>
                </c:pt>
                <c:pt idx="38">
                  <c:v>0.56453609092579082</c:v>
                </c:pt>
                <c:pt idx="39">
                  <c:v>0.55041350820689749</c:v>
                </c:pt>
                <c:pt idx="40">
                  <c:v>0.53659972153628577</c:v>
                </c:pt>
                <c:pt idx="41">
                  <c:v>0.52308702838359344</c:v>
                </c:pt>
                <c:pt idx="42">
                  <c:v>0.5098688373409177</c:v>
                </c:pt>
                <c:pt idx="43">
                  <c:v>0.49693959577808255</c:v>
                </c:pt>
                <c:pt idx="44">
                  <c:v>0.48429472151071257</c:v>
                </c:pt>
                <c:pt idx="45">
                  <c:v>0.47193053798421586</c:v>
                </c:pt>
                <c:pt idx="46">
                  <c:v>0.45984421250957713</c:v>
                </c:pt>
                <c:pt idx="47">
                  <c:v>0.44803369711315733</c:v>
                </c:pt>
                <c:pt idx="48">
                  <c:v>0.43649767158261776</c:v>
                </c:pt>
                <c:pt idx="49">
                  <c:v>0.4252354883046055</c:v>
                </c:pt>
                <c:pt idx="50">
                  <c:v>0.41424711849671281</c:v>
                </c:pt>
                <c:pt idx="51">
                  <c:v>0.40353309943594323</c:v>
                </c:pt>
                <c:pt idx="52">
                  <c:v>0.39309448227765714</c:v>
                </c:pt>
                <c:pt idx="53">
                  <c:v>0.38293278004148518</c:v>
                </c:pt>
                <c:pt idx="54">
                  <c:v>0.37304991531215831</c:v>
                </c:pt>
                <c:pt idx="55">
                  <c:v>0.36344816716107831</c:v>
                </c:pt>
                <c:pt idx="56">
                  <c:v>0.35413011673501671</c:v>
                </c:pt>
                <c:pt idx="57">
                  <c:v>0.34509859087642392</c:v>
                </c:pt>
                <c:pt idx="58">
                  <c:v>0.33635660302790454</c:v>
                </c:pt>
                <c:pt idx="59">
                  <c:v>0.32790729052053252</c:v>
                </c:pt>
                <c:pt idx="60">
                  <c:v>0.3197538471355974</c:v>
                </c:pt>
                <c:pt idx="61">
                  <c:v>0.31189944953750198</c:v>
                </c:pt>
                <c:pt idx="62">
                  <c:v>0.30434717576377246</c:v>
                </c:pt>
                <c:pt idx="63">
                  <c:v>0.29709991336576413</c:v>
                </c:pt>
                <c:pt idx="64">
                  <c:v>0.29016025392090344</c:v>
                </c:pt>
                <c:pt idx="65">
                  <c:v>0.28353036931397629</c:v>
                </c:pt>
                <c:pt idx="66">
                  <c:v>0.3294655200058863</c:v>
                </c:pt>
                <c:pt idx="67">
                  <c:v>0.31482677468295511</c:v>
                </c:pt>
                <c:pt idx="68">
                  <c:v>0.30114616375831976</c:v>
                </c:pt>
                <c:pt idx="69">
                  <c:v>0.28845093915391606</c:v>
                </c:pt>
                <c:pt idx="70">
                  <c:v>0.27676466655897464</c:v>
                </c:pt>
                <c:pt idx="71">
                  <c:v>0.26610636765072565</c:v>
                </c:pt>
                <c:pt idx="72">
                  <c:v>0.25648940361968536</c:v>
                </c:pt>
                <c:pt idx="73">
                  <c:v>0.24791996342778322</c:v>
                </c:pt>
                <c:pt idx="74">
                  <c:v>0.23564091536197238</c:v>
                </c:pt>
                <c:pt idx="75">
                  <c:v>0.23570830058450645</c:v>
                </c:pt>
                <c:pt idx="76">
                  <c:v>0.23629890549923036</c:v>
                </c:pt>
                <c:pt idx="77">
                  <c:v>0.23762922871075481</c:v>
                </c:pt>
                <c:pt idx="78">
                  <c:v>0.23977987642724491</c:v>
                </c:pt>
                <c:pt idx="79">
                  <c:v>0.24279494685637476</c:v>
                </c:pt>
                <c:pt idx="80">
                  <c:v>0.24669884685834997</c:v>
                </c:pt>
                <c:pt idx="81">
                  <c:v>0.25150347632653686</c:v>
                </c:pt>
                <c:pt idx="82">
                  <c:v>0.25721212592071085</c:v>
                </c:pt>
                <c:pt idx="83">
                  <c:v>0.2638218770195761</c:v>
                </c:pt>
                <c:pt idx="84">
                  <c:v>0.27132520193295967</c:v>
                </c:pt>
                <c:pt idx="85">
                  <c:v>0.27971109068930139</c:v>
                </c:pt>
                <c:pt idx="86">
                  <c:v>0.28896587630908932</c:v>
                </c:pt>
                <c:pt idx="87">
                  <c:v>0.299073857276551</c:v>
                </c:pt>
                <c:pt idx="88">
                  <c:v>0.31001777772213773</c:v>
                </c:pt>
                <c:pt idx="89">
                  <c:v>0.23907187652802675</c:v>
                </c:pt>
                <c:pt idx="90">
                  <c:v>0.241880842103606</c:v>
                </c:pt>
                <c:pt idx="91">
                  <c:v>0.24486381571893512</c:v>
                </c:pt>
                <c:pt idx="92">
                  <c:v>0.24801625363451979</c:v>
                </c:pt>
                <c:pt idx="93">
                  <c:v>0.25133354961786436</c:v>
                </c:pt>
                <c:pt idx="94">
                  <c:v>0.25481106407682402</c:v>
                </c:pt>
                <c:pt idx="95">
                  <c:v>0.25844414804789512</c:v>
                </c:pt>
                <c:pt idx="96">
                  <c:v>0.26222816298701185</c:v>
                </c:pt>
                <c:pt idx="97">
                  <c:v>0.26615849710775674</c:v>
                </c:pt>
                <c:pt idx="98">
                  <c:v>0.270230578859668</c:v>
                </c:pt>
                <c:pt idx="99">
                  <c:v>0.2744398880232809</c:v>
                </c:pt>
                <c:pt idx="100">
                  <c:v>0.27878196480884354</c:v>
                </c:pt>
                <c:pt idx="101">
                  <c:v>0.28325241727549083</c:v>
                </c:pt>
                <c:pt idx="102">
                  <c:v>0.2878469273321701</c:v>
                </c:pt>
                <c:pt idx="103">
                  <c:v>0.29256125553729229</c:v>
                </c:pt>
                <c:pt idx="104">
                  <c:v>0.29739124487836321</c:v>
                </c:pt>
                <c:pt idx="105">
                  <c:v>0.30233282368381992</c:v>
                </c:pt>
                <c:pt idx="106">
                  <c:v>0.30738200779554725</c:v>
                </c:pt>
                <c:pt idx="107">
                  <c:v>0.31253490211094959</c:v>
                </c:pt>
                <c:pt idx="108">
                  <c:v>0.31778770158723341</c:v>
                </c:pt>
                <c:pt idx="109">
                  <c:v>0.32313669178698229</c:v>
                </c:pt>
                <c:pt idx="110">
                  <c:v>0.32857824903277472</c:v>
                </c:pt>
                <c:pt idx="111">
                  <c:v>0.33410884022900256</c:v>
                </c:pt>
                <c:pt idx="112">
                  <c:v>0.33972502240096891</c:v>
                </c:pt>
                <c:pt idx="113">
                  <c:v>0.34542344199445174</c:v>
                </c:pt>
                <c:pt idx="114">
                  <c:v>0.35120083397305801</c:v>
                </c:pt>
                <c:pt idx="115">
                  <c:v>0.35705402074567388</c:v>
                </c:pt>
                <c:pt idx="116">
                  <c:v>0.36297991095200449</c:v>
                </c:pt>
                <c:pt idx="117">
                  <c:v>0.36897549813048869</c:v>
                </c:pt>
                <c:pt idx="118">
                  <c:v>0.37503785928967093</c:v>
                </c:pt>
                <c:pt idx="119">
                  <c:v>0.38116415340134191</c:v>
                </c:pt>
                <c:pt idx="120">
                  <c:v>0.38735161983135868</c:v>
                </c:pt>
                <c:pt idx="121">
                  <c:v>0.39359757672196621</c:v>
                </c:pt>
                <c:pt idx="122">
                  <c:v>0.39989941933762185</c:v>
                </c:pt>
                <c:pt idx="123">
                  <c:v>0.40625461838474713</c:v>
                </c:pt>
                <c:pt idx="124">
                  <c:v>0.4126607183144364</c:v>
                </c:pt>
                <c:pt idx="125">
                  <c:v>0.41911533561595871</c:v>
                </c:pt>
                <c:pt idx="126">
                  <c:v>0.42561615710780387</c:v>
                </c:pt>
                <c:pt idx="127">
                  <c:v>0.43216093823212715</c:v>
                </c:pt>
                <c:pt idx="128">
                  <c:v>0.43874750135760165</c:v>
                </c:pt>
                <c:pt idx="129">
                  <c:v>0.44537373409499648</c:v>
                </c:pt>
                <c:pt idx="130">
                  <c:v>0.45203758762916091</c:v>
                </c:pt>
                <c:pt idx="131">
                  <c:v>0.45873707507053496</c:v>
                </c:pt>
                <c:pt idx="132">
                  <c:v>0.46547026982884221</c:v>
                </c:pt>
                <c:pt idx="133">
                  <c:v>0.47223530401117564</c:v>
                </c:pt>
                <c:pt idx="134">
                  <c:v>0.47903036684632178</c:v>
                </c:pt>
                <c:pt idx="135">
                  <c:v>0.48585370313683629</c:v>
                </c:pt>
                <c:pt idx="136">
                  <c:v>0.49270361174009802</c:v>
                </c:pt>
                <c:pt idx="137">
                  <c:v>0.49957844407931218</c:v>
                </c:pt>
                <c:pt idx="138">
                  <c:v>0.50647660268520645</c:v>
                </c:pt>
                <c:pt idx="139">
                  <c:v>0.51339653976897848</c:v>
                </c:pt>
                <c:pt idx="140">
                  <c:v>0.52033675582687433</c:v>
                </c:pt>
                <c:pt idx="141">
                  <c:v>0.52729579827663098</c:v>
                </c:pt>
                <c:pt idx="142">
                  <c:v>0.53427226012588025</c:v>
                </c:pt>
                <c:pt idx="143">
                  <c:v>0.5412647786725151</c:v>
                </c:pt>
                <c:pt idx="144">
                  <c:v>0.54827203423689286</c:v>
                </c:pt>
                <c:pt idx="145">
                  <c:v>0.55529274892569469</c:v>
                </c:pt>
                <c:pt idx="146">
                  <c:v>0.56232568542716477</c:v>
                </c:pt>
                <c:pt idx="147">
                  <c:v>0.56936964583739968</c:v>
                </c:pt>
                <c:pt idx="148">
                  <c:v>0.57642347051730281</c:v>
                </c:pt>
                <c:pt idx="149">
                  <c:v>0.58348603697977686</c:v>
                </c:pt>
                <c:pt idx="150">
                  <c:v>0.59055625880667983</c:v>
                </c:pt>
                <c:pt idx="151">
                  <c:v>0.59763308459504594</c:v>
                </c:pt>
                <c:pt idx="152">
                  <c:v>0.60471549693204263</c:v>
                </c:pt>
                <c:pt idx="153">
                  <c:v>0.61180251139812292</c:v>
                </c:pt>
                <c:pt idx="154">
                  <c:v>0.61889317559778956</c:v>
                </c:pt>
                <c:pt idx="155">
                  <c:v>0.62598656821741538</c:v>
                </c:pt>
                <c:pt idx="156">
                  <c:v>0.63308179810951326</c:v>
                </c:pt>
                <c:pt idx="157">
                  <c:v>0.64017800340287079</c:v>
                </c:pt>
                <c:pt idx="158">
                  <c:v>0.6472743506379488</c:v>
                </c:pt>
                <c:pt idx="159">
                  <c:v>0.65437003392694382</c:v>
                </c:pt>
                <c:pt idx="160">
                  <c:v>0.6614642741379142</c:v>
                </c:pt>
                <c:pt idx="161">
                  <c:v>0.66855631810237681</c:v>
                </c:pt>
                <c:pt idx="162">
                  <c:v>0.67564543784577624</c:v>
                </c:pt>
                <c:pt idx="163">
                  <c:v>0.68273092984023886</c:v>
                </c:pt>
                <c:pt idx="164">
                  <c:v>0.68981211427903966</c:v>
                </c:pt>
                <c:pt idx="165">
                  <c:v>0.69688833437219233</c:v>
                </c:pt>
                <c:pt idx="166">
                  <c:v>0.7039589556626078</c:v>
                </c:pt>
                <c:pt idx="167">
                  <c:v>0.71102336536225796</c:v>
                </c:pt>
                <c:pt idx="168">
                  <c:v>0.71808097170780683</c:v>
                </c:pt>
                <c:pt idx="169">
                  <c:v>0.72513120333515579</c:v>
                </c:pt>
                <c:pt idx="170">
                  <c:v>0.73217350867238429</c:v>
                </c:pt>
                <c:pt idx="171">
                  <c:v>0.73920735535057935</c:v>
                </c:pt>
                <c:pt idx="172">
                  <c:v>0.74623222963202218</c:v>
                </c:pt>
                <c:pt idx="173">
                  <c:v>0.75324763585526466</c:v>
                </c:pt>
                <c:pt idx="174">
                  <c:v>0.7602530958965954</c:v>
                </c:pt>
                <c:pt idx="175">
                  <c:v>0.76724814864742408</c:v>
                </c:pt>
                <c:pt idx="176">
                  <c:v>0.77423234950713604</c:v>
                </c:pt>
                <c:pt idx="177">
                  <c:v>0.78120526989095129</c:v>
                </c:pt>
                <c:pt idx="178">
                  <c:v>0.7881664967523565</c:v>
                </c:pt>
                <c:pt idx="179">
                  <c:v>0.7951156321196905</c:v>
                </c:pt>
                <c:pt idx="180">
                  <c:v>0.80205229264644784</c:v>
                </c:pt>
                <c:pt idx="181">
                  <c:v>0.8089761091749208</c:v>
                </c:pt>
                <c:pt idx="182">
                  <c:v>0.81588672631276116</c:v>
                </c:pt>
                <c:pt idx="183">
                  <c:v>0.82278380202209589</c:v>
                </c:pt>
                <c:pt idx="184">
                  <c:v>0.82966700722081277</c:v>
                </c:pt>
                <c:pt idx="185">
                  <c:v>0.83653602539566241</c:v>
                </c:pt>
                <c:pt idx="186">
                  <c:v>0.84339055222681503</c:v>
                </c:pt>
                <c:pt idx="187">
                  <c:v>0.85023029522353533</c:v>
                </c:pt>
                <c:pt idx="188">
                  <c:v>0.85705497337064385</c:v>
                </c:pt>
                <c:pt idx="189">
                  <c:v>0.86386431678543363</c:v>
                </c:pt>
                <c:pt idx="190">
                  <c:v>0.8706580663847403</c:v>
                </c:pt>
                <c:pt idx="191">
                  <c:v>0.87743597356184688</c:v>
                </c:pt>
                <c:pt idx="192">
                  <c:v>0.88419779987293923</c:v>
                </c:pt>
                <c:pt idx="193">
                  <c:v>0.89094331673282323</c:v>
                </c:pt>
                <c:pt idx="194">
                  <c:v>0.8976723051196156</c:v>
                </c:pt>
                <c:pt idx="195">
                  <c:v>0.90438455528814832</c:v>
                </c:pt>
                <c:pt idx="196">
                  <c:v>0.91107986649182537</c:v>
                </c:pt>
                <c:pt idx="197">
                  <c:v>0.9177580467126597</c:v>
                </c:pt>
                <c:pt idx="198">
                  <c:v>0.92441891239927521</c:v>
                </c:pt>
                <c:pt idx="199">
                  <c:v>0.93106228821259895</c:v>
                </c:pt>
                <c:pt idx="200">
                  <c:v>0.9376880067790383</c:v>
                </c:pt>
              </c:numCache>
            </c:numRef>
          </c:val>
          <c:smooth val="0"/>
          <c:extLst>
            <c:ext xmlns:c16="http://schemas.microsoft.com/office/drawing/2014/chart" uri="{C3380CC4-5D6E-409C-BE32-E72D297353CC}">
              <c16:uniqueId val="{00000001-1CEB-4807-9B68-DA408029CAAF}"/>
            </c:ext>
          </c:extLst>
        </c:ser>
        <c:ser>
          <c:idx val="2"/>
          <c:order val="2"/>
          <c:tx>
            <c:v>Total MOSFET Loss</c:v>
          </c:tx>
          <c:spPr>
            <a:ln w="38100">
              <a:solidFill>
                <a:srgbClr val="808000"/>
              </a:solidFill>
              <a:prstDash val="sysDash"/>
            </a:ln>
          </c:spPr>
          <c:marker>
            <c:symbol val="none"/>
          </c:marker>
          <c:cat>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cat>
          <c:val>
            <c:numRef>
              <c:f>'Efficiency vs VIN Calculations'!$BJ$9:$BJ$209</c:f>
              <c:numCache>
                <c:formatCode>0.000</c:formatCode>
                <c:ptCount val="201"/>
                <c:pt idx="0">
                  <c:v>2.6850902670553891</c:v>
                </c:pt>
                <c:pt idx="1">
                  <c:v>2.5747081134703316</c:v>
                </c:pt>
                <c:pt idx="2">
                  <c:v>2.4722242715953842</c:v>
                </c:pt>
                <c:pt idx="3">
                  <c:v>2.3768426563043001</c:v>
                </c:pt>
                <c:pt idx="4">
                  <c:v>2.2878703844672579</c:v>
                </c:pt>
                <c:pt idx="5">
                  <c:v>2.2047015078244496</c:v>
                </c:pt>
                <c:pt idx="6">
                  <c:v>2.1268037440290075</c:v>
                </c:pt>
                <c:pt idx="7">
                  <c:v>2.0537075777356417</c:v>
                </c:pt>
                <c:pt idx="8">
                  <c:v>1.9849972501025164</c:v>
                </c:pt>
                <c:pt idx="9">
                  <c:v>1.9203032641309692</c:v>
                </c:pt>
                <c:pt idx="10">
                  <c:v>1.859296115243382</c:v>
                </c:pt>
                <c:pt idx="11">
                  <c:v>1.8016810186782073</c:v>
                </c:pt>
                <c:pt idx="12">
                  <c:v>1.74719345284554</c:v>
                </c:pt>
                <c:pt idx="13">
                  <c:v>1.6955953744631955</c:v>
                </c:pt>
                <c:pt idx="14">
                  <c:v>1.6466719897877762</c:v>
                </c:pt>
                <c:pt idx="15">
                  <c:v>1.6002289885506731</c:v>
                </c:pt>
                <c:pt idx="16">
                  <c:v>1.5560901647714827</c:v>
                </c:pt>
                <c:pt idx="17">
                  <c:v>1.5140953625437572</c:v>
                </c:pt>
                <c:pt idx="18">
                  <c:v>1.4740986959915832</c:v>
                </c:pt>
                <c:pt idx="19">
                  <c:v>1.435967001501647</c:v>
                </c:pt>
                <c:pt idx="20">
                  <c:v>1.3995784875181139</c:v>
                </c:pt>
                <c:pt idx="21">
                  <c:v>1.3648215530102985</c:v>
                </c:pt>
                <c:pt idx="22">
                  <c:v>1.3315937504666862</c:v>
                </c:pt>
                <c:pt idx="23">
                  <c:v>1.299800873151512</c:v>
                </c:pt>
                <c:pt idx="24">
                  <c:v>1.2693561495524261</c:v>
                </c:pt>
                <c:pt idx="25">
                  <c:v>1.240179530583756</c:v>
                </c:pt>
                <c:pt idx="26">
                  <c:v>1.2121970572955185</c:v>
                </c:pt>
                <c:pt idx="27">
                  <c:v>1.1853402986576009</c:v>
                </c:pt>
                <c:pt idx="28">
                  <c:v>1.1595458505087004</c:v>
                </c:pt>
                <c:pt idx="29">
                  <c:v>1.1347548880343352</c:v>
                </c:pt>
                <c:pt idx="30">
                  <c:v>1.1109127652109596</c:v>
                </c:pt>
                <c:pt idx="31">
                  <c:v>1.0879686555589061</c:v>
                </c:pt>
                <c:pt idx="32">
                  <c:v>1.0658752293140423</c:v>
                </c:pt>
                <c:pt idx="33">
                  <c:v>1.0445883627798382</c:v>
                </c:pt>
                <c:pt idx="34">
                  <c:v>1.0240668761770126</c:v>
                </c:pt>
                <c:pt idx="35">
                  <c:v>1.0042722967826412</c:v>
                </c:pt>
                <c:pt idx="36">
                  <c:v>0.98516864455744446</c:v>
                </c:pt>
                <c:pt idx="37">
                  <c:v>0.96672223780956135</c:v>
                </c:pt>
                <c:pt idx="38">
                  <c:v>0.94890151674428436</c:v>
                </c:pt>
                <c:pt idx="39">
                  <c:v>0.93167688300932072</c:v>
                </c:pt>
                <c:pt idx="40">
                  <c:v>0.91502055357036483</c:v>
                </c:pt>
                <c:pt idx="41">
                  <c:v>0.89890642744711291</c:v>
                </c:pt>
                <c:pt idx="42">
                  <c:v>0.88330996400983164</c:v>
                </c:pt>
                <c:pt idx="43">
                  <c:v>0.86820807168469616</c:v>
                </c:pt>
                <c:pt idx="44">
                  <c:v>0.85357900604547365</c:v>
                </c:pt>
                <c:pt idx="45">
                  <c:v>0.83940227638237996</c:v>
                </c:pt>
                <c:pt idx="46">
                  <c:v>0.82565855993822057</c:v>
                </c:pt>
                <c:pt idx="47">
                  <c:v>0.81232962308917611</c:v>
                </c:pt>
                <c:pt idx="48">
                  <c:v>0.79939824882441024</c:v>
                </c:pt>
                <c:pt idx="49">
                  <c:v>0.78684816994639528</c:v>
                </c:pt>
                <c:pt idx="50">
                  <c:v>0.77466400747370578</c:v>
                </c:pt>
                <c:pt idx="51">
                  <c:v>0.76283121378096286</c:v>
                </c:pt>
                <c:pt idx="52">
                  <c:v>0.75133602005758637</c:v>
                </c:pt>
                <c:pt idx="53">
                  <c:v>0.74016538770865614</c:v>
                </c:pt>
                <c:pt idx="54">
                  <c:v>0.72930696335826251</c:v>
                </c:pt>
                <c:pt idx="55">
                  <c:v>0.71874903714873584</c:v>
                </c:pt>
                <c:pt idx="56">
                  <c:v>0.70848050405857965</c:v>
                </c:pt>
                <c:pt idx="57">
                  <c:v>0.69849082798823281</c:v>
                </c:pt>
                <c:pt idx="58">
                  <c:v>0.68877000838631675</c:v>
                </c:pt>
                <c:pt idx="59">
                  <c:v>0.67930854921008688</c:v>
                </c:pt>
                <c:pt idx="60">
                  <c:v>0.67009743003271671</c:v>
                </c:pt>
                <c:pt idx="61">
                  <c:v>0.66112807912700933</c:v>
                </c:pt>
                <c:pt idx="62">
                  <c:v>0.65239234837041093</c:v>
                </c:pt>
                <c:pt idx="63">
                  <c:v>0.6438824898299268</c:v>
                </c:pt>
                <c:pt idx="64">
                  <c:v>0.63559113389794752</c:v>
                </c:pt>
                <c:pt idx="65">
                  <c:v>0.6275112688611717</c:v>
                </c:pt>
                <c:pt idx="66">
                  <c:v>0.64215937073452589</c:v>
                </c:pt>
                <c:pt idx="67">
                  <c:v>0.63593660629427506</c:v>
                </c:pt>
                <c:pt idx="68">
                  <c:v>0.62990277494449509</c:v>
                </c:pt>
                <c:pt idx="69">
                  <c:v>0.62405382409875876</c:v>
                </c:pt>
                <c:pt idx="70">
                  <c:v>0.61838597532692674</c:v>
                </c:pt>
                <c:pt idx="71">
                  <c:v>0.61289571166213586</c:v>
                </c:pt>
                <c:pt idx="72">
                  <c:v>0.6075797656986377</c:v>
                </c:pt>
                <c:pt idx="73">
                  <c:v>0.60243510842631709</c:v>
                </c:pt>
                <c:pt idx="74">
                  <c:v>0.59871757758590516</c:v>
                </c:pt>
                <c:pt idx="75">
                  <c:v>0.59904881478990779</c:v>
                </c:pt>
                <c:pt idx="76">
                  <c:v>0.59942748373798327</c:v>
                </c:pt>
                <c:pt idx="77">
                  <c:v>0.59985503686040786</c:v>
                </c:pt>
                <c:pt idx="78">
                  <c:v>0.60032932822457163</c:v>
                </c:pt>
                <c:pt idx="79">
                  <c:v>0.60084831457997423</c:v>
                </c:pt>
                <c:pt idx="80">
                  <c:v>0.60141004964349276</c:v>
                </c:pt>
                <c:pt idx="81">
                  <c:v>0.6020126787565524</c:v>
                </c:pt>
                <c:pt idx="82">
                  <c:v>0.6026544338861296</c:v>
                </c:pt>
                <c:pt idx="83">
                  <c:v>0.6033336289439335</c:v>
                </c:pt>
                <c:pt idx="84">
                  <c:v>0.60404865540030928</c:v>
                </c:pt>
                <c:pt idx="85">
                  <c:v>0.60479797817137737</c:v>
                </c:pt>
                <c:pt idx="86">
                  <c:v>0.60558013175971959</c:v>
                </c:pt>
                <c:pt idx="87">
                  <c:v>0.60639371663053909</c:v>
                </c:pt>
                <c:pt idx="88">
                  <c:v>0.60723739580670144</c:v>
                </c:pt>
                <c:pt idx="89">
                  <c:v>0.64372616656072856</c:v>
                </c:pt>
                <c:pt idx="90">
                  <c:v>0.64555741288651658</c:v>
                </c:pt>
                <c:pt idx="91">
                  <c:v>0.64739606339224576</c:v>
                </c:pt>
                <c:pt idx="92">
                  <c:v>0.64924179021811612</c:v>
                </c:pt>
                <c:pt idx="93">
                  <c:v>0.65109427979301415</c:v>
                </c:pt>
                <c:pt idx="94">
                  <c:v>0.65295323213731193</c:v>
                </c:pt>
                <c:pt idx="95">
                  <c:v>0.65481836020432571</c:v>
                </c:pt>
                <c:pt idx="96">
                  <c:v>0.65668938925801179</c:v>
                </c:pt>
                <c:pt idx="97">
                  <c:v>0.65856605628464271</c:v>
                </c:pt>
                <c:pt idx="98">
                  <c:v>0.660448109436372</c:v>
                </c:pt>
                <c:pt idx="99">
                  <c:v>0.66233530750473146</c:v>
                </c:pt>
                <c:pt idx="100">
                  <c:v>0.66422741942224395</c:v>
                </c:pt>
                <c:pt idx="101">
                  <c:v>0.6661242237904581</c:v>
                </c:pt>
                <c:pt idx="102">
                  <c:v>0.66802550843282493</c:v>
                </c:pt>
                <c:pt idx="103">
                  <c:v>0.66993106997093854</c:v>
                </c:pt>
                <c:pt idx="104">
                  <c:v>0.67184071342277096</c:v>
                </c:pt>
                <c:pt idx="105">
                  <c:v>0.67375425182160709</c:v>
                </c:pt>
                <c:pt idx="106">
                  <c:v>0.67567150585448399</c:v>
                </c:pt>
                <c:pt idx="107">
                  <c:v>0.67759230351900901</c:v>
                </c:pt>
                <c:pt idx="108">
                  <c:v>0.67951647979750363</c:v>
                </c:pt>
                <c:pt idx="109">
                  <c:v>0.6814438763474906</c:v>
                </c:pt>
                <c:pt idx="110">
                  <c:v>0.68337434120760265</c:v>
                </c:pt>
                <c:pt idx="111">
                  <c:v>0.685307728518046</c:v>
                </c:pt>
                <c:pt idx="112">
                  <c:v>0.6872438982548148</c:v>
                </c:pt>
                <c:pt idx="113">
                  <c:v>0.68918271597689007</c:v>
                </c:pt>
                <c:pt idx="114">
                  <c:v>0.69112405258571585</c:v>
                </c:pt>
                <c:pt idx="115">
                  <c:v>0.69306778409628145</c:v>
                </c:pt>
                <c:pt idx="116">
                  <c:v>0.69501379141918018</c:v>
                </c:pt>
                <c:pt idx="117">
                  <c:v>0.69696196015305711</c:v>
                </c:pt>
                <c:pt idx="118">
                  <c:v>0.69891218038688874</c:v>
                </c:pt>
                <c:pt idx="119">
                  <c:v>0.70086434651157226</c:v>
                </c:pt>
                <c:pt idx="120">
                  <c:v>0.70281835704033613</c:v>
                </c:pt>
                <c:pt idx="121">
                  <c:v>0.70477411443750482</c:v>
                </c:pt>
                <c:pt idx="122">
                  <c:v>0.70673152495518876</c:v>
                </c:pt>
                <c:pt idx="123">
                  <c:v>0.70869049847748344</c:v>
                </c:pt>
                <c:pt idx="124">
                  <c:v>0.71065094837179477</c:v>
                </c:pt>
                <c:pt idx="125">
                  <c:v>0.71261279134692723</c:v>
                </c:pt>
                <c:pt idx="126">
                  <c:v>0.71457594731758634</c:v>
                </c:pt>
                <c:pt idx="127">
                  <c:v>0.71654033927497773</c:v>
                </c:pt>
                <c:pt idx="128">
                  <c:v>0.71850589316319202</c:v>
                </c:pt>
                <c:pt idx="129">
                  <c:v>0.72047253776108888</c:v>
                </c:pt>
                <c:pt idx="130">
                  <c:v>0.72244020456940672</c:v>
                </c:pt>
                <c:pt idx="131">
                  <c:v>0.72440882770284132</c:v>
                </c:pt>
                <c:pt idx="132">
                  <c:v>0.72637834378684674</c:v>
                </c:pt>
                <c:pt idx="133">
                  <c:v>0.72834869185893347</c:v>
                </c:pt>
                <c:pt idx="134">
                  <c:v>0.73031981327423945</c:v>
                </c:pt>
                <c:pt idx="135">
                  <c:v>0.73229165161517296</c:v>
                </c:pt>
                <c:pt idx="136">
                  <c:v>0.73426415260492983</c:v>
                </c:pt>
                <c:pt idx="137">
                  <c:v>0.73623726402470013</c:v>
                </c:pt>
                <c:pt idx="138">
                  <c:v>0.73821093563439077</c:v>
                </c:pt>
                <c:pt idx="139">
                  <c:v>0.74018511909669615</c:v>
                </c:pt>
                <c:pt idx="140">
                  <c:v>0.74215976790436222</c:v>
                </c:pt>
                <c:pt idx="141">
                  <c:v>0.74413483731049257</c:v>
                </c:pt>
                <c:pt idx="142">
                  <c:v>0.7461102842617563</c:v>
                </c:pt>
                <c:pt idx="143">
                  <c:v>0.74808606733436545</c:v>
                </c:pt>
                <c:pt idx="144">
                  <c:v>0.75006214667269089</c:v>
                </c:pt>
                <c:pt idx="145">
                  <c:v>0.75203848393039952</c:v>
                </c:pt>
                <c:pt idx="146">
                  <c:v>0.75401504221399773</c:v>
                </c:pt>
                <c:pt idx="147">
                  <c:v>0.75599178602866879</c:v>
                </c:pt>
                <c:pt idx="148">
                  <c:v>0.75796868122630756</c:v>
                </c:pt>
                <c:pt idx="149">
                  <c:v>0.75994569495564623</c:v>
                </c:pt>
                <c:pt idx="150">
                  <c:v>0.76192279561438503</c:v>
                </c:pt>
                <c:pt idx="151">
                  <c:v>0.76389995280323464</c:v>
                </c:pt>
                <c:pt idx="152">
                  <c:v>0.76587713728178608</c:v>
                </c:pt>
                <c:pt idx="153">
                  <c:v>0.76785432092613148</c:v>
                </c:pt>
                <c:pt idx="154">
                  <c:v>0.76983147668815421</c:v>
                </c:pt>
                <c:pt idx="155">
                  <c:v>0.77180857855642082</c:v>
                </c:pt>
                <c:pt idx="156">
                  <c:v>0.7737856015185991</c:v>
                </c:pt>
                <c:pt idx="157">
                  <c:v>0.77576252152534564</c:v>
                </c:pt>
                <c:pt idx="158">
                  <c:v>0.77773931545558916</c:v>
                </c:pt>
                <c:pt idx="159">
                  <c:v>0.77971596108315877</c:v>
                </c:pt>
                <c:pt idx="160">
                  <c:v>0.78169243704469604</c:v>
                </c:pt>
                <c:pt idx="161">
                  <c:v>0.78366872280879607</c:v>
                </c:pt>
                <c:pt idx="162">
                  <c:v>0.78564479864632852</c:v>
                </c:pt>
                <c:pt idx="163">
                  <c:v>0.7876206456018866</c:v>
                </c:pt>
                <c:pt idx="164">
                  <c:v>0.78959624546631768</c:v>
                </c:pt>
                <c:pt idx="165">
                  <c:v>0.79157158075029199</c:v>
                </c:pt>
                <c:pt idx="166">
                  <c:v>0.7935466346588641</c:v>
                </c:pt>
                <c:pt idx="167">
                  <c:v>0.79552139106698816</c:v>
                </c:pt>
                <c:pt idx="168">
                  <c:v>0.79749583449594641</c:v>
                </c:pt>
                <c:pt idx="169">
                  <c:v>0.79946995009065602</c:v>
                </c:pt>
                <c:pt idx="170">
                  <c:v>0.80144372359781424</c:v>
                </c:pt>
                <c:pt idx="171">
                  <c:v>0.80341714134485354</c:v>
                </c:pt>
                <c:pt idx="172">
                  <c:v>0.80539019021966829</c:v>
                </c:pt>
                <c:pt idx="173">
                  <c:v>0.8073628576510874</c:v>
                </c:pt>
                <c:pt idx="174">
                  <c:v>0.80933513159005865</c:v>
                </c:pt>
                <c:pt idx="175">
                  <c:v>0.81130700049151849</c:v>
                </c:pt>
                <c:pt idx="176">
                  <c:v>0.81327845329692106</c:v>
                </c:pt>
                <c:pt idx="177">
                  <c:v>0.81524947941739745</c:v>
                </c:pt>
                <c:pt idx="178">
                  <c:v>0.81722006871752373</c:v>
                </c:pt>
                <c:pt idx="179">
                  <c:v>0.81919021149967164</c:v>
                </c:pt>
                <c:pt idx="180">
                  <c:v>0.82115989848891857</c:v>
                </c:pt>
                <c:pt idx="181">
                  <c:v>0.82312912081849854</c:v>
                </c:pt>
                <c:pt idx="182">
                  <c:v>0.82509787001577006</c:v>
                </c:pt>
                <c:pt idx="183">
                  <c:v>0.82706613798868145</c:v>
                </c:pt>
                <c:pt idx="184">
                  <c:v>0.82903391701271478</c:v>
                </c:pt>
                <c:pt idx="185">
                  <c:v>0.83100119971829245</c:v>
                </c:pt>
                <c:pt idx="186">
                  <c:v>0.83296797907862286</c:v>
                </c:pt>
                <c:pt idx="187">
                  <c:v>0.83493424839797492</c:v>
                </c:pt>
                <c:pt idx="188">
                  <c:v>0.83690000130036335</c:v>
                </c:pt>
                <c:pt idx="189">
                  <c:v>0.83886523171862337</c:v>
                </c:pt>
                <c:pt idx="190">
                  <c:v>0.84082993388387184</c:v>
                </c:pt>
                <c:pt idx="191">
                  <c:v>0.84279410231532714</c:v>
                </c:pt>
                <c:pt idx="192">
                  <c:v>0.84475773181048608</c:v>
                </c:pt>
                <c:pt idx="193">
                  <c:v>0.84672081743563643</c:v>
                </c:pt>
                <c:pt idx="194">
                  <c:v>0.84868335451669619</c:v>
                </c:pt>
                <c:pt idx="195">
                  <c:v>0.85064533863036706</c:v>
                </c:pt>
                <c:pt idx="196">
                  <c:v>0.85260676559559045</c:v>
                </c:pt>
                <c:pt idx="197">
                  <c:v>0.8545676314652948</c:v>
                </c:pt>
                <c:pt idx="198">
                  <c:v>0.85652793251842341</c:v>
                </c:pt>
                <c:pt idx="199">
                  <c:v>0.85848766525223352</c:v>
                </c:pt>
                <c:pt idx="200">
                  <c:v>0.86044682637485448</c:v>
                </c:pt>
              </c:numCache>
            </c:numRef>
          </c:val>
          <c:smooth val="0"/>
          <c:extLst>
            <c:ext xmlns:c16="http://schemas.microsoft.com/office/drawing/2014/chart" uri="{C3380CC4-5D6E-409C-BE32-E72D297353CC}">
              <c16:uniqueId val="{00000002-1CEB-4807-9B68-DA408029CAAF}"/>
            </c:ext>
          </c:extLst>
        </c:ser>
        <c:ser>
          <c:idx val="1"/>
          <c:order val="3"/>
          <c:tx>
            <c:v>Shunt Loss</c:v>
          </c:tx>
          <c:spPr>
            <a:ln w="38100">
              <a:solidFill>
                <a:srgbClr val="002060"/>
              </a:solidFill>
              <a:prstDash val="sysDot"/>
            </a:ln>
          </c:spPr>
          <c:marker>
            <c:symbol val="none"/>
          </c:marker>
          <c:cat>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cat>
          <c:val>
            <c:numRef>
              <c:f>'Efficiency vs VIN Calculations'!$BL$9:$BL$209</c:f>
              <c:numCache>
                <c:formatCode>0.000</c:formatCode>
                <c:ptCount val="201"/>
                <c:pt idx="0">
                  <c:v>1.0814943399110795</c:v>
                </c:pt>
                <c:pt idx="1">
                  <c:v>1.0272693190790367</c:v>
                </c:pt>
                <c:pt idx="2">
                  <c:v>0.97627447728377803</c:v>
                </c:pt>
                <c:pt idx="3">
                  <c:v>0.9282681077481606</c:v>
                </c:pt>
                <c:pt idx="4">
                  <c:v>0.88303034850063866</c:v>
                </c:pt>
                <c:pt idx="5">
                  <c:v>0.84036087455424913</c:v>
                </c:pt>
                <c:pt idx="6">
                  <c:v>0.80007686846083248</c:v>
                </c:pt>
                <c:pt idx="7">
                  <c:v>0.76201123160617112</c:v>
                </c:pt>
                <c:pt idx="8">
                  <c:v>0.72601100423102161</c:v>
                </c:pt>
                <c:pt idx="9">
                  <c:v>0.6919359668663696</c:v>
                </c:pt>
                <c:pt idx="10">
                  <c:v>0.65965739982002836</c:v>
                </c:pt>
                <c:pt idx="11">
                  <c:v>0.62905698067695182</c:v>
                </c:pt>
                <c:pt idx="12">
                  <c:v>0.60002580258382832</c:v>
                </c:pt>
                <c:pt idx="13">
                  <c:v>0.57246349846667877</c:v>
                </c:pt>
                <c:pt idx="14">
                  <c:v>0.54627745834958596</c:v>
                </c:pt>
                <c:pt idx="15">
                  <c:v>0.52138212866192202</c:v>
                </c:pt>
                <c:pt idx="16">
                  <c:v>0.49769838388883508</c:v>
                </c:pt>
                <c:pt idx="17">
                  <c:v>0.4751529621752465</c:v>
                </c:pt>
                <c:pt idx="18">
                  <c:v>0.4536779575703746</c:v>
                </c:pt>
                <c:pt idx="19">
                  <c:v>0.43321036252535899</c:v>
                </c:pt>
                <c:pt idx="20">
                  <c:v>0.41369165505398425</c:v>
                </c:pt>
                <c:pt idx="21">
                  <c:v>0.39506742565495595</c:v>
                </c:pt>
                <c:pt idx="22">
                  <c:v>0.37728703968984978</c:v>
                </c:pt>
                <c:pt idx="23">
                  <c:v>0.360303331427277</c:v>
                </c:pt>
                <c:pt idx="24">
                  <c:v>0.34407232641243551</c:v>
                </c:pt>
                <c:pt idx="25">
                  <c:v>0.32855298921165305</c:v>
                </c:pt>
                <c:pt idx="26">
                  <c:v>0.31370699392204521</c:v>
                </c:pt>
                <c:pt idx="27">
                  <c:v>0.29949851513382858</c:v>
                </c:pt>
                <c:pt idx="28">
                  <c:v>0.28589403729316604</c:v>
                </c:pt>
                <c:pt idx="29">
                  <c:v>0.27286218064161938</c:v>
                </c:pt>
                <c:pt idx="30">
                  <c:v>0.26037354210868757</c:v>
                </c:pt>
                <c:pt idx="31">
                  <c:v>0.24840054971018885</c:v>
                </c:pt>
                <c:pt idx="32">
                  <c:v>0.23691732916053623</c:v>
                </c:pt>
                <c:pt idx="33">
                  <c:v>0.22589958154399131</c:v>
                </c:pt>
                <c:pt idx="34">
                  <c:v>0.21532447101108523</c:v>
                </c:pt>
                <c:pt idx="35">
                  <c:v>0.20517052157356613</c:v>
                </c:pt>
                <c:pt idx="36">
                  <c:v>0.19541752216623742</c:v>
                </c:pt>
                <c:pt idx="37">
                  <c:v>0.18604643922836187</c:v>
                </c:pt>
                <c:pt idx="38">
                  <c:v>0.17703933613225173</c:v>
                </c:pt>
                <c:pt idx="39">
                  <c:v>0.16837929885336228</c:v>
                </c:pt>
                <c:pt idx="40">
                  <c:v>0.16005036733565606</c:v>
                </c:pt>
                <c:pt idx="41">
                  <c:v>0.15203747205903642</c:v>
                </c:pt>
                <c:pt idx="42">
                  <c:v>0.1443263753630509</c:v>
                </c:pt>
                <c:pt idx="43">
                  <c:v>0.13690361712346141</c:v>
                </c:pt>
                <c:pt idx="44">
                  <c:v>0.12975646441624097</c:v>
                </c:pt>
                <c:pt idx="45">
                  <c:v>0.12287286483761695</c:v>
                </c:pt>
                <c:pt idx="46">
                  <c:v>0.11624140317934585</c:v>
                </c:pt>
                <c:pt idx="47">
                  <c:v>0.10985126118587499</c:v>
                </c:pt>
                <c:pt idx="48">
                  <c:v>0.1036921801447715</c:v>
                </c:pt>
                <c:pt idx="49">
                  <c:v>9.775442608406229E-2</c:v>
                </c:pt>
                <c:pt idx="50">
                  <c:v>9.2028757370205813E-2</c:v>
                </c:pt>
                <c:pt idx="51">
                  <c:v>8.6506394518538407E-2</c:v>
                </c:pt>
                <c:pt idx="52">
                  <c:v>8.1178992044413659E-2</c:v>
                </c:pt>
                <c:pt idx="53">
                  <c:v>7.6038612198063141E-2</c:v>
                </c:pt>
                <c:pt idx="54">
                  <c:v>7.1077700439610161E-2</c:v>
                </c:pt>
                <c:pt idx="55">
                  <c:v>6.6289062522827305E-2</c:v>
                </c:pt>
                <c:pt idx="56">
                  <c:v>6.1665843067240288E-2</c:v>
                </c:pt>
                <c:pt idx="57">
                  <c:v>5.7201505508192689E-2</c:v>
                </c:pt>
                <c:pt idx="58">
                  <c:v>5.2889813323577645E-2</c:v>
                </c:pt>
                <c:pt idx="59">
                  <c:v>4.872481244421218E-2</c:v>
                </c:pt>
                <c:pt idx="60">
                  <c:v>4.4700814762357204E-2</c:v>
                </c:pt>
                <c:pt idx="61">
                  <c:v>4.0812382659748715E-2</c:v>
                </c:pt>
                <c:pt idx="62">
                  <c:v>3.7054314482757443E-2</c:v>
                </c:pt>
                <c:pt idx="63">
                  <c:v>3.3421630898004526E-2</c:v>
                </c:pt>
                <c:pt idx="64">
                  <c:v>2.9909562066972505E-2</c:v>
                </c:pt>
                <c:pt idx="65">
                  <c:v>2.6513535582919627E-2</c:v>
                </c:pt>
                <c:pt idx="66">
                  <c:v>4.4370574574656901E-2</c:v>
                </c:pt>
                <c:pt idx="67">
                  <c:v>4.0943703458281307E-2</c:v>
                </c:pt>
                <c:pt idx="68">
                  <c:v>3.7629994920079075E-2</c:v>
                </c:pt>
                <c:pt idx="69">
                  <c:v>3.4425308508936291E-2</c:v>
                </c:pt>
                <c:pt idx="70">
                  <c:v>3.1325618317581641E-2</c:v>
                </c:pt>
                <c:pt idx="71">
                  <c:v>2.8327003669353062E-2</c:v>
                </c:pt>
                <c:pt idx="72">
                  <c:v>2.5425640271822297E-2</c:v>
                </c:pt>
                <c:pt idx="73">
                  <c:v>2.2617791807137071E-2</c:v>
                </c:pt>
                <c:pt idx="74">
                  <c:v>2.1465950491518237E-2</c:v>
                </c:pt>
                <c:pt idx="75">
                  <c:v>2.3795586799407482E-2</c:v>
                </c:pt>
                <c:pt idx="76">
                  <c:v>2.6092102578726292E-2</c:v>
                </c:pt>
                <c:pt idx="77">
                  <c:v>2.835727783668017E-2</c:v>
                </c:pt>
                <c:pt idx="78">
                  <c:v>3.0592545469519238E-2</c:v>
                </c:pt>
                <c:pt idx="79">
                  <c:v>3.2799249191150577E-2</c:v>
                </c:pt>
                <c:pt idx="80">
                  <c:v>3.4978649498861071E-2</c:v>
                </c:pt>
                <c:pt idx="81">
                  <c:v>3.7131929215517161E-2</c:v>
                </c:pt>
                <c:pt idx="82">
                  <c:v>3.9260198640325497E-2</c:v>
                </c:pt>
                <c:pt idx="83">
                  <c:v>4.1364500337639068E-2</c:v>
                </c:pt>
                <c:pt idx="84">
                  <c:v>4.3445813590918765E-2</c:v>
                </c:pt>
                <c:pt idx="85">
                  <c:v>4.5505058546791453E-2</c:v>
                </c:pt>
                <c:pt idx="86">
                  <c:v>4.7543100072158527E-2</c:v>
                </c:pt>
                <c:pt idx="87">
                  <c:v>4.9560751345495688E-2</c:v>
                </c:pt>
                <c:pt idx="88">
                  <c:v>5.1558777201820546E-2</c:v>
                </c:pt>
                <c:pt idx="89">
                  <c:v>2.9631108107740858E-2</c:v>
                </c:pt>
                <c:pt idx="90">
                  <c:v>3.1455385586203546E-2</c:v>
                </c:pt>
                <c:pt idx="91">
                  <c:v>3.3256569547247941E-2</c:v>
                </c:pt>
                <c:pt idx="92">
                  <c:v>3.5035214467237855E-2</c:v>
                </c:pt>
                <c:pt idx="93">
                  <c:v>3.6791854236388172E-2</c:v>
                </c:pt>
                <c:pt idx="94">
                  <c:v>3.8527003151931173E-2</c:v>
                </c:pt>
                <c:pt idx="95">
                  <c:v>4.024115685480794E-2</c:v>
                </c:pt>
                <c:pt idx="96">
                  <c:v>4.1934793213498044E-2</c:v>
                </c:pt>
                <c:pt idx="97">
                  <c:v>4.360837315834773E-2</c:v>
                </c:pt>
                <c:pt idx="98">
                  <c:v>4.5262341469520705E-2</c:v>
                </c:pt>
                <c:pt idx="99">
                  <c:v>4.6897127521479093E-2</c:v>
                </c:pt>
                <c:pt idx="100">
                  <c:v>4.851314598670154E-2</c:v>
                </c:pt>
                <c:pt idx="101">
                  <c:v>5.0110797501159147E-2</c:v>
                </c:pt>
                <c:pt idx="102">
                  <c:v>5.1690469293899317E-2</c:v>
                </c:pt>
                <c:pt idx="103">
                  <c:v>5.325253578292681E-2</c:v>
                </c:pt>
                <c:pt idx="104">
                  <c:v>5.4797359139425898E-2</c:v>
                </c:pt>
                <c:pt idx="105">
                  <c:v>5.6325289822229195E-2</c:v>
                </c:pt>
                <c:pt idx="106">
                  <c:v>5.7836667084313148E-2</c:v>
                </c:pt>
                <c:pt idx="107">
                  <c:v>5.9331819452981847E-2</c:v>
                </c:pt>
                <c:pt idx="108">
                  <c:v>6.0811065185292994E-2</c:v>
                </c:pt>
                <c:pt idx="109">
                  <c:v>6.2274712700176774E-2</c:v>
                </c:pt>
                <c:pt idx="110">
                  <c:v>6.3723060988606389E-2</c:v>
                </c:pt>
                <c:pt idx="111">
                  <c:v>6.5156400003089018E-2</c:v>
                </c:pt>
                <c:pt idx="112">
                  <c:v>6.6575011027667649E-2</c:v>
                </c:pt>
                <c:pt idx="113">
                  <c:v>6.7979167029545803E-2</c:v>
                </c:pt>
                <c:pt idx="114">
                  <c:v>6.9369132993378407E-2</c:v>
                </c:pt>
                <c:pt idx="115">
                  <c:v>7.0745166239205987E-2</c:v>
                </c:pt>
                <c:pt idx="116">
                  <c:v>7.2107516724948334E-2</c:v>
                </c:pt>
                <c:pt idx="117">
                  <c:v>7.3456427334316787E-2</c:v>
                </c:pt>
                <c:pt idx="118">
                  <c:v>7.479213415095172E-2</c:v>
                </c:pt>
                <c:pt idx="119">
                  <c:v>7.6114866719540999E-2</c:v>
                </c:pt>
                <c:pt idx="120">
                  <c:v>7.7424848294631338E-2</c:v>
                </c:pt>
                <c:pt idx="121">
                  <c:v>7.8722296077798418E-2</c:v>
                </c:pt>
                <c:pt idx="122">
                  <c:v>8.0007421443804475E-2</c:v>
                </c:pt>
                <c:pt idx="123">
                  <c:v>8.128043015633156E-2</c:v>
                </c:pt>
                <c:pt idx="124">
                  <c:v>8.2541522573845866E-2</c:v>
                </c:pt>
                <c:pt idx="125">
                  <c:v>8.3790893846114683E-2</c:v>
                </c:pt>
                <c:pt idx="126">
                  <c:v>8.502873410186601E-2</c:v>
                </c:pt>
                <c:pt idx="127">
                  <c:v>8.6255228628054223E-2</c:v>
                </c:pt>
                <c:pt idx="128">
                  <c:v>8.747055804116563E-2</c:v>
                </c:pt>
                <c:pt idx="129">
                  <c:v>8.8674898450975412E-2</c:v>
                </c:pt>
                <c:pt idx="130">
                  <c:v>8.9868421617140995E-2</c:v>
                </c:pt>
                <c:pt idx="131">
                  <c:v>9.1051295098997662E-2</c:v>
                </c:pt>
                <c:pt idx="132">
                  <c:v>9.2223682398898138E-2</c:v>
                </c:pt>
                <c:pt idx="133">
                  <c:v>9.3385743099422505E-2</c:v>
                </c:pt>
                <c:pt idx="134">
                  <c:v>9.4537632994762061E-2</c:v>
                </c:pt>
                <c:pt idx="135">
                  <c:v>9.567950421656847E-2</c:v>
                </c:pt>
                <c:pt idx="136">
                  <c:v>9.6811505354538224E-2</c:v>
                </c:pt>
                <c:pt idx="137">
                  <c:v>9.793378157199277E-2</c:v>
                </c:pt>
                <c:pt idx="138">
                  <c:v>9.9046474716695643E-2</c:v>
                </c:pt>
                <c:pt idx="139">
                  <c:v>0.10014972342713838</c:v>
                </c:pt>
                <c:pt idx="140">
                  <c:v>0.10124366323451192</c:v>
                </c:pt>
                <c:pt idx="141">
                  <c:v>0.10232842666056977</c:v>
                </c:pt>
                <c:pt idx="142">
                  <c:v>0.10340414331157793</c:v>
                </c:pt>
                <c:pt idx="143">
                  <c:v>0.10447093996853608</c:v>
                </c:pt>
                <c:pt idx="144">
                  <c:v>0.10552894067384386</c:v>
                </c:pt>
                <c:pt idx="145">
                  <c:v>0.10657826681457901</c:v>
                </c:pt>
                <c:pt idx="146">
                  <c:v>0.10761903720254314</c:v>
                </c:pt>
                <c:pt idx="147">
                  <c:v>0.10865136815122353</c:v>
                </c:pt>
                <c:pt idx="148">
                  <c:v>0.10967537354981255</c:v>
                </c:pt>
                <c:pt idx="149">
                  <c:v>0.11069116493441777</c:v>
                </c:pt>
                <c:pt idx="150">
                  <c:v>0.11169885155658955</c:v>
                </c:pt>
                <c:pt idx="151">
                  <c:v>0.11269854044928587</c:v>
                </c:pt>
                <c:pt idx="152">
                  <c:v>0.11369033649038954</c:v>
                </c:pt>
                <c:pt idx="153">
                  <c:v>0.11467434246388467</c:v>
                </c:pt>
                <c:pt idx="154">
                  <c:v>0.11565065911879677</c:v>
                </c:pt>
                <c:pt idx="155">
                  <c:v>0.11661938522599316</c:v>
                </c:pt>
                <c:pt idx="156">
                  <c:v>0.11758061763293695</c:v>
                </c:pt>
                <c:pt idx="157">
                  <c:v>0.11853445131648296</c:v>
                </c:pt>
                <c:pt idx="158">
                  <c:v>0.11948097943379948</c:v>
                </c:pt>
                <c:pt idx="159">
                  <c:v>0.12042029337149524</c:v>
                </c:pt>
                <c:pt idx="160">
                  <c:v>0.12135248279302868</c:v>
                </c:pt>
                <c:pt idx="161">
                  <c:v>0.1222776356844705</c:v>
                </c:pt>
                <c:pt idx="162">
                  <c:v>0.12319583839868908</c:v>
                </c:pt>
                <c:pt idx="163">
                  <c:v>0.12410717569802446</c:v>
                </c:pt>
                <c:pt idx="164">
                  <c:v>0.12501173079551242</c:v>
                </c:pt>
                <c:pt idx="165">
                  <c:v>0.1259095853947188</c:v>
                </c:pt>
                <c:pt idx="166">
                  <c:v>0.12680081972824109</c:v>
                </c:pt>
                <c:pt idx="167">
                  <c:v>0.12768551259492972</c:v>
                </c:pt>
                <c:pt idx="168">
                  <c:v>0.1285637413958827</c:v>
                </c:pt>
                <c:pt idx="169">
                  <c:v>0.12943558216926088</c:v>
                </c:pt>
                <c:pt idx="170">
                  <c:v>0.13030110962397146</c:v>
                </c:pt>
                <c:pt idx="171">
                  <c:v>0.13116039717226505</c:v>
                </c:pt>
                <c:pt idx="172">
                  <c:v>0.13201351696128724</c:v>
                </c:pt>
                <c:pt idx="173">
                  <c:v>0.13286053990362767</c:v>
                </c:pt>
                <c:pt idx="174">
                  <c:v>0.13370153570690332</c:v>
                </c:pt>
                <c:pt idx="175">
                  <c:v>0.13453657290241475</c:v>
                </c:pt>
                <c:pt idx="176">
                  <c:v>0.13536571887291002</c:v>
                </c:pt>
                <c:pt idx="177">
                  <c:v>0.13618903987949066</c:v>
                </c:pt>
                <c:pt idx="178">
                  <c:v>0.13700660108769136</c:v>
                </c:pt>
                <c:pt idx="179">
                  <c:v>0.13781846659276614</c:v>
                </c:pt>
                <c:pt idx="180">
                  <c:v>0.13862469944420752</c:v>
                </c:pt>
                <c:pt idx="181">
                  <c:v>0.13942536166953129</c:v>
                </c:pt>
                <c:pt idx="182">
                  <c:v>0.14022051429734983</c:v>
                </c:pt>
                <c:pt idx="183">
                  <c:v>0.1410102173797633</c:v>
                </c:pt>
                <c:pt idx="184">
                  <c:v>0.14179453001409109</c:v>
                </c:pt>
                <c:pt idx="185">
                  <c:v>0.14257351036396973</c:v>
                </c:pt>
                <c:pt idx="186">
                  <c:v>0.14334721567983746</c:v>
                </c:pt>
                <c:pt idx="187">
                  <c:v>0.1441157023188297</c:v>
                </c:pt>
                <c:pt idx="188">
                  <c:v>0.14487902576410519</c:v>
                </c:pt>
                <c:pt idx="189">
                  <c:v>0.14563724064362235</c:v>
                </c:pt>
                <c:pt idx="190">
                  <c:v>0.14639040074838716</c:v>
                </c:pt>
                <c:pt idx="191">
                  <c:v>0.14713855905018819</c:v>
                </c:pt>
                <c:pt idx="192">
                  <c:v>0.14788176771883926</c:v>
                </c:pt>
                <c:pt idx="193">
                  <c:v>0.14862007813894501</c:v>
                </c:pt>
                <c:pt idx="194">
                  <c:v>0.14935354092620562</c:v>
                </c:pt>
                <c:pt idx="195">
                  <c:v>0.15008220594327781</c:v>
                </c:pt>
                <c:pt idx="196">
                  <c:v>0.15080612231520574</c:v>
                </c:pt>
                <c:pt idx="197">
                  <c:v>0.15152533844443625</c:v>
                </c:pt>
                <c:pt idx="198">
                  <c:v>0.15223990202543372</c:v>
                </c:pt>
                <c:pt idx="199">
                  <c:v>0.15294986005890643</c:v>
                </c:pt>
                <c:pt idx="200">
                  <c:v>0.15365525886565684</c:v>
                </c:pt>
              </c:numCache>
            </c:numRef>
          </c:val>
          <c:smooth val="0"/>
          <c:extLst>
            <c:ext xmlns:c16="http://schemas.microsoft.com/office/drawing/2014/chart" uri="{C3380CC4-5D6E-409C-BE32-E72D297353CC}">
              <c16:uniqueId val="{00000003-1CEB-4807-9B68-DA408029CAAF}"/>
            </c:ext>
          </c:extLst>
        </c:ser>
        <c:dLbls>
          <c:showLegendKey val="0"/>
          <c:showVal val="0"/>
          <c:showCatName val="0"/>
          <c:showSerName val="0"/>
          <c:showPercent val="0"/>
          <c:showBubbleSize val="0"/>
        </c:dLbls>
        <c:marker val="1"/>
        <c:smooth val="0"/>
        <c:axId val="140025216"/>
        <c:axId val="140023296"/>
      </c:lineChart>
      <c:catAx>
        <c:axId val="1400151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40017024"/>
        <c:crosses val="autoZero"/>
        <c:auto val="1"/>
        <c:lblAlgn val="ctr"/>
        <c:lblOffset val="100"/>
        <c:tickLblSkip val="50"/>
        <c:tickMarkSkip val="25"/>
        <c:noMultiLvlLbl val="1"/>
      </c:catAx>
      <c:valAx>
        <c:axId val="140017024"/>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40015104"/>
        <c:crosses val="autoZero"/>
        <c:crossBetween val="between"/>
        <c:majorUnit val="5"/>
        <c:minorUnit val="2.5"/>
      </c:valAx>
      <c:valAx>
        <c:axId val="14002329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40025216"/>
        <c:crosses val="max"/>
        <c:crossBetween val="between"/>
      </c:valAx>
      <c:catAx>
        <c:axId val="140025216"/>
        <c:scaling>
          <c:orientation val="minMax"/>
        </c:scaling>
        <c:delete val="1"/>
        <c:axPos val="b"/>
        <c:numFmt formatCode="0.00" sourceLinked="1"/>
        <c:majorTickMark val="out"/>
        <c:minorTickMark val="none"/>
        <c:tickLblPos val="nextTo"/>
        <c:crossAx val="140023296"/>
        <c:crosses val="autoZero"/>
        <c:auto val="1"/>
        <c:lblAlgn val="ctr"/>
        <c:lblOffset val="100"/>
        <c:noMultiLvlLbl val="0"/>
      </c:catAx>
      <c:spPr>
        <a:noFill/>
        <a:ln w="25400">
          <a:noFill/>
        </a:ln>
      </c:spPr>
    </c:plotArea>
    <c:legend>
      <c:legendPos val="t"/>
      <c:layout>
        <c:manualLayout>
          <c:xMode val="edge"/>
          <c:yMode val="edge"/>
          <c:x val="0.37214586160317298"/>
          <c:y val="1.1892546194234431E-2"/>
          <c:w val="0.6110537765428794"/>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4262520126160700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v>High-side MOSFET</c:v>
          </c:tx>
          <c:spPr>
            <a:ln w="31750">
              <a:solidFill>
                <a:srgbClr val="000080"/>
              </a:solidFill>
              <a:prstDash val="dash"/>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Calculations'!$BE$9:$BE$209</c:f>
              <c:numCache>
                <c:formatCode>0.0</c:formatCode>
                <c:ptCount val="201"/>
                <c:pt idx="0">
                  <c:v>24.876875912663245</c:v>
                </c:pt>
                <c:pt idx="1">
                  <c:v>24.016197792055749</c:v>
                </c:pt>
                <c:pt idx="2">
                  <c:v>23.208092217111094</c:v>
                </c:pt>
                <c:pt idx="3">
                  <c:v>22.44829915923318</c:v>
                </c:pt>
                <c:pt idx="4">
                  <c:v>21.732988310655855</c:v>
                </c:pt>
                <c:pt idx="5">
                  <c:v>21.058707348016195</c:v>
                </c:pt>
                <c:pt idx="6">
                  <c:v>20.422337415289157</c:v>
                </c:pt>
                <c:pt idx="7">
                  <c:v>19.821054684305487</c:v>
                </c:pt>
                <c:pt idx="8">
                  <c:v>19.252297052209681</c:v>
                </c:pt>
                <c:pt idx="9">
                  <c:v>18.713735197423613</c:v>
                </c:pt>
                <c:pt idx="10">
                  <c:v>18.203247347147681</c:v>
                </c:pt>
                <c:pt idx="11">
                  <c:v>17.718897216489093</c:v>
                </c:pt>
                <c:pt idx="12">
                  <c:v>17.258914666883047</c:v>
                </c:pt>
                <c:pt idx="13">
                  <c:v>16.821678703422389</c:v>
                </c:pt>
                <c:pt idx="14">
                  <c:v>16.405702490069107</c:v>
                </c:pt>
                <c:pt idx="15">
                  <c:v>16.009620110884342</c:v>
                </c:pt>
                <c:pt idx="16">
                  <c:v>15.632174846288772</c:v>
                </c:pt>
                <c:pt idx="17">
                  <c:v>15.272208767473538</c:v>
                </c:pt>
                <c:pt idx="18">
                  <c:v>14.928653480643383</c:v>
                </c:pt>
                <c:pt idx="19">
                  <c:v>14.60052187677103</c:v>
                </c:pt>
                <c:pt idx="20">
                  <c:v>14.286900762769852</c:v>
                </c:pt>
                <c:pt idx="21">
                  <c:v>13.986944267095799</c:v>
                </c:pt>
                <c:pt idx="22">
                  <c:v>13.699867927295012</c:v>
                </c:pt>
                <c:pt idx="23">
                  <c:v>13.424943379351564</c:v>
                </c:pt>
                <c:pt idx="24">
                  <c:v>13.16149357921306</c:v>
                </c:pt>
                <c:pt idx="25">
                  <c:v>12.908888495871206</c:v>
                </c:pt>
                <c:pt idx="26">
                  <c:v>12.66654122309191</c:v>
                </c:pt>
                <c:pt idx="27">
                  <c:v>12.433904463522286</c:v>
                </c:pt>
                <c:pt idx="28">
                  <c:v>12.210467344618559</c:v>
                </c:pt>
                <c:pt idx="29">
                  <c:v>11.995752530775572</c:v>
                </c:pt>
                <c:pt idx="30">
                  <c:v>11.78931360031287</c:v>
                </c:pt>
                <c:pt idx="31">
                  <c:v>11.590732659680262</c:v>
                </c:pt>
                <c:pt idx="32">
                  <c:v>11.399618170470079</c:v>
                </c:pt>
                <c:pt idx="33">
                  <c:v>11.215602967632057</c:v>
                </c:pt>
                <c:pt idx="34">
                  <c:v>11.038342449739277</c:v>
                </c:pt>
                <c:pt idx="35">
                  <c:v>10.867512924298461</c:v>
                </c:pt>
                <c:pt idx="36">
                  <c:v>10.702810092977778</c:v>
                </c:pt>
                <c:pt idx="37">
                  <c:v>10.543947663275798</c:v>
                </c:pt>
                <c:pt idx="38">
                  <c:v>10.390656074606753</c:v>
                </c:pt>
                <c:pt idx="39">
                  <c:v>10.242681328056275</c:v>
                </c:pt>
                <c:pt idx="40">
                  <c:v>10.099783910190641</c:v>
                </c:pt>
                <c:pt idx="41">
                  <c:v>9.961737802300247</c:v>
                </c:pt>
                <c:pt idx="42">
                  <c:v>9.8283295673415818</c:v>
                </c:pt>
                <c:pt idx="43">
                  <c:v>9.6993575076255922</c:v>
                </c:pt>
                <c:pt idx="44">
                  <c:v>9.574630886995914</c:v>
                </c:pt>
                <c:pt idx="45">
                  <c:v>9.4539692118596008</c:v>
                </c:pt>
                <c:pt idx="46">
                  <c:v>9.3372015659841487</c:v>
                </c:pt>
                <c:pt idx="47">
                  <c:v>9.2241659944663681</c:v>
                </c:pt>
                <c:pt idx="48">
                  <c:v>9.1147089327178943</c:v>
                </c:pt>
                <c:pt idx="49">
                  <c:v>9.008684676704954</c:v>
                </c:pt>
                <c:pt idx="50">
                  <c:v>8.9059548910318078</c:v>
                </c:pt>
                <c:pt idx="51">
                  <c:v>8.806388151772726</c:v>
                </c:pt>
                <c:pt idx="52">
                  <c:v>8.7098595212406185</c:v>
                </c:pt>
                <c:pt idx="53">
                  <c:v>8.6162501521350379</c:v>
                </c:pt>
                <c:pt idx="54">
                  <c:v>8.5254469187412898</c:v>
                </c:pt>
                <c:pt idx="55">
                  <c:v>8.4373420730589768</c:v>
                </c:pt>
                <c:pt idx="56">
                  <c:v>8.3518329239244107</c:v>
                </c:pt>
                <c:pt idx="57">
                  <c:v>8.268821537359452</c:v>
                </c:pt>
                <c:pt idx="58">
                  <c:v>8.1882144565315045</c:v>
                </c:pt>
                <c:pt idx="59">
                  <c:v>8.1099224398467449</c:v>
                </c:pt>
                <c:pt idx="60">
                  <c:v>8.0338602158234611</c:v>
                </c:pt>
                <c:pt idx="61">
                  <c:v>7.9599462535052679</c:v>
                </c:pt>
                <c:pt idx="62">
                  <c:v>7.8881025472766177</c:v>
                </c:pt>
                <c:pt idx="63">
                  <c:v>7.818254415036165</c:v>
                </c:pt>
                <c:pt idx="64">
                  <c:v>7.75033030876833</c:v>
                </c:pt>
                <c:pt idx="65">
                  <c:v>7.6842616366306347</c:v>
                </c:pt>
                <c:pt idx="66">
                  <c:v>7.880361931736803</c:v>
                </c:pt>
                <c:pt idx="67">
                  <c:v>7.8753401193525265</c:v>
                </c:pt>
                <c:pt idx="68">
                  <c:v>7.8716172855311797</c:v>
                </c:pt>
                <c:pt idx="69">
                  <c:v>7.8691439738923785</c:v>
                </c:pt>
                <c:pt idx="70">
                  <c:v>7.8678721025475546</c:v>
                </c:pt>
                <c:pt idx="71">
                  <c:v>7.8677548499510737</c:v>
                </c:pt>
                <c:pt idx="72">
                  <c:v>7.8687465466601587</c:v>
                </c:pt>
                <c:pt idx="73">
                  <c:v>7.8708025726100486</c:v>
                </c:pt>
                <c:pt idx="74">
                  <c:v>18.99103612514627</c:v>
                </c:pt>
                <c:pt idx="75">
                  <c:v>18.945542370132518</c:v>
                </c:pt>
                <c:pt idx="76">
                  <c:v>18.902823218604333</c:v>
                </c:pt>
                <c:pt idx="77">
                  <c:v>18.862877176636797</c:v>
                </c:pt>
                <c:pt idx="78">
                  <c:v>18.825574230677056</c:v>
                </c:pt>
                <c:pt idx="79">
                  <c:v>18.790791450284743</c:v>
                </c:pt>
                <c:pt idx="80">
                  <c:v>18.758412554444988</c:v>
                </c:pt>
                <c:pt idx="81">
                  <c:v>18.728327507508176</c:v>
                </c:pt>
                <c:pt idx="82">
                  <c:v>18.700432142509761</c:v>
                </c:pt>
                <c:pt idx="83">
                  <c:v>18.674627809810968</c:v>
                </c:pt>
                <c:pt idx="84">
                  <c:v>18.650821049172841</c:v>
                </c:pt>
                <c:pt idx="85">
                  <c:v>18.628923283530835</c:v>
                </c:pt>
                <c:pt idx="86">
                  <c:v>18.608850532878783</c:v>
                </c:pt>
                <c:pt idx="87">
                  <c:v>18.590523146799594</c:v>
                </c:pt>
                <c:pt idx="88">
                  <c:v>18.57386555429726</c:v>
                </c:pt>
                <c:pt idx="89">
                  <c:v>22.248653118402661</c:v>
                </c:pt>
                <c:pt idx="90">
                  <c:v>22.271817253715664</c:v>
                </c:pt>
                <c:pt idx="91">
                  <c:v>22.296101828796601</c:v>
                </c:pt>
                <c:pt idx="92">
                  <c:v>22.32147436379487</c:v>
                </c:pt>
                <c:pt idx="93">
                  <c:v>22.347903665821995</c:v>
                </c:pt>
                <c:pt idx="94">
                  <c:v>22.375359766538558</c:v>
                </c:pt>
                <c:pt idx="95">
                  <c:v>22.403813863250729</c:v>
                </c:pt>
                <c:pt idx="96">
                  <c:v>22.433238263294083</c:v>
                </c:pt>
                <c:pt idx="97">
                  <c:v>22.463606331497825</c:v>
                </c:pt>
                <c:pt idx="98">
                  <c:v>22.494892440537146</c:v>
                </c:pt>
                <c:pt idx="99">
                  <c:v>22.527071923994608</c:v>
                </c:pt>
                <c:pt idx="100">
                  <c:v>22.56012103196371</c:v>
                </c:pt>
                <c:pt idx="101">
                  <c:v>22.594016889039434</c:v>
                </c:pt>
                <c:pt idx="102">
                  <c:v>22.628737454550802</c:v>
                </c:pt>
                <c:pt idx="103">
                  <c:v>22.66426148490028</c:v>
                </c:pt>
                <c:pt idx="104">
                  <c:v>22.700568497884127</c:v>
                </c:pt>
                <c:pt idx="105">
                  <c:v>22.737638738875816</c:v>
                </c:pt>
                <c:pt idx="106">
                  <c:v>22.775453148762622</c:v>
                </c:pt>
                <c:pt idx="107">
                  <c:v>22.813993333532657</c:v>
                </c:pt>
                <c:pt idx="108">
                  <c:v>22.853241535416242</c:v>
                </c:pt>
                <c:pt idx="109">
                  <c:v>22.893180605491708</c:v>
                </c:pt>
                <c:pt idx="110">
                  <c:v>22.933793977671634</c:v>
                </c:pt>
                <c:pt idx="111">
                  <c:v>22.97506564399065</c:v>
                </c:pt>
                <c:pt idx="112">
                  <c:v>23.016980131121166</c:v>
                </c:pt>
                <c:pt idx="113">
                  <c:v>23.0595224780478</c:v>
                </c:pt>
                <c:pt idx="114">
                  <c:v>23.102678214835816</c:v>
                </c:pt>
                <c:pt idx="115">
                  <c:v>23.146433342432747</c:v>
                </c:pt>
                <c:pt idx="116">
                  <c:v>23.190774313446163</c:v>
                </c:pt>
                <c:pt idx="117">
                  <c:v>23.23568801384409</c:v>
                </c:pt>
                <c:pt idx="118">
                  <c:v>23.281161745527896</c:v>
                </c:pt>
                <c:pt idx="119">
                  <c:v>23.327183209730183</c:v>
                </c:pt>
                <c:pt idx="120">
                  <c:v>23.373740491193669</c:v>
                </c:pt>
                <c:pt idx="121">
                  <c:v>23.420822043088947</c:v>
                </c:pt>
                <c:pt idx="122">
                  <c:v>23.46841667263222</c:v>
                </c:pt>
                <c:pt idx="123">
                  <c:v>23.516513527365838</c:v>
                </c:pt>
                <c:pt idx="124">
                  <c:v>23.565102082067014</c:v>
                </c:pt>
                <c:pt idx="125">
                  <c:v>23.614172126251983</c:v>
                </c:pt>
                <c:pt idx="126">
                  <c:v>23.663713752244661</c:v>
                </c:pt>
                <c:pt idx="127">
                  <c:v>23.713717343780914</c:v>
                </c:pt>
                <c:pt idx="128">
                  <c:v>23.76417356512091</c:v>
                </c:pt>
                <c:pt idx="129">
                  <c:v>23.815073350643829</c:v>
                </c:pt>
                <c:pt idx="130">
                  <c:v>23.866407894900483</c:v>
                </c:pt>
                <c:pt idx="131">
                  <c:v>23.918168643100891</c:v>
                </c:pt>
                <c:pt idx="132">
                  <c:v>23.970347282015137</c:v>
                </c:pt>
                <c:pt idx="133">
                  <c:v>24.022935731266916</c:v>
                </c:pt>
                <c:pt idx="134">
                  <c:v>24.075926135000529</c:v>
                </c:pt>
                <c:pt idx="135">
                  <c:v>24.12931085390289</c:v>
                </c:pt>
                <c:pt idx="136">
                  <c:v>24.183082457563373</c:v>
                </c:pt>
                <c:pt idx="137">
                  <c:v>24.237233717155057</c:v>
                </c:pt>
                <c:pt idx="138">
                  <c:v>24.291757598421931</c:v>
                </c:pt>
                <c:pt idx="139">
                  <c:v>24.346647254957393</c:v>
                </c:pt>
                <c:pt idx="140">
                  <c:v>24.401896021760194</c:v>
                </c:pt>
                <c:pt idx="141">
                  <c:v>24.457497409054785</c:v>
                </c:pt>
                <c:pt idx="142">
                  <c:v>24.513445096363391</c:v>
                </c:pt>
                <c:pt idx="143">
                  <c:v>24.569732926818407</c:v>
                </c:pt>
                <c:pt idx="144">
                  <c:v>24.626354901703611</c:v>
                </c:pt>
                <c:pt idx="145">
                  <c:v>24.683305175213793</c:v>
                </c:pt>
                <c:pt idx="146">
                  <c:v>24.740578049422787</c:v>
                </c:pt>
                <c:pt idx="147">
                  <c:v>24.798167969450237</c:v>
                </c:pt>
                <c:pt idx="148">
                  <c:v>24.856069518818231</c:v>
                </c:pt>
                <c:pt idx="149">
                  <c:v>24.91427741498913</c:v>
                </c:pt>
                <c:pt idx="150">
                  <c:v>24.972786505076513</c:v>
                </c:pt>
                <c:pt idx="151">
                  <c:v>25.031591761721451</c:v>
                </c:pt>
                <c:pt idx="152">
                  <c:v>25.090688279126784</c:v>
                </c:pt>
                <c:pt idx="153">
                  <c:v>25.150071269242506</c:v>
                </c:pt>
                <c:pt idx="154">
                  <c:v>25.209736058095505</c:v>
                </c:pt>
                <c:pt idx="155">
                  <c:v>25.269678082257414</c:v>
                </c:pt>
                <c:pt idx="156">
                  <c:v>25.329892885444565</c:v>
                </c:pt>
                <c:pt idx="157">
                  <c:v>25.390376115244411</c:v>
                </c:pt>
                <c:pt idx="158">
                  <c:v>25.45112351996282</c:v>
                </c:pt>
                <c:pt idx="159">
                  <c:v>25.51213094558727</c:v>
                </c:pt>
                <c:pt idx="160">
                  <c:v>25.5733943328609</c:v>
                </c:pt>
                <c:pt idx="161">
                  <c:v>25.634909714462779</c:v>
                </c:pt>
                <c:pt idx="162">
                  <c:v>25.696673212289923</c:v>
                </c:pt>
                <c:pt idx="163">
                  <c:v>25.758681034836822</c:v>
                </c:pt>
                <c:pt idx="164">
                  <c:v>25.820929474668397</c:v>
                </c:pt>
                <c:pt idx="165">
                  <c:v>25.883414905982562</c:v>
                </c:pt>
                <c:pt idx="166">
                  <c:v>25.946133782258702</c:v>
                </c:pt>
                <c:pt idx="167">
                  <c:v>26.009082633988491</c:v>
                </c:pt>
                <c:pt idx="168">
                  <c:v>26.072258066485826</c:v>
                </c:pt>
                <c:pt idx="169">
                  <c:v>26.135656757772587</c:v>
                </c:pt>
                <c:pt idx="170">
                  <c:v>26.199275456537148</c:v>
                </c:pt>
                <c:pt idx="171">
                  <c:v>26.263110980162846</c:v>
                </c:pt>
                <c:pt idx="172">
                  <c:v>26.327160212823497</c:v>
                </c:pt>
                <c:pt idx="173">
                  <c:v>26.39142010364338</c:v>
                </c:pt>
                <c:pt idx="174">
                  <c:v>26.455887664919164</c:v>
                </c:pt>
                <c:pt idx="175">
                  <c:v>26.520559970401241</c:v>
                </c:pt>
                <c:pt idx="176">
                  <c:v>26.58543415363231</c:v>
                </c:pt>
                <c:pt idx="177">
                  <c:v>26.65050740634085</c:v>
                </c:pt>
                <c:pt idx="178">
                  <c:v>26.715776976887479</c:v>
                </c:pt>
                <c:pt idx="179">
                  <c:v>26.781240168762082</c:v>
                </c:pt>
                <c:pt idx="180">
                  <c:v>26.846894339129808</c:v>
                </c:pt>
                <c:pt idx="181">
                  <c:v>26.912736897424093</c:v>
                </c:pt>
                <c:pt idx="182">
                  <c:v>26.978765303984954</c:v>
                </c:pt>
                <c:pt idx="183">
                  <c:v>27.04497706874071</c:v>
                </c:pt>
                <c:pt idx="184">
                  <c:v>27.111369749931768</c:v>
                </c:pt>
                <c:pt idx="185">
                  <c:v>27.177940952874653</c:v>
                </c:pt>
                <c:pt idx="186">
                  <c:v>27.244688328764909</c:v>
                </c:pt>
                <c:pt idx="187">
                  <c:v>27.311609573517469</c:v>
                </c:pt>
                <c:pt idx="188">
                  <c:v>27.378702426643088</c:v>
                </c:pt>
                <c:pt idx="189">
                  <c:v>27.445964670159452</c:v>
                </c:pt>
                <c:pt idx="190">
                  <c:v>27.513394127535872</c:v>
                </c:pt>
                <c:pt idx="191">
                  <c:v>27.580988662670165</c:v>
                </c:pt>
                <c:pt idx="192">
                  <c:v>27.648746178896715</c:v>
                </c:pt>
                <c:pt idx="193">
                  <c:v>27.716664618024545</c:v>
                </c:pt>
                <c:pt idx="194">
                  <c:v>27.784741959404286</c:v>
                </c:pt>
                <c:pt idx="195">
                  <c:v>27.85297621902312</c:v>
                </c:pt>
                <c:pt idx="196">
                  <c:v>27.921365448626606</c:v>
                </c:pt>
                <c:pt idx="197">
                  <c:v>27.989907734866588</c:v>
                </c:pt>
                <c:pt idx="198">
                  <c:v>28.058601198474094</c:v>
                </c:pt>
                <c:pt idx="199">
                  <c:v>28.127443993456531</c:v>
                </c:pt>
                <c:pt idx="200">
                  <c:v>28.196434306318242</c:v>
                </c:pt>
              </c:numCache>
            </c:numRef>
          </c:yVal>
          <c:smooth val="0"/>
          <c:extLst>
            <c:ext xmlns:c16="http://schemas.microsoft.com/office/drawing/2014/chart" uri="{C3380CC4-5D6E-409C-BE32-E72D297353CC}">
              <c16:uniqueId val="{00000000-47ED-4175-907D-39FED5C21E61}"/>
            </c:ext>
          </c:extLst>
        </c:ser>
        <c:ser>
          <c:idx val="1"/>
          <c:order val="1"/>
          <c:tx>
            <c:v>Low-side MOSFET</c:v>
          </c:tx>
          <c:spPr>
            <a:ln w="25400">
              <a:solidFill>
                <a:srgbClr val="FF0000"/>
              </a:solidFill>
              <a:prstDash val="solid"/>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Calculations'!$BF$9:$BF$209</c:f>
              <c:numCache>
                <c:formatCode>0.0</c:formatCode>
                <c:ptCount val="201"/>
                <c:pt idx="0">
                  <c:v>22.814332249915481</c:v>
                </c:pt>
                <c:pt idx="1">
                  <c:v>22.391248701337201</c:v>
                </c:pt>
                <c:pt idx="2">
                  <c:v>21.983274303441217</c:v>
                </c:pt>
                <c:pt idx="3">
                  <c:v>21.589632730719018</c:v>
                </c:pt>
                <c:pt idx="4">
                  <c:v>21.209597962142162</c:v>
                </c:pt>
                <c:pt idx="5">
                  <c:v>20.84249043849761</c:v>
                </c:pt>
                <c:pt idx="6">
                  <c:v>20.487673546631431</c:v>
                </c:pt>
                <c:pt idx="7">
                  <c:v>20.144550401715023</c:v>
                </c:pt>
                <c:pt idx="8">
                  <c:v>19.812560900987599</c:v>
                </c:pt>
                <c:pt idx="9">
                  <c:v>19.491179024673581</c:v>
                </c:pt>
                <c:pt idx="10">
                  <c:v>19.179910361893985</c:v>
                </c:pt>
                <c:pt idx="11">
                  <c:v>18.878289841372251</c:v>
                </c:pt>
                <c:pt idx="12">
                  <c:v>18.585879648569119</c:v>
                </c:pt>
                <c:pt idx="13">
                  <c:v>18.302267312570152</c:v>
                </c:pt>
                <c:pt idx="14">
                  <c:v>18.027063947595291</c:v>
                </c:pt>
                <c:pt idx="15">
                  <c:v>17.759902635410764</c:v>
                </c:pt>
                <c:pt idx="16">
                  <c:v>17.500436936206746</c:v>
                </c:pt>
                <c:pt idx="17">
                  <c:v>17.248339516668786</c:v>
                </c:pt>
                <c:pt idx="18">
                  <c:v>17.003300885026597</c:v>
                </c:pt>
                <c:pt idx="19">
                  <c:v>16.765028223818344</c:v>
                </c:pt>
                <c:pt idx="20">
                  <c:v>16.533244311972638</c:v>
                </c:pt>
                <c:pt idx="21">
                  <c:v>16.307686528590086</c:v>
                </c:pt>
                <c:pt idx="22">
                  <c:v>16.088105931511198</c:v>
                </c:pt>
                <c:pt idx="23">
                  <c:v>15.874266404393866</c:v>
                </c:pt>
                <c:pt idx="24">
                  <c:v>15.665943866597978</c:v>
                </c:pt>
                <c:pt idx="25">
                  <c:v>15.462925540693796</c:v>
                </c:pt>
                <c:pt idx="26">
                  <c:v>15.26500927287956</c:v>
                </c:pt>
                <c:pt idx="27">
                  <c:v>15.072002902016973</c:v>
                </c:pt>
                <c:pt idx="28">
                  <c:v>14.883723673376265</c:v>
                </c:pt>
                <c:pt idx="29">
                  <c:v>14.699997693528481</c:v>
                </c:pt>
                <c:pt idx="30">
                  <c:v>14.520659423135928</c:v>
                </c:pt>
                <c:pt idx="31">
                  <c:v>14.345551204675072</c:v>
                </c:pt>
                <c:pt idx="32">
                  <c:v>14.174522822382848</c:v>
                </c:pt>
                <c:pt idx="33">
                  <c:v>14.00743109195025</c:v>
                </c:pt>
                <c:pt idx="34">
                  <c:v>13.844139477697762</c:v>
                </c:pt>
                <c:pt idx="35">
                  <c:v>13.684517735158879</c:v>
                </c:pt>
                <c:pt idx="36">
                  <c:v>13.528441577171716</c:v>
                </c:pt>
                <c:pt idx="37">
                  <c:v>13.375792361736691</c:v>
                </c:pt>
                <c:pt idx="38">
                  <c:v>13.226456800042055</c:v>
                </c:pt>
                <c:pt idx="39">
                  <c:v>13.080326683189469</c:v>
                </c:pt>
                <c:pt idx="40">
                  <c:v>12.937298626271303</c:v>
                </c:pt>
                <c:pt idx="41">
                  <c:v>12.797273828559334</c:v>
                </c:pt>
                <c:pt idx="42">
                  <c:v>12.66015784866384</c:v>
                </c:pt>
                <c:pt idx="43">
                  <c:v>12.525860393612161</c:v>
                </c:pt>
                <c:pt idx="44">
                  <c:v>12.394295120878215</c:v>
                </c:pt>
                <c:pt idx="45">
                  <c:v>12.265379452469968</c:v>
                </c:pt>
                <c:pt idx="46">
                  <c:v>12.139034400250646</c:v>
                </c:pt>
                <c:pt idx="47">
                  <c:v>12.015184401732553</c:v>
                </c:pt>
                <c:pt idx="48">
                  <c:v>11.893757165640171</c:v>
                </c:pt>
                <c:pt idx="49">
                  <c:v>11.774683526592163</c:v>
                </c:pt>
                <c:pt idx="50">
                  <c:v>11.657897308300413</c:v>
                </c:pt>
                <c:pt idx="51">
                  <c:v>11.543335194728762</c:v>
                </c:pt>
                <c:pt idx="52">
                  <c:v>11.430936608695275</c:v>
                </c:pt>
                <c:pt idx="53">
                  <c:v>11.320643597439133</c:v>
                </c:pt>
                <c:pt idx="54">
                  <c:v>11.212400724708164</c:v>
                </c:pt>
                <c:pt idx="55">
                  <c:v>11.106154968954675</c:v>
                </c:pt>
                <c:pt idx="56">
                  <c:v>11.001855627256694</c:v>
                </c:pt>
                <c:pt idx="57">
                  <c:v>10.899454224608677</c:v>
                </c:pt>
                <c:pt idx="58">
                  <c:v>10.798904428250742</c:v>
                </c:pt>
                <c:pt idx="59">
                  <c:v>10.700161966728414</c:v>
                </c:pt>
                <c:pt idx="60">
                  <c:v>10.603184553396174</c:v>
                </c:pt>
                <c:pt idx="61">
                  <c:v>10.507931814097624</c:v>
                </c:pt>
                <c:pt idx="62">
                  <c:v>10.414365218773483</c:v>
                </c:pt>
                <c:pt idx="63">
                  <c:v>10.322448016764978</c:v>
                </c:pt>
                <c:pt idx="64">
                  <c:v>10.232145175596226</c:v>
                </c:pt>
                <c:pt idx="65">
                  <c:v>10.143423323033209</c:v>
                </c:pt>
                <c:pt idx="66">
                  <c:v>6.8815713707406747</c:v>
                </c:pt>
                <c:pt idx="67">
                  <c:v>6.8194666441897862</c:v>
                </c:pt>
                <c:pt idx="68">
                  <c:v>6.7585313356027283</c:v>
                </c:pt>
                <c:pt idx="69">
                  <c:v>6.6987663105645616</c:v>
                </c:pt>
                <c:pt idx="70">
                  <c:v>6.6401742047402692</c:v>
                </c:pt>
                <c:pt idx="71">
                  <c:v>6.5827594047926166</c:v>
                </c:pt>
                <c:pt idx="72">
                  <c:v>6.5265280310073601</c:v>
                </c:pt>
                <c:pt idx="73">
                  <c:v>6.4714879215419154</c:v>
                </c:pt>
                <c:pt idx="74">
                  <c:v>3.088487273819815</c:v>
                </c:pt>
                <c:pt idx="75">
                  <c:v>3.1726589866489179</c:v>
                </c:pt>
                <c:pt idx="76">
                  <c:v>3.255645703255492</c:v>
                </c:pt>
                <c:pt idx="77">
                  <c:v>3.337507257265572</c:v>
                </c:pt>
                <c:pt idx="78">
                  <c:v>3.4182953979732464</c:v>
                </c:pt>
                <c:pt idx="79">
                  <c:v>3.498058711994295</c:v>
                </c:pt>
                <c:pt idx="80">
                  <c:v>3.5768428298065666</c:v>
                </c:pt>
                <c:pt idx="81">
                  <c:v>3.65469061802946</c:v>
                </c:pt>
                <c:pt idx="82">
                  <c:v>3.731642358486321</c:v>
                </c:pt>
                <c:pt idx="83">
                  <c:v>3.807735915012743</c:v>
                </c:pt>
                <c:pt idx="84">
                  <c:v>3.8830068888994673</c:v>
                </c:pt>
                <c:pt idx="85">
                  <c:v>3.9574887637903791</c:v>
                </c:pt>
                <c:pt idx="86">
                  <c:v>4.0312130407933227</c:v>
                </c:pt>
                <c:pt idx="87">
                  <c:v>4.1042093645038591</c:v>
                </c:pt>
                <c:pt idx="88">
                  <c:v>4.1765056405890046</c:v>
                </c:pt>
                <c:pt idx="89">
                  <c:v>6.4588804155365702</c:v>
                </c:pt>
                <c:pt idx="90">
                  <c:v>6.5258495301463837</c:v>
                </c:pt>
                <c:pt idx="91">
                  <c:v>6.5920052059619829</c:v>
                </c:pt>
                <c:pt idx="92">
                  <c:v>6.6573665380792777</c:v>
                </c:pt>
                <c:pt idx="93">
                  <c:v>6.7219519203929021</c:v>
                </c:pt>
                <c:pt idx="94">
                  <c:v>6.7857790790930625</c:v>
                </c:pt>
                <c:pt idx="95">
                  <c:v>6.8488651042813125</c:v>
                </c:pt>
                <c:pt idx="96">
                  <c:v>6.9112264798237035</c:v>
                </c:pt>
                <c:pt idx="97">
                  <c:v>6.972879111551693</c:v>
                </c:pt>
                <c:pt idx="98">
                  <c:v>7.0338383539134908</c:v>
                </c:pt>
                <c:pt idx="99">
                  <c:v>7.0941190351716044</c:v>
                </c:pt>
                <c:pt idx="100">
                  <c:v>7.153735481235822</c:v>
                </c:pt>
                <c:pt idx="101">
                  <c:v>7.2127015382148292</c:v>
                </c:pt>
                <c:pt idx="102">
                  <c:v>7.2710305937641442</c:v>
                </c:pt>
                <c:pt idx="103">
                  <c:v>7.3287355973028214</c:v>
                </c:pt>
                <c:pt idx="104">
                  <c:v>7.3858290791666237</c:v>
                </c:pt>
                <c:pt idx="105">
                  <c:v>7.4423231687608542</c:v>
                </c:pt>
                <c:pt idx="106">
                  <c:v>7.4982296117719924</c:v>
                </c:pt>
                <c:pt idx="107">
                  <c:v>7.5535597864933104</c:v>
                </c:pt>
                <c:pt idx="108">
                  <c:v>7.608324719316216</c:v>
                </c:pt>
                <c:pt idx="109">
                  <c:v>7.6625350994356092</c:v>
                </c:pt>
                <c:pt idx="110">
                  <c:v>7.7162012928145938</c:v>
                </c:pt>
                <c:pt idx="111">
                  <c:v>7.769333355450823</c:v>
                </c:pt>
                <c:pt idx="112">
                  <c:v>7.821941045984329</c:v>
                </c:pt>
                <c:pt idx="113">
                  <c:v>7.8740338376839398</c:v>
                </c:pt>
                <c:pt idx="114">
                  <c:v>7.9256209298472244</c:v>
                </c:pt>
                <c:pt idx="115">
                  <c:v>7.9767112586467164</c:v>
                </c:pt>
                <c:pt idx="116">
                  <c:v>8.0273135074530817</c:v>
                </c:pt>
                <c:pt idx="117">
                  <c:v>8.0774361166640993</c:v>
                </c:pt>
                <c:pt idx="118">
                  <c:v>8.1270872930664879</c:v>
                </c:pt>
                <c:pt idx="119">
                  <c:v>8.1762750187560247</c:v>
                </c:pt>
                <c:pt idx="120">
                  <c:v>8.2250070596398626</c:v>
                </c:pt>
                <c:pt idx="121">
                  <c:v>8.2732909735434497</c:v>
                </c:pt>
                <c:pt idx="122">
                  <c:v>8.3211341179432559</c:v>
                </c:pt>
                <c:pt idx="123">
                  <c:v>8.3685436573450858</c:v>
                </c:pt>
                <c:pt idx="124">
                  <c:v>8.4155265703267581</c:v>
                </c:pt>
                <c:pt idx="125">
                  <c:v>8.4620896562626857</c:v>
                </c:pt>
                <c:pt idx="126">
                  <c:v>8.5082395417469794</c:v>
                </c:pt>
                <c:pt idx="127">
                  <c:v>8.5539826867306541</c:v>
                </c:pt>
                <c:pt idx="128">
                  <c:v>8.5993253903876816</c:v>
                </c:pt>
                <c:pt idx="129">
                  <c:v>8.6442737967237342</c:v>
                </c:pt>
                <c:pt idx="130">
                  <c:v>8.6888338999407164</c:v>
                </c:pt>
                <c:pt idx="131">
                  <c:v>8.7330115495694418</c:v>
                </c:pt>
                <c:pt idx="132">
                  <c:v>8.776812455382025</c:v>
                </c:pt>
                <c:pt idx="133">
                  <c:v>8.8202421920950869</c:v>
                </c:pt>
                <c:pt idx="134">
                  <c:v>8.8633062038740391</c:v>
                </c:pt>
                <c:pt idx="135">
                  <c:v>8.9060098086483617</c:v>
                </c:pt>
                <c:pt idx="136">
                  <c:v>8.9483582022470145</c:v>
                </c:pt>
                <c:pt idx="137">
                  <c:v>8.9903564623628576</c:v>
                </c:pt>
                <c:pt idx="138">
                  <c:v>9.0320095523542516</c:v>
                </c:pt>
                <c:pt idx="139">
                  <c:v>9.0733223248917589</c:v>
                </c:pt>
                <c:pt idx="140">
                  <c:v>9.1142995254572643</c:v>
                </c:pt>
                <c:pt idx="141">
                  <c:v>9.1549457957025773</c:v>
                </c:pt>
                <c:pt idx="142">
                  <c:v>9.1952656766741505</c:v>
                </c:pt>
                <c:pt idx="143">
                  <c:v>9.2352636119101668</c:v>
                </c:pt>
                <c:pt idx="144">
                  <c:v>9.2749439504159632</c:v>
                </c:pt>
                <c:pt idx="145">
                  <c:v>9.3143109495234224</c:v>
                </c:pt>
                <c:pt idx="146">
                  <c:v>9.3533687776397123</c:v>
                </c:pt>
                <c:pt idx="147">
                  <c:v>9.3921215168903451</c:v>
                </c:pt>
                <c:pt idx="148">
                  <c:v>9.4305731656614924</c:v>
                </c:pt>
                <c:pt idx="149">
                  <c:v>9.4687276410459926</c:v>
                </c:pt>
                <c:pt idx="150">
                  <c:v>9.5065887811974772</c:v>
                </c:pt>
                <c:pt idx="151">
                  <c:v>9.5441603475966126</c:v>
                </c:pt>
                <c:pt idx="152">
                  <c:v>9.5814460272334738</c:v>
                </c:pt>
                <c:pt idx="153">
                  <c:v>9.618449434709655</c:v>
                </c:pt>
                <c:pt idx="154">
                  <c:v>9.6551741142636764</c:v>
                </c:pt>
                <c:pt idx="155">
                  <c:v>9.6916235417230503</c:v>
                </c:pt>
                <c:pt idx="156">
                  <c:v>9.7278011263861277</c:v>
                </c:pt>
                <c:pt idx="157">
                  <c:v>9.7637102128367808</c:v>
                </c:pt>
                <c:pt idx="158">
                  <c:v>9.799354082694812</c:v>
                </c:pt>
                <c:pt idx="159">
                  <c:v>9.8347359563047583</c:v>
                </c:pt>
                <c:pt idx="160">
                  <c:v>9.8698589943657797</c:v>
                </c:pt>
                <c:pt idx="161">
                  <c:v>9.9047262995050129</c:v>
                </c:pt>
                <c:pt idx="162">
                  <c:v>9.9393409177968177</c:v>
                </c:pt>
                <c:pt idx="163">
                  <c:v>9.9737058402301475</c:v>
                </c:pt>
                <c:pt idx="164">
                  <c:v>10.007824004126139</c:v>
                </c:pt>
                <c:pt idx="165">
                  <c:v>10.041698294508008</c:v>
                </c:pt>
                <c:pt idx="166">
                  <c:v>10.075331545425193</c:v>
                </c:pt>
                <c:pt idx="167">
                  <c:v>10.108726541233532</c:v>
                </c:pt>
                <c:pt idx="168">
                  <c:v>10.141886017833333</c:v>
                </c:pt>
                <c:pt idx="169">
                  <c:v>10.174812663866955</c:v>
                </c:pt>
                <c:pt idx="170">
                  <c:v>10.20750912187752</c:v>
                </c:pt>
                <c:pt idx="171">
                  <c:v>10.239977989430315</c:v>
                </c:pt>
                <c:pt idx="172">
                  <c:v>10.272221820198306</c:v>
                </c:pt>
                <c:pt idx="173">
                  <c:v>10.304243125013205</c:v>
                </c:pt>
                <c:pt idx="174">
                  <c:v>10.336044372883395</c:v>
                </c:pt>
                <c:pt idx="175">
                  <c:v>10.367627991979983</c:v>
                </c:pt>
                <c:pt idx="176">
                  <c:v>10.398996370592254</c:v>
                </c:pt>
                <c:pt idx="177">
                  <c:v>10.430151858053604</c:v>
                </c:pt>
                <c:pt idx="178">
                  <c:v>10.461096765639132</c:v>
                </c:pt>
                <c:pt idx="179">
                  <c:v>10.491833367435969</c:v>
                </c:pt>
                <c:pt idx="180">
                  <c:v>10.522363901187259</c:v>
                </c:pt>
                <c:pt idx="181">
                  <c:v>10.552690569110908</c:v>
                </c:pt>
                <c:pt idx="182">
                  <c:v>10.582815538693913</c:v>
                </c:pt>
                <c:pt idx="183">
                  <c:v>10.612740943463251</c:v>
                </c:pt>
                <c:pt idx="184">
                  <c:v>10.642468883734105</c:v>
                </c:pt>
                <c:pt idx="185">
                  <c:v>10.672001427336332</c:v>
                </c:pt>
                <c:pt idx="186">
                  <c:v>10.701340610319866</c:v>
                </c:pt>
                <c:pt idx="187">
                  <c:v>10.730488437639881</c:v>
                </c:pt>
                <c:pt idx="188">
                  <c:v>10.759446883822404</c:v>
                </c:pt>
                <c:pt idx="189">
                  <c:v>10.788217893611039</c:v>
                </c:pt>
                <c:pt idx="190">
                  <c:v>10.816803382595532</c:v>
                </c:pt>
                <c:pt idx="191">
                  <c:v>10.845205237822748</c:v>
                </c:pt>
                <c:pt idx="192">
                  <c:v>10.873425318390691</c:v>
                </c:pt>
                <c:pt idx="193">
                  <c:v>10.901465456026182</c:v>
                </c:pt>
                <c:pt idx="194">
                  <c:v>10.929327455646678</c:v>
                </c:pt>
                <c:pt idx="195">
                  <c:v>10.957013095906863</c:v>
                </c:pt>
                <c:pt idx="196">
                  <c:v>10.984524129730456</c:v>
                </c:pt>
                <c:pt idx="197">
                  <c:v>11.011862284827759</c:v>
                </c:pt>
                <c:pt idx="198">
                  <c:v>11.039029264199437</c:v>
                </c:pt>
                <c:pt idx="199">
                  <c:v>11.066026746626962</c:v>
                </c:pt>
                <c:pt idx="200">
                  <c:v>11.092856387150137</c:v>
                </c:pt>
              </c:numCache>
            </c:numRef>
          </c:yVal>
          <c:smooth val="0"/>
          <c:extLst>
            <c:ext xmlns:c16="http://schemas.microsoft.com/office/drawing/2014/chart" uri="{C3380CC4-5D6E-409C-BE32-E72D297353CC}">
              <c16:uniqueId val="{00000001-47ED-4175-907D-39FED5C21E61}"/>
            </c:ext>
          </c:extLst>
        </c:ser>
        <c:dLbls>
          <c:showLegendKey val="0"/>
          <c:showVal val="0"/>
          <c:showCatName val="0"/>
          <c:showSerName val="0"/>
          <c:showPercent val="0"/>
          <c:showBubbleSize val="0"/>
        </c:dLbls>
        <c:axId val="140428800"/>
        <c:axId val="140430720"/>
      </c:scatterChart>
      <c:valAx>
        <c:axId val="14042880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40430720"/>
        <c:crosses val="autoZero"/>
        <c:crossBetween val="midCat"/>
      </c:valAx>
      <c:valAx>
        <c:axId val="140430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4042880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76235382341913138"/>
          <c:y val="3.6399592062826468E-2"/>
          <c:w val="0.19862061359977062"/>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3164215172691891"/>
          <c:y val="3.5618279569892476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v>High-side MOSFET</c:v>
          </c:tx>
          <c:spPr>
            <a:ln w="25400">
              <a:solidFill>
                <a:srgbClr val="000080"/>
              </a:solidFill>
              <a:prstDash val="dash"/>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Calculations'!$AE$9:$AE$209</c:f>
              <c:numCache>
                <c:formatCode>0.000</c:formatCode>
                <c:ptCount val="201"/>
                <c:pt idx="0">
                  <c:v>1.7312661038038151</c:v>
                </c:pt>
                <c:pt idx="1">
                  <c:v>1.6465591836024729</c:v>
                </c:pt>
                <c:pt idx="2">
                  <c:v>1.5683969411843381</c:v>
                </c:pt>
                <c:pt idx="3">
                  <c:v>1.4960840185052564</c:v>
                </c:pt>
                <c:pt idx="4">
                  <c:v>1.4290186590112974</c:v>
                </c:pt>
                <c:pt idx="5">
                  <c:v>1.3666775520941736</c:v>
                </c:pt>
                <c:pt idx="6">
                  <c:v>1.3086035247905958</c:v>
                </c:pt>
                <c:pt idx="7">
                  <c:v>1.2543954760152316</c:v>
                </c:pt>
                <c:pt idx="8">
                  <c:v>1.2037000910385709</c:v>
                </c:pt>
                <c:pt idx="9">
                  <c:v>1.1562049796890255</c:v>
                </c:pt>
                <c:pt idx="10">
                  <c:v>1.1116329610625488</c:v>
                </c:pt>
                <c:pt idx="11">
                  <c:v>1.0697372775209806</c:v>
                </c:pt>
                <c:pt idx="12">
                  <c:v>1.0302975665364966</c:v>
                </c:pt>
                <c:pt idx="13">
                  <c:v>0.99311645414334471</c:v>
                </c:pt>
                <c:pt idx="14">
                  <c:v>0.95801666103448835</c:v>
                </c:pt>
                <c:pt idx="15">
                  <c:v>0.92483853362477109</c:v>
                </c:pt>
                <c:pt idx="16">
                  <c:v>0.8934379291215726</c:v>
                </c:pt>
                <c:pt idx="17">
                  <c:v>0.86368439686091081</c:v>
                </c:pt>
                <c:pt idx="18">
                  <c:v>0.83545960867818359</c:v>
                </c:pt>
                <c:pt idx="19">
                  <c:v>0.80865599948985956</c:v>
                </c:pt>
                <c:pt idx="20">
                  <c:v>0.7831755860232642</c:v>
                </c:pt>
                <c:pt idx="21">
                  <c:v>0.75892893709658094</c:v>
                </c:pt>
                <c:pt idx="22">
                  <c:v>0.73583427329056206</c:v>
                </c:pt>
                <c:pt idx="23">
                  <c:v>0.71381667747660349</c:v>
                </c:pt>
                <c:pt idx="24">
                  <c:v>0.69280740063620549</c:v>
                </c:pt>
                <c:pt idx="25">
                  <c:v>0.67274324985245604</c:v>
                </c:pt>
                <c:pt idx="26">
                  <c:v>0.65356604737608925</c:v>
                </c:pt>
                <c:pt idx="27">
                  <c:v>0.63522215134681592</c:v>
                </c:pt>
                <c:pt idx="28">
                  <c:v>0.61766203014880405</c:v>
                </c:pt>
                <c:pt idx="29">
                  <c:v>0.60083988354825424</c:v>
                </c:pt>
                <c:pt idx="30">
                  <c:v>0.5847133047419838</c:v>
                </c:pt>
                <c:pt idx="31">
                  <c:v>0.56924297827179948</c:v>
                </c:pt>
                <c:pt idx="32">
                  <c:v>0.55439240945698387</c:v>
                </c:pt>
                <c:pt idx="33">
                  <c:v>0.54012768158819213</c:v>
                </c:pt>
                <c:pt idx="34">
                  <c:v>0.52641723762827186</c:v>
                </c:pt>
                <c:pt idx="35">
                  <c:v>0.51323168359349436</c:v>
                </c:pt>
                <c:pt idx="36">
                  <c:v>0.50054361115445456</c:v>
                </c:pt>
                <c:pt idx="37">
                  <c:v>0.48832743730931166</c:v>
                </c:pt>
                <c:pt idx="38">
                  <c:v>0.47655925925130821</c:v>
                </c:pt>
                <c:pt idx="39">
                  <c:v>0.46521672278440579</c:v>
                </c:pt>
                <c:pt idx="40">
                  <c:v>0.45427890284112593</c:v>
                </c:pt>
                <c:pt idx="41">
                  <c:v>0.44372619482992137</c:v>
                </c:pt>
                <c:pt idx="42">
                  <c:v>0.43354021568972317</c:v>
                </c:pt>
                <c:pt idx="43">
                  <c:v>0.42370371365994097</c:v>
                </c:pt>
                <c:pt idx="44">
                  <c:v>0.41420048588799097</c:v>
                </c:pt>
                <c:pt idx="45">
                  <c:v>0.40501530309578865</c:v>
                </c:pt>
                <c:pt idx="46">
                  <c:v>0.39613384061352463</c:v>
                </c:pt>
                <c:pt idx="47">
                  <c:v>0.38754261516519767</c:v>
                </c:pt>
                <c:pt idx="48">
                  <c:v>0.37922892685724885</c:v>
                </c:pt>
                <c:pt idx="49">
                  <c:v>0.37118080588045299</c:v>
                </c:pt>
                <c:pt idx="50">
                  <c:v>0.36338696348706129</c:v>
                </c:pt>
                <c:pt idx="51">
                  <c:v>0.35583674685093297</c:v>
                </c:pt>
                <c:pt idx="52">
                  <c:v>0.34852009745886842</c:v>
                </c:pt>
                <c:pt idx="53">
                  <c:v>0.3414275127171727</c:v>
                </c:pt>
                <c:pt idx="54">
                  <c:v>0.33455001048927341</c:v>
                </c:pt>
                <c:pt idx="55">
                  <c:v>0.32787909630846274</c:v>
                </c:pt>
                <c:pt idx="56">
                  <c:v>0.32140673303495754</c:v>
                </c:pt>
                <c:pt idx="57">
                  <c:v>0.31512531274887012</c:v>
                </c:pt>
                <c:pt idx="58">
                  <c:v>0.30902763069067174</c:v>
                </c:pt>
                <c:pt idx="59">
                  <c:v>0.30310686107858359</c:v>
                </c:pt>
                <c:pt idx="60">
                  <c:v>0.29735653464832401</c:v>
                </c:pt>
                <c:pt idx="61">
                  <c:v>0.2917705177749515</c:v>
                </c:pt>
                <c:pt idx="62">
                  <c:v>0.28634299304940891</c:v>
                </c:pt>
                <c:pt idx="63">
                  <c:v>0.28106844119390384</c:v>
                </c:pt>
                <c:pt idx="64">
                  <c:v>0.27594162421065638</c:v>
                </c:pt>
                <c:pt idx="65">
                  <c:v>0.2709575696678948</c:v>
                </c:pt>
                <c:pt idx="66">
                  <c:v>0.28462453643961377</c:v>
                </c:pt>
                <c:pt idx="67">
                  <c:v>0.27989457930126027</c:v>
                </c:pt>
                <c:pt idx="68">
                  <c:v>0.27530013147445409</c:v>
                </c:pt>
                <c:pt idx="69">
                  <c:v>0.27083818693739364</c:v>
                </c:pt>
                <c:pt idx="70">
                  <c:v>0.26650594550357221</c:v>
                </c:pt>
                <c:pt idx="71">
                  <c:v>0.26230080302089037</c:v>
                </c:pt>
                <c:pt idx="72">
                  <c:v>0.2582203421965038</c:v>
                </c:pt>
                <c:pt idx="73">
                  <c:v>0.25426232400359622</c:v>
                </c:pt>
                <c:pt idx="74">
                  <c:v>0.25082635770292544</c:v>
                </c:pt>
                <c:pt idx="75">
                  <c:v>0.24924616260265034</c:v>
                </c:pt>
                <c:pt idx="76">
                  <c:v>0.24772145957208669</c:v>
                </c:pt>
                <c:pt idx="77">
                  <c:v>0.24625221873273595</c:v>
                </c:pt>
                <c:pt idx="78">
                  <c:v>0.24483583981354112</c:v>
                </c:pt>
                <c:pt idx="79">
                  <c:v>0.24346986420569491</c:v>
                </c:pt>
                <c:pt idx="80">
                  <c:v>0.24215196628889973</c:v>
                </c:pt>
                <c:pt idx="81">
                  <c:v>0.24087994535016355</c:v>
                </c:pt>
                <c:pt idx="82">
                  <c:v>0.23965171805019522</c:v>
                </c:pt>
                <c:pt idx="83">
                  <c:v>0.23846531139621932</c:v>
                </c:pt>
                <c:pt idx="84">
                  <c:v>0.23731885618345683</c:v>
                </c:pt>
                <c:pt idx="85">
                  <c:v>0.23621058087061669</c:v>
                </c:pt>
                <c:pt idx="86">
                  <c:v>0.23513880585757571</c:v>
                </c:pt>
                <c:pt idx="87">
                  <c:v>0.23410193813599187</c:v>
                </c:pt>
                <c:pt idx="88">
                  <c:v>0.23309846628594522</c:v>
                </c:pt>
                <c:pt idx="89">
                  <c:v>0.25557873276805321</c:v>
                </c:pt>
                <c:pt idx="90">
                  <c:v>0.25470137547431332</c:v>
                </c:pt>
                <c:pt idx="91">
                  <c:v>0.25384642697593207</c:v>
                </c:pt>
                <c:pt idx="92">
                  <c:v>0.2530132376758974</c:v>
                </c:pt>
                <c:pt idx="93">
                  <c:v>0.25220118371643985</c:v>
                </c:pt>
                <c:pt idx="94">
                  <c:v>0.25140966573077117</c:v>
                </c:pt>
                <c:pt idx="95">
                  <c:v>0.2506381076650146</c:v>
                </c:pt>
                <c:pt idx="96">
                  <c:v>0.2498859556658817</c:v>
                </c:pt>
                <c:pt idx="97">
                  <c:v>0.24915267702995647</c:v>
                </c:pt>
                <c:pt idx="98">
                  <c:v>0.24843775921074293</c:v>
                </c:pt>
                <c:pt idx="99">
                  <c:v>0.24774070887989216</c:v>
                </c:pt>
                <c:pt idx="100">
                  <c:v>0.24706105103927417</c:v>
                </c:pt>
                <c:pt idx="101">
                  <c:v>0.24639832818078869</c:v>
                </c:pt>
                <c:pt idx="102">
                  <c:v>0.24575209949101606</c:v>
                </c:pt>
                <c:pt idx="103">
                  <c:v>0.24512194009800561</c:v>
                </c:pt>
                <c:pt idx="104">
                  <c:v>0.24450744035768257</c:v>
                </c:pt>
                <c:pt idx="105">
                  <c:v>0.24390820517751635</c:v>
                </c:pt>
                <c:pt idx="106">
                  <c:v>0.24332385337525245</c:v>
                </c:pt>
                <c:pt idx="107">
                  <c:v>0.24275401707065317</c:v>
                </c:pt>
                <c:pt idx="108">
                  <c:v>0.24219834110832478</c:v>
                </c:pt>
                <c:pt idx="109">
                  <c:v>0.24165648250983413</c:v>
                </c:pt>
                <c:pt idx="110">
                  <c:v>0.2411281099534327</c:v>
                </c:pt>
                <c:pt idx="111">
                  <c:v>0.24061290327981302</c:v>
                </c:pt>
                <c:pt idx="112">
                  <c:v>0.24011055302242335</c:v>
                </c:pt>
                <c:pt idx="113">
                  <c:v>0.23962075996095603</c:v>
                </c:pt>
                <c:pt idx="114">
                  <c:v>0.23914323469671633</c:v>
                </c:pt>
                <c:pt idx="115">
                  <c:v>0.23867769724865498</c:v>
                </c:pt>
                <c:pt idx="116">
                  <c:v>0.23822387666892322</c:v>
                </c:pt>
                <c:pt idx="117">
                  <c:v>0.23778151067688183</c:v>
                </c:pt>
                <c:pt idx="118">
                  <c:v>0.23735034531055788</c:v>
                </c:pt>
                <c:pt idx="119">
                  <c:v>0.23693013459460369</c:v>
                </c:pt>
                <c:pt idx="120">
                  <c:v>0.2365206402238734</c:v>
                </c:pt>
                <c:pt idx="121">
                  <c:v>0.23612163126177896</c:v>
                </c:pt>
                <c:pt idx="122">
                  <c:v>0.23573288385264438</c:v>
                </c:pt>
                <c:pt idx="123">
                  <c:v>0.23535418094731669</c:v>
                </c:pt>
                <c:pt idx="124">
                  <c:v>0.23498531204134021</c:v>
                </c:pt>
                <c:pt idx="125">
                  <c:v>0.23462607292503967</c:v>
                </c:pt>
                <c:pt idx="126">
                  <c:v>0.23427626544489322</c:v>
                </c:pt>
                <c:pt idx="127">
                  <c:v>0.23393569727561828</c:v>
                </c:pt>
                <c:pt idx="128">
                  <c:v>0.23360418170241815</c:v>
                </c:pt>
                <c:pt idx="129">
                  <c:v>0.23328153741287655</c:v>
                </c:pt>
                <c:pt idx="130">
                  <c:v>0.23296758829800962</c:v>
                </c:pt>
                <c:pt idx="131">
                  <c:v>0.2326621632620178</c:v>
                </c:pt>
                <c:pt idx="132">
                  <c:v>0.23236509604030273</c:v>
                </c:pt>
                <c:pt idx="133">
                  <c:v>0.23207622502533831</c:v>
                </c:pt>
                <c:pt idx="134">
                  <c:v>0.23179539310001057</c:v>
                </c:pt>
                <c:pt idx="135">
                  <c:v>0.23152244747805778</c:v>
                </c:pt>
                <c:pt idx="136">
                  <c:v>0.23125723955126742</c:v>
                </c:pt>
                <c:pt idx="137">
                  <c:v>0.23099962474310115</c:v>
                </c:pt>
                <c:pt idx="138">
                  <c:v>0.23074946236843863</c:v>
                </c:pt>
                <c:pt idx="139">
                  <c:v>0.23050661549914783</c:v>
                </c:pt>
                <c:pt idx="140">
                  <c:v>0.23027095083520396</c:v>
                </c:pt>
                <c:pt idx="141">
                  <c:v>0.23004233858109571</c:v>
                </c:pt>
                <c:pt idx="142">
                  <c:v>0.22982065232726781</c:v>
                </c:pt>
                <c:pt idx="143">
                  <c:v>0.22960576893636814</c:v>
                </c:pt>
                <c:pt idx="144">
                  <c:v>0.22939756843407219</c:v>
                </c:pt>
                <c:pt idx="145">
                  <c:v>0.22919593390427587</c:v>
                </c:pt>
                <c:pt idx="146">
                  <c:v>0.22900075138845577</c:v>
                </c:pt>
                <c:pt idx="147">
                  <c:v>0.2288119097890047</c:v>
                </c:pt>
                <c:pt idx="148">
                  <c:v>0.22862930077636454</c:v>
                </c:pt>
                <c:pt idx="149">
                  <c:v>0.22845281869978257</c:v>
                </c:pt>
                <c:pt idx="150">
                  <c:v>0.22828236050153028</c:v>
                </c:pt>
                <c:pt idx="151">
                  <c:v>0.22811782563442895</c:v>
                </c:pt>
                <c:pt idx="152">
                  <c:v>0.22795911598253563</c:v>
                </c:pt>
                <c:pt idx="153">
                  <c:v>0.22780613578485012</c:v>
                </c:pt>
                <c:pt idx="154">
                  <c:v>0.22765879156191002</c:v>
                </c:pt>
                <c:pt idx="155">
                  <c:v>0.22751699204514825</c:v>
                </c:pt>
                <c:pt idx="156">
                  <c:v>0.22738064810889133</c:v>
                </c:pt>
                <c:pt idx="157">
                  <c:v>0.22724967270488822</c:v>
                </c:pt>
                <c:pt idx="158">
                  <c:v>0.22712398079925639</c:v>
                </c:pt>
                <c:pt idx="159">
                  <c:v>0.22700348931174533</c:v>
                </c:pt>
                <c:pt idx="160">
                  <c:v>0.22688811705721795</c:v>
                </c:pt>
                <c:pt idx="161">
                  <c:v>0.22677778468925552</c:v>
                </c:pt>
                <c:pt idx="162">
                  <c:v>0.22667241464579843</c:v>
                </c:pt>
                <c:pt idx="163">
                  <c:v>0.22657193109673643</c:v>
                </c:pt>
                <c:pt idx="164">
                  <c:v>0.22647625989336798</c:v>
                </c:pt>
                <c:pt idx="165">
                  <c:v>0.22638532851965126</c:v>
                </c:pt>
                <c:pt idx="166">
                  <c:v>0.226299066045174</c:v>
                </c:pt>
                <c:pt idx="167">
                  <c:v>0.22621740307976976</c:v>
                </c:pt>
                <c:pt idx="168">
                  <c:v>0.22614027172971649</c:v>
                </c:pt>
                <c:pt idx="169">
                  <c:v>0.22606760555545172</c:v>
                </c:pt>
                <c:pt idx="170">
                  <c:v>0.22599933953074292</c:v>
                </c:pt>
                <c:pt idx="171">
                  <c:v>0.2259354100032569</c:v>
                </c:pt>
                <c:pt idx="172">
                  <c:v>0.22587575465646986</c:v>
                </c:pt>
                <c:pt idx="173">
                  <c:v>0.22582031247286763</c:v>
                </c:pt>
                <c:pt idx="174">
                  <c:v>0.22576902369838325</c:v>
                </c:pt>
                <c:pt idx="175">
                  <c:v>0.22572182980802483</c:v>
                </c:pt>
                <c:pt idx="176">
                  <c:v>0.22567867347264617</c:v>
                </c:pt>
                <c:pt idx="177">
                  <c:v>0.22563949852681692</c:v>
                </c:pt>
                <c:pt idx="178">
                  <c:v>0.22560424993774955</c:v>
                </c:pt>
                <c:pt idx="179">
                  <c:v>0.22557287377524163</c:v>
                </c:pt>
                <c:pt idx="180">
                  <c:v>0.2255453171825961</c:v>
                </c:pt>
                <c:pt idx="181">
                  <c:v>0.22552152834848194</c:v>
                </c:pt>
                <c:pt idx="182">
                  <c:v>0.22550145647969899</c:v>
                </c:pt>
                <c:pt idx="183">
                  <c:v>0.22548505177481418</c:v>
                </c:pt>
                <c:pt idx="184">
                  <c:v>0.22547226539863538</c:v>
                </c:pt>
                <c:pt idx="185">
                  <c:v>0.22546304945749304</c:v>
                </c:pt>
                <c:pt idx="186">
                  <c:v>0.22545735697529815</c:v>
                </c:pt>
                <c:pt idx="187">
                  <c:v>0.22545514187034935</c:v>
                </c:pt>
                <c:pt idx="188">
                  <c:v>0.22545635893286176</c:v>
                </c:pt>
                <c:pt idx="189">
                  <c:v>0.22546096380318903</c:v>
                </c:pt>
                <c:pt idx="190">
                  <c:v>0.22546891295071739</c:v>
                </c:pt>
                <c:pt idx="191">
                  <c:v>0.22548016365340326</c:v>
                </c:pt>
                <c:pt idx="192">
                  <c:v>0.2254946739779343</c:v>
                </c:pt>
                <c:pt idx="193">
                  <c:v>0.22551240276049084</c:v>
                </c:pt>
                <c:pt idx="194">
                  <c:v>0.22553330958808571</c:v>
                </c:pt>
                <c:pt idx="195">
                  <c:v>0.22555735478046232</c:v>
                </c:pt>
                <c:pt idx="196">
                  <c:v>0.22558449937253214</c:v>
                </c:pt>
                <c:pt idx="197">
                  <c:v>0.22561470509733172</c:v>
                </c:pt>
                <c:pt idx="198">
                  <c:v>0.22564793436948183</c:v>
                </c:pt>
                <c:pt idx="199">
                  <c:v>0.22568415026913061</c:v>
                </c:pt>
                <c:pt idx="200">
                  <c:v>0.22572331652636474</c:v>
                </c:pt>
              </c:numCache>
            </c:numRef>
          </c:yVal>
          <c:smooth val="0"/>
          <c:extLst>
            <c:ext xmlns:c16="http://schemas.microsoft.com/office/drawing/2014/chart" uri="{C3380CC4-5D6E-409C-BE32-E72D297353CC}">
              <c16:uniqueId val="{00000000-A71C-4BD4-9875-C6D01BAD63D8}"/>
            </c:ext>
          </c:extLst>
        </c:ser>
        <c:ser>
          <c:idx val="3"/>
          <c:order val="1"/>
          <c:tx>
            <c:v>Low-side MOSFET</c:v>
          </c:tx>
          <c:spPr>
            <a:ln w="25400">
              <a:solidFill>
                <a:srgbClr val="FF0000"/>
              </a:solidFill>
              <a:prstDash val="solid"/>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Calculations'!$AI$9:$AI$209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6.2296168245362583E-2</c:v>
                </c:pt>
                <c:pt idx="67">
                  <c:v>6.2145891722168542E-2</c:v>
                </c:pt>
                <c:pt idx="68">
                  <c:v>6.1999671047362842E-2</c:v>
                </c:pt>
                <c:pt idx="69">
                  <c:v>6.1857431472226249E-2</c:v>
                </c:pt>
                <c:pt idx="70">
                  <c:v>6.1719103677598031E-2</c:v>
                </c:pt>
                <c:pt idx="71">
                  <c:v>6.1584623546371613E-2</c:v>
                </c:pt>
                <c:pt idx="72">
                  <c:v>6.1453931948783527E-2</c:v>
                </c:pt>
                <c:pt idx="73">
                  <c:v>6.1326974539681646E-2</c:v>
                </c:pt>
                <c:pt idx="74">
                  <c:v>6.1769745476396298E-2</c:v>
                </c:pt>
                <c:pt idx="75">
                  <c:v>6.3453179732978357E-2</c:v>
                </c:pt>
                <c:pt idx="76">
                  <c:v>6.5112914065109842E-2</c:v>
                </c:pt>
                <c:pt idx="77">
                  <c:v>6.675014514531144E-2</c:v>
                </c:pt>
                <c:pt idx="78">
                  <c:v>6.8365907959464928E-2</c:v>
                </c:pt>
                <c:pt idx="79">
                  <c:v>6.9961174239885904E-2</c:v>
                </c:pt>
                <c:pt idx="80">
                  <c:v>7.1536856596131335E-2</c:v>
                </c:pt>
                <c:pt idx="81">
                  <c:v>7.3093812360589205E-2</c:v>
                </c:pt>
                <c:pt idx="82">
                  <c:v>7.4632847169726416E-2</c:v>
                </c:pt>
                <c:pt idx="83">
                  <c:v>7.6154718300254859E-2</c:v>
                </c:pt>
                <c:pt idx="84">
                  <c:v>7.7660137777989344E-2</c:v>
                </c:pt>
                <c:pt idx="85">
                  <c:v>7.9149775275807577E-2</c:v>
                </c:pt>
                <c:pt idx="86">
                  <c:v>8.0624260815866447E-2</c:v>
                </c:pt>
                <c:pt idx="87">
                  <c:v>8.2084187290077174E-2</c:v>
                </c:pt>
                <c:pt idx="88">
                  <c:v>8.3530112811780091E-2</c:v>
                </c:pt>
                <c:pt idx="89">
                  <c:v>0.12917760831073141</c:v>
                </c:pt>
                <c:pt idx="90">
                  <c:v>0.13051699060292768</c:v>
                </c:pt>
                <c:pt idx="91">
                  <c:v>0.13184010411923966</c:v>
                </c:pt>
                <c:pt idx="92">
                  <c:v>0.13314733076158555</c:v>
                </c:pt>
                <c:pt idx="93">
                  <c:v>0.13443903840785804</c:v>
                </c:pt>
                <c:pt idx="94">
                  <c:v>0.13571558158186126</c:v>
                </c:pt>
                <c:pt idx="95">
                  <c:v>0.13697730208562625</c:v>
                </c:pt>
                <c:pt idx="96">
                  <c:v>0.13822452959647408</c:v>
                </c:pt>
                <c:pt idx="97">
                  <c:v>0.13945758223103386</c:v>
                </c:pt>
                <c:pt idx="98">
                  <c:v>0.14067676707826982</c:v>
                </c:pt>
                <c:pt idx="99">
                  <c:v>0.14188238070343209</c:v>
                </c:pt>
                <c:pt idx="100">
                  <c:v>0.14307470962471644</c:v>
                </c:pt>
                <c:pt idx="101">
                  <c:v>0.14425403076429658</c:v>
                </c:pt>
                <c:pt idx="102">
                  <c:v>0.14542061187528288</c:v>
                </c:pt>
                <c:pt idx="103">
                  <c:v>0.14657471194605642</c:v>
                </c:pt>
                <c:pt idx="104">
                  <c:v>0.14771658158333248</c:v>
                </c:pt>
                <c:pt idx="105">
                  <c:v>0.14884646337521709</c:v>
                </c:pt>
                <c:pt idx="106">
                  <c:v>0.14996459223543984</c:v>
                </c:pt>
                <c:pt idx="107">
                  <c:v>0.15107119572986621</c:v>
                </c:pt>
                <c:pt idx="108">
                  <c:v>0.15216649438632432</c:v>
                </c:pt>
                <c:pt idx="109">
                  <c:v>0.15325070198871218</c:v>
                </c:pt>
                <c:pt idx="110">
                  <c:v>0.15432402585629187</c:v>
                </c:pt>
                <c:pt idx="111">
                  <c:v>0.15538666710901647</c:v>
                </c:pt>
                <c:pt idx="112">
                  <c:v>0.15643882091968658</c:v>
                </c:pt>
                <c:pt idx="113">
                  <c:v>0.1574806767536788</c:v>
                </c:pt>
                <c:pt idx="114">
                  <c:v>0.15851241859694448</c:v>
                </c:pt>
                <c:pt idx="115">
                  <c:v>0.15953422517293434</c:v>
                </c:pt>
                <c:pt idx="116">
                  <c:v>0.16054627014906164</c:v>
                </c:pt>
                <c:pt idx="117">
                  <c:v>0.16154872233328199</c:v>
                </c:pt>
                <c:pt idx="118">
                  <c:v>0.16254174586132975</c:v>
                </c:pt>
                <c:pt idx="119">
                  <c:v>0.16352550037512051</c:v>
                </c:pt>
                <c:pt idx="120">
                  <c:v>0.16450014119279727</c:v>
                </c:pt>
                <c:pt idx="121">
                  <c:v>0.165465819470869</c:v>
                </c:pt>
                <c:pt idx="122">
                  <c:v>0.16642268235886512</c:v>
                </c:pt>
                <c:pt idx="123">
                  <c:v>0.16737087314690172</c:v>
                </c:pt>
                <c:pt idx="124">
                  <c:v>0.16831053140653515</c:v>
                </c:pt>
                <c:pt idx="125">
                  <c:v>0.16924179312525373</c:v>
                </c:pt>
                <c:pt idx="126">
                  <c:v>0.17016479083493957</c:v>
                </c:pt>
                <c:pt idx="127">
                  <c:v>0.17107965373461309</c:v>
                </c:pt>
                <c:pt idx="128">
                  <c:v>0.17198650780775362</c:v>
                </c:pt>
                <c:pt idx="129">
                  <c:v>0.17288547593447467</c:v>
                </c:pt>
                <c:pt idx="130">
                  <c:v>0.17377667799881433</c:v>
                </c:pt>
                <c:pt idx="131">
                  <c:v>0.17466023099138883</c:v>
                </c:pt>
                <c:pt idx="132">
                  <c:v>0.17553624910764049</c:v>
                </c:pt>
                <c:pt idx="133">
                  <c:v>0.17640484384190175</c:v>
                </c:pt>
                <c:pt idx="134">
                  <c:v>0.1772661240774808</c:v>
                </c:pt>
                <c:pt idx="135">
                  <c:v>0.17812019617296723</c:v>
                </c:pt>
                <c:pt idx="136">
                  <c:v>0.17896716404494029</c:v>
                </c:pt>
                <c:pt idx="137">
                  <c:v>0.17980712924725714</c:v>
                </c:pt>
                <c:pt idx="138">
                  <c:v>0.18064019104708504</c:v>
                </c:pt>
                <c:pt idx="139">
                  <c:v>0.18146644649783519</c:v>
                </c:pt>
                <c:pt idx="140">
                  <c:v>0.18228599050914529</c:v>
                </c:pt>
                <c:pt idx="141">
                  <c:v>0.18309891591405156</c:v>
                </c:pt>
                <c:pt idx="142">
                  <c:v>0.18390531353348299</c:v>
                </c:pt>
                <c:pt idx="143">
                  <c:v>0.18470527223820335</c:v>
                </c:pt>
                <c:pt idx="144">
                  <c:v>0.18549887900831927</c:v>
                </c:pt>
                <c:pt idx="145">
                  <c:v>0.18628621899046846</c:v>
                </c:pt>
                <c:pt idx="146">
                  <c:v>0.18706737555279426</c:v>
                </c:pt>
                <c:pt idx="147">
                  <c:v>0.1878424303378069</c:v>
                </c:pt>
                <c:pt idx="148">
                  <c:v>0.18861146331322984</c:v>
                </c:pt>
                <c:pt idx="149">
                  <c:v>0.18937455282091986</c:v>
                </c:pt>
                <c:pt idx="150">
                  <c:v>0.19013177562394953</c:v>
                </c:pt>
                <c:pt idx="151">
                  <c:v>0.19088320695193225</c:v>
                </c:pt>
                <c:pt idx="152">
                  <c:v>0.19162892054466948</c:v>
                </c:pt>
                <c:pt idx="153">
                  <c:v>0.19236898869419308</c:v>
                </c:pt>
                <c:pt idx="154">
                  <c:v>0.19310348228527352</c:v>
                </c:pt>
                <c:pt idx="155">
                  <c:v>0.19383247083446101</c:v>
                </c:pt>
                <c:pt idx="156">
                  <c:v>0.19455602252772256</c:v>
                </c:pt>
                <c:pt idx="157">
                  <c:v>0.19527420425673561</c:v>
                </c:pt>
                <c:pt idx="158">
                  <c:v>0.19598708165389622</c:v>
                </c:pt>
                <c:pt idx="159">
                  <c:v>0.19669471912609518</c:v>
                </c:pt>
                <c:pt idx="160">
                  <c:v>0.19739717988731559</c:v>
                </c:pt>
                <c:pt idx="161">
                  <c:v>0.19809452599010025</c:v>
                </c:pt>
                <c:pt idx="162">
                  <c:v>0.19878681835593634</c:v>
                </c:pt>
                <c:pt idx="163">
                  <c:v>0.19947411680460295</c:v>
                </c:pt>
                <c:pt idx="164">
                  <c:v>0.20015648008252276</c:v>
                </c:pt>
                <c:pt idx="165">
                  <c:v>0.20083396589016014</c:v>
                </c:pt>
                <c:pt idx="166">
                  <c:v>0.20150663090850388</c:v>
                </c:pt>
                <c:pt idx="167">
                  <c:v>0.20217453082467063</c:v>
                </c:pt>
                <c:pt idx="168">
                  <c:v>0.20283772035666664</c:v>
                </c:pt>
                <c:pt idx="169">
                  <c:v>0.20349625327733911</c:v>
                </c:pt>
                <c:pt idx="170">
                  <c:v>0.2041501824375504</c:v>
                </c:pt>
                <c:pt idx="171">
                  <c:v>0.20479955978860631</c:v>
                </c:pt>
                <c:pt idx="172">
                  <c:v>0.20544443640396612</c:v>
                </c:pt>
                <c:pt idx="173">
                  <c:v>0.20608486250026409</c:v>
                </c:pt>
                <c:pt idx="174">
                  <c:v>0.2067208874576679</c:v>
                </c:pt>
                <c:pt idx="175">
                  <c:v>0.20735255983959966</c:v>
                </c:pt>
                <c:pt idx="176">
                  <c:v>0.20797992741184509</c:v>
                </c:pt>
                <c:pt idx="177">
                  <c:v>0.20860303716107206</c:v>
                </c:pt>
                <c:pt idx="178">
                  <c:v>0.20922193531278263</c:v>
                </c:pt>
                <c:pt idx="179">
                  <c:v>0.20983666734871939</c:v>
                </c:pt>
                <c:pt idx="180">
                  <c:v>0.21044727802374516</c:v>
                </c:pt>
                <c:pt idx="181">
                  <c:v>0.21105381138221815</c:v>
                </c:pt>
                <c:pt idx="182">
                  <c:v>0.21165631077387825</c:v>
                </c:pt>
                <c:pt idx="183">
                  <c:v>0.21225481886926503</c:v>
                </c:pt>
                <c:pt idx="184">
                  <c:v>0.21284937767468209</c:v>
                </c:pt>
                <c:pt idx="185">
                  <c:v>0.21344002854672664</c:v>
                </c:pt>
                <c:pt idx="186">
                  <c:v>0.21402681220639733</c:v>
                </c:pt>
                <c:pt idx="187">
                  <c:v>0.21460976875279764</c:v>
                </c:pt>
                <c:pt idx="188">
                  <c:v>0.21518893767644809</c:v>
                </c:pt>
                <c:pt idx="189">
                  <c:v>0.21576435787222079</c:v>
                </c:pt>
                <c:pt idx="190">
                  <c:v>0.21633606765191066</c:v>
                </c:pt>
                <c:pt idx="191">
                  <c:v>0.21690410475645497</c:v>
                </c:pt>
                <c:pt idx="192">
                  <c:v>0.21746850636781381</c:v>
                </c:pt>
                <c:pt idx="193">
                  <c:v>0.21802930912052365</c:v>
                </c:pt>
                <c:pt idx="194">
                  <c:v>0.21858654911293357</c:v>
                </c:pt>
                <c:pt idx="195">
                  <c:v>0.21914026191813726</c:v>
                </c:pt>
                <c:pt idx="196">
                  <c:v>0.2196904825946091</c:v>
                </c:pt>
                <c:pt idx="197">
                  <c:v>0.22023724569655517</c:v>
                </c:pt>
                <c:pt idx="198">
                  <c:v>0.22078058528398875</c:v>
                </c:pt>
                <c:pt idx="199">
                  <c:v>0.22132053493253925</c:v>
                </c:pt>
                <c:pt idx="200">
                  <c:v>0.22185712774300273</c:v>
                </c:pt>
              </c:numCache>
            </c:numRef>
          </c:yVal>
          <c:smooth val="0"/>
          <c:extLst>
            <c:ext xmlns:c16="http://schemas.microsoft.com/office/drawing/2014/chart" uri="{C3380CC4-5D6E-409C-BE32-E72D297353CC}">
              <c16:uniqueId val="{00000001-A71C-4BD4-9875-C6D01BAD63D8}"/>
            </c:ext>
          </c:extLst>
        </c:ser>
        <c:ser>
          <c:idx val="0"/>
          <c:order val="2"/>
          <c:tx>
            <c:v>Inductor Loss</c:v>
          </c:tx>
          <c:spPr>
            <a:ln w="31750">
              <a:solidFill>
                <a:srgbClr val="FF6600"/>
              </a:solidFill>
              <a:prstDash val="lgDash"/>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Calculations'!$T$9:$T$209</c:f>
              <c:numCache>
                <c:formatCode>0.000</c:formatCode>
                <c:ptCount val="201"/>
                <c:pt idx="0">
                  <c:v>1.6439501538078534</c:v>
                </c:pt>
                <c:pt idx="1">
                  <c:v>1.5835356558866944</c:v>
                </c:pt>
                <c:pt idx="2">
                  <c:v>1.5268663216972069</c:v>
                </c:pt>
                <c:pt idx="3">
                  <c:v>1.4736108967003849</c:v>
                </c:pt>
                <c:pt idx="4">
                  <c:v>1.4234730152143205</c:v>
                </c:pt>
                <c:pt idx="5">
                  <c:v>1.3761868407696707</c:v>
                </c:pt>
                <c:pt idx="6">
                  <c:v>1.3315133452123402</c:v>
                </c:pt>
                <c:pt idx="7">
                  <c:v>1.2892371203769541</c:v>
                </c:pt>
                <c:pt idx="8">
                  <c:v>1.2491636358080818</c:v>
                </c:pt>
                <c:pt idx="9">
                  <c:v>1.2111168716640672</c:v>
                </c:pt>
                <c:pt idx="10">
                  <c:v>1.1749372684826525</c:v>
                </c:pt>
                <c:pt idx="11">
                  <c:v>1.1404799455910224</c:v>
                </c:pt>
                <c:pt idx="12">
                  <c:v>1.1076131481215454</c:v>
                </c:pt>
                <c:pt idx="13">
                  <c:v>1.0762168892470043</c:v>
                </c:pt>
                <c:pt idx="14">
                  <c:v>1.0461817596852032</c:v>
                </c:pt>
                <c:pt idx="15">
                  <c:v>1.0174078809845</c:v>
                </c:pt>
                <c:pt idx="16">
                  <c:v>0.98980398277910042</c:v>
                </c:pt>
                <c:pt idx="17">
                  <c:v>0.96328658724596483</c:v>
                </c:pt>
                <c:pt idx="18">
                  <c:v>0.93777928652305909</c:v>
                </c:pt>
                <c:pt idx="19">
                  <c:v>0.91321210095636196</c:v>
                </c:pt>
                <c:pt idx="20">
                  <c:v>0.8895209078066344</c:v>
                </c:pt>
                <c:pt idx="21">
                  <c:v>0.86664693152762573</c:v>
                </c:pt>
                <c:pt idx="22">
                  <c:v>0.84453628797459845</c:v>
                </c:pt>
                <c:pt idx="23">
                  <c:v>0.82313957595590281</c:v>
                </c:pt>
                <c:pt idx="24">
                  <c:v>0.80241151043347769</c:v>
                </c:pt>
                <c:pt idx="25">
                  <c:v>0.78231059243726908</c:v>
                </c:pt>
                <c:pt idx="26">
                  <c:v>0.76279881140558881</c:v>
                </c:pt>
                <c:pt idx="27">
                  <c:v>0.74384137621631585</c:v>
                </c:pt>
                <c:pt idx="28">
                  <c:v>0.72540647164756533</c:v>
                </c:pt>
                <c:pt idx="29">
                  <c:v>0.70746503741323863</c:v>
                </c:pt>
                <c:pt idx="30">
                  <c:v>0.68999056726903585</c:v>
                </c:pt>
                <c:pt idx="31">
                  <c:v>0.67295892598656926</c:v>
                </c:pt>
                <c:pt idx="32">
                  <c:v>0.65634818225430169</c:v>
                </c:pt>
                <c:pt idx="33">
                  <c:v>0.64013845579011552</c:v>
                </c:pt>
                <c:pt idx="34">
                  <c:v>0.62431177714643826</c:v>
                </c:pt>
                <c:pt idx="35">
                  <c:v>0.60885195885918997</c:v>
                </c:pt>
                <c:pt idx="36">
                  <c:v>0.59374447673997732</c:v>
                </c:pt>
                <c:pt idx="37">
                  <c:v>0.57897636023992127</c:v>
                </c:pt>
                <c:pt idx="38">
                  <c:v>0.56453609092579082</c:v>
                </c:pt>
                <c:pt idx="39">
                  <c:v>0.55041350820689749</c:v>
                </c:pt>
                <c:pt idx="40">
                  <c:v>0.53659972153628577</c:v>
                </c:pt>
                <c:pt idx="41">
                  <c:v>0.52308702838359344</c:v>
                </c:pt>
                <c:pt idx="42">
                  <c:v>0.5098688373409177</c:v>
                </c:pt>
                <c:pt idx="43">
                  <c:v>0.49693959577808255</c:v>
                </c:pt>
                <c:pt idx="44">
                  <c:v>0.48429472151071257</c:v>
                </c:pt>
                <c:pt idx="45">
                  <c:v>0.47193053798421586</c:v>
                </c:pt>
                <c:pt idx="46">
                  <c:v>0.45984421250957713</c:v>
                </c:pt>
                <c:pt idx="47">
                  <c:v>0.44803369711315733</c:v>
                </c:pt>
                <c:pt idx="48">
                  <c:v>0.43649767158261776</c:v>
                </c:pt>
                <c:pt idx="49">
                  <c:v>0.4252354883046055</c:v>
                </c:pt>
                <c:pt idx="50">
                  <c:v>0.41424711849671281</c:v>
                </c:pt>
                <c:pt idx="51">
                  <c:v>0.40353309943594323</c:v>
                </c:pt>
                <c:pt idx="52">
                  <c:v>0.39309448227765714</c:v>
                </c:pt>
                <c:pt idx="53">
                  <c:v>0.38293278004148518</c:v>
                </c:pt>
                <c:pt idx="54">
                  <c:v>0.37304991531215831</c:v>
                </c:pt>
                <c:pt idx="55">
                  <c:v>0.36344816716107831</c:v>
                </c:pt>
                <c:pt idx="56">
                  <c:v>0.35413011673501671</c:v>
                </c:pt>
                <c:pt idx="57">
                  <c:v>0.34509859087642392</c:v>
                </c:pt>
                <c:pt idx="58">
                  <c:v>0.33635660302790454</c:v>
                </c:pt>
                <c:pt idx="59">
                  <c:v>0.32790729052053252</c:v>
                </c:pt>
                <c:pt idx="60">
                  <c:v>0.3197538471355974</c:v>
                </c:pt>
                <c:pt idx="61">
                  <c:v>0.31189944953750198</c:v>
                </c:pt>
                <c:pt idx="62">
                  <c:v>0.30434717576377246</c:v>
                </c:pt>
                <c:pt idx="63">
                  <c:v>0.29709991336576413</c:v>
                </c:pt>
                <c:pt idx="64">
                  <c:v>0.29016025392090344</c:v>
                </c:pt>
                <c:pt idx="65">
                  <c:v>0.28353036931397629</c:v>
                </c:pt>
                <c:pt idx="66">
                  <c:v>0.3294655200058863</c:v>
                </c:pt>
                <c:pt idx="67">
                  <c:v>0.31482677468295511</c:v>
                </c:pt>
                <c:pt idx="68">
                  <c:v>0.30114616375831976</c:v>
                </c:pt>
                <c:pt idx="69">
                  <c:v>0.28845093915391606</c:v>
                </c:pt>
                <c:pt idx="70">
                  <c:v>0.27676466655897464</c:v>
                </c:pt>
                <c:pt idx="71">
                  <c:v>0.26610636765072565</c:v>
                </c:pt>
                <c:pt idx="72">
                  <c:v>0.25648940361968536</c:v>
                </c:pt>
                <c:pt idx="73">
                  <c:v>0.24791996342778322</c:v>
                </c:pt>
                <c:pt idx="74">
                  <c:v>0.23564091536197238</c:v>
                </c:pt>
                <c:pt idx="75">
                  <c:v>0.23570830058450645</c:v>
                </c:pt>
                <c:pt idx="76">
                  <c:v>0.23629890549923036</c:v>
                </c:pt>
                <c:pt idx="77">
                  <c:v>0.23762922871075481</c:v>
                </c:pt>
                <c:pt idx="78">
                  <c:v>0.23977987642724491</c:v>
                </c:pt>
                <c:pt idx="79">
                  <c:v>0.24279494685637476</c:v>
                </c:pt>
                <c:pt idx="80">
                  <c:v>0.24669884685834997</c:v>
                </c:pt>
                <c:pt idx="81">
                  <c:v>0.25150347632653686</c:v>
                </c:pt>
                <c:pt idx="82">
                  <c:v>0.25721212592071085</c:v>
                </c:pt>
                <c:pt idx="83">
                  <c:v>0.2638218770195761</c:v>
                </c:pt>
                <c:pt idx="84">
                  <c:v>0.27132520193295967</c:v>
                </c:pt>
                <c:pt idx="85">
                  <c:v>0.27971109068930139</c:v>
                </c:pt>
                <c:pt idx="86">
                  <c:v>0.28896587630908932</c:v>
                </c:pt>
                <c:pt idx="87">
                  <c:v>0.299073857276551</c:v>
                </c:pt>
                <c:pt idx="88">
                  <c:v>0.31001777772213773</c:v>
                </c:pt>
                <c:pt idx="89">
                  <c:v>0.23907187652802675</c:v>
                </c:pt>
                <c:pt idx="90">
                  <c:v>0.241880842103606</c:v>
                </c:pt>
                <c:pt idx="91">
                  <c:v>0.24486381571893512</c:v>
                </c:pt>
                <c:pt idx="92">
                  <c:v>0.24801625363451979</c:v>
                </c:pt>
                <c:pt idx="93">
                  <c:v>0.25133354961786436</c:v>
                </c:pt>
                <c:pt idx="94">
                  <c:v>0.25481106407682402</c:v>
                </c:pt>
                <c:pt idx="95">
                  <c:v>0.25844414804789512</c:v>
                </c:pt>
                <c:pt idx="96">
                  <c:v>0.26222816298701185</c:v>
                </c:pt>
                <c:pt idx="97">
                  <c:v>0.26615849710775674</c:v>
                </c:pt>
                <c:pt idx="98">
                  <c:v>0.270230578859668</c:v>
                </c:pt>
                <c:pt idx="99">
                  <c:v>0.2744398880232809</c:v>
                </c:pt>
                <c:pt idx="100">
                  <c:v>0.27878196480884354</c:v>
                </c:pt>
                <c:pt idx="101">
                  <c:v>0.28325241727549083</c:v>
                </c:pt>
                <c:pt idx="102">
                  <c:v>0.2878469273321701</c:v>
                </c:pt>
                <c:pt idx="103">
                  <c:v>0.29256125553729229</c:v>
                </c:pt>
                <c:pt idx="104">
                  <c:v>0.29739124487836321</c:v>
                </c:pt>
                <c:pt idx="105">
                  <c:v>0.30233282368381992</c:v>
                </c:pt>
                <c:pt idx="106">
                  <c:v>0.30738200779554725</c:v>
                </c:pt>
                <c:pt idx="107">
                  <c:v>0.31253490211094959</c:v>
                </c:pt>
                <c:pt idx="108">
                  <c:v>0.31778770158723341</c:v>
                </c:pt>
                <c:pt idx="109">
                  <c:v>0.32313669178698229</c:v>
                </c:pt>
                <c:pt idx="110">
                  <c:v>0.32857824903277472</c:v>
                </c:pt>
                <c:pt idx="111">
                  <c:v>0.33410884022900256</c:v>
                </c:pt>
                <c:pt idx="112">
                  <c:v>0.33972502240096891</c:v>
                </c:pt>
                <c:pt idx="113">
                  <c:v>0.34542344199445174</c:v>
                </c:pt>
                <c:pt idx="114">
                  <c:v>0.35120083397305801</c:v>
                </c:pt>
                <c:pt idx="115">
                  <c:v>0.35705402074567388</c:v>
                </c:pt>
                <c:pt idx="116">
                  <c:v>0.36297991095200449</c:v>
                </c:pt>
                <c:pt idx="117">
                  <c:v>0.36897549813048869</c:v>
                </c:pt>
                <c:pt idx="118">
                  <c:v>0.37503785928967093</c:v>
                </c:pt>
                <c:pt idx="119">
                  <c:v>0.38116415340134191</c:v>
                </c:pt>
                <c:pt idx="120">
                  <c:v>0.38735161983135868</c:v>
                </c:pt>
                <c:pt idx="121">
                  <c:v>0.39359757672196621</c:v>
                </c:pt>
                <c:pt idx="122">
                  <c:v>0.39989941933762185</c:v>
                </c:pt>
                <c:pt idx="123">
                  <c:v>0.40625461838474713</c:v>
                </c:pt>
                <c:pt idx="124">
                  <c:v>0.4126607183144364</c:v>
                </c:pt>
                <c:pt idx="125">
                  <c:v>0.41911533561595871</c:v>
                </c:pt>
                <c:pt idx="126">
                  <c:v>0.42561615710780387</c:v>
                </c:pt>
                <c:pt idx="127">
                  <c:v>0.43216093823212715</c:v>
                </c:pt>
                <c:pt idx="128">
                  <c:v>0.43874750135760165</c:v>
                </c:pt>
                <c:pt idx="129">
                  <c:v>0.44537373409499648</c:v>
                </c:pt>
                <c:pt idx="130">
                  <c:v>0.45203758762916091</c:v>
                </c:pt>
                <c:pt idx="131">
                  <c:v>0.45873707507053496</c:v>
                </c:pt>
                <c:pt idx="132">
                  <c:v>0.46547026982884221</c:v>
                </c:pt>
                <c:pt idx="133">
                  <c:v>0.47223530401117564</c:v>
                </c:pt>
                <c:pt idx="134">
                  <c:v>0.47903036684632178</c:v>
                </c:pt>
                <c:pt idx="135">
                  <c:v>0.48585370313683629</c:v>
                </c:pt>
                <c:pt idx="136">
                  <c:v>0.49270361174009802</c:v>
                </c:pt>
                <c:pt idx="137">
                  <c:v>0.49957844407931218</c:v>
                </c:pt>
                <c:pt idx="138">
                  <c:v>0.50647660268520645</c:v>
                </c:pt>
                <c:pt idx="139">
                  <c:v>0.51339653976897848</c:v>
                </c:pt>
                <c:pt idx="140">
                  <c:v>0.52033675582687433</c:v>
                </c:pt>
                <c:pt idx="141">
                  <c:v>0.52729579827663098</c:v>
                </c:pt>
                <c:pt idx="142">
                  <c:v>0.53427226012588025</c:v>
                </c:pt>
                <c:pt idx="143">
                  <c:v>0.5412647786725151</c:v>
                </c:pt>
                <c:pt idx="144">
                  <c:v>0.54827203423689286</c:v>
                </c:pt>
                <c:pt idx="145">
                  <c:v>0.55529274892569469</c:v>
                </c:pt>
                <c:pt idx="146">
                  <c:v>0.56232568542716477</c:v>
                </c:pt>
                <c:pt idx="147">
                  <c:v>0.56936964583739968</c:v>
                </c:pt>
                <c:pt idx="148">
                  <c:v>0.57642347051730281</c:v>
                </c:pt>
                <c:pt idx="149">
                  <c:v>0.58348603697977686</c:v>
                </c:pt>
                <c:pt idx="150">
                  <c:v>0.59055625880667983</c:v>
                </c:pt>
                <c:pt idx="151">
                  <c:v>0.59763308459504594</c:v>
                </c:pt>
                <c:pt idx="152">
                  <c:v>0.60471549693204263</c:v>
                </c:pt>
                <c:pt idx="153">
                  <c:v>0.61180251139812292</c:v>
                </c:pt>
                <c:pt idx="154">
                  <c:v>0.61889317559778956</c:v>
                </c:pt>
                <c:pt idx="155">
                  <c:v>0.62598656821741538</c:v>
                </c:pt>
                <c:pt idx="156">
                  <c:v>0.63308179810951326</c:v>
                </c:pt>
                <c:pt idx="157">
                  <c:v>0.64017800340287079</c:v>
                </c:pt>
                <c:pt idx="158">
                  <c:v>0.6472743506379488</c:v>
                </c:pt>
                <c:pt idx="159">
                  <c:v>0.65437003392694382</c:v>
                </c:pt>
                <c:pt idx="160">
                  <c:v>0.6614642741379142</c:v>
                </c:pt>
                <c:pt idx="161">
                  <c:v>0.66855631810237681</c:v>
                </c:pt>
                <c:pt idx="162">
                  <c:v>0.67564543784577624</c:v>
                </c:pt>
                <c:pt idx="163">
                  <c:v>0.68273092984023886</c:v>
                </c:pt>
                <c:pt idx="164">
                  <c:v>0.68981211427903966</c:v>
                </c:pt>
                <c:pt idx="165">
                  <c:v>0.69688833437219233</c:v>
                </c:pt>
                <c:pt idx="166">
                  <c:v>0.7039589556626078</c:v>
                </c:pt>
                <c:pt idx="167">
                  <c:v>0.71102336536225796</c:v>
                </c:pt>
                <c:pt idx="168">
                  <c:v>0.71808097170780683</c:v>
                </c:pt>
                <c:pt idx="169">
                  <c:v>0.72513120333515579</c:v>
                </c:pt>
                <c:pt idx="170">
                  <c:v>0.73217350867238429</c:v>
                </c:pt>
                <c:pt idx="171">
                  <c:v>0.73920735535057935</c:v>
                </c:pt>
                <c:pt idx="172">
                  <c:v>0.74623222963202218</c:v>
                </c:pt>
                <c:pt idx="173">
                  <c:v>0.75324763585526466</c:v>
                </c:pt>
                <c:pt idx="174">
                  <c:v>0.7602530958965954</c:v>
                </c:pt>
                <c:pt idx="175">
                  <c:v>0.76724814864742408</c:v>
                </c:pt>
                <c:pt idx="176">
                  <c:v>0.77423234950713604</c:v>
                </c:pt>
                <c:pt idx="177">
                  <c:v>0.78120526989095129</c:v>
                </c:pt>
                <c:pt idx="178">
                  <c:v>0.7881664967523565</c:v>
                </c:pt>
                <c:pt idx="179">
                  <c:v>0.7951156321196905</c:v>
                </c:pt>
                <c:pt idx="180">
                  <c:v>0.80205229264644784</c:v>
                </c:pt>
                <c:pt idx="181">
                  <c:v>0.8089761091749208</c:v>
                </c:pt>
                <c:pt idx="182">
                  <c:v>0.81588672631276116</c:v>
                </c:pt>
                <c:pt idx="183">
                  <c:v>0.82278380202209589</c:v>
                </c:pt>
                <c:pt idx="184">
                  <c:v>0.82966700722081277</c:v>
                </c:pt>
                <c:pt idx="185">
                  <c:v>0.83653602539566241</c:v>
                </c:pt>
                <c:pt idx="186">
                  <c:v>0.84339055222681503</c:v>
                </c:pt>
                <c:pt idx="187">
                  <c:v>0.85023029522353533</c:v>
                </c:pt>
                <c:pt idx="188">
                  <c:v>0.85705497337064385</c:v>
                </c:pt>
                <c:pt idx="189">
                  <c:v>0.86386431678543363</c:v>
                </c:pt>
                <c:pt idx="190">
                  <c:v>0.8706580663847403</c:v>
                </c:pt>
                <c:pt idx="191">
                  <c:v>0.87743597356184688</c:v>
                </c:pt>
                <c:pt idx="192">
                  <c:v>0.88419779987293923</c:v>
                </c:pt>
                <c:pt idx="193">
                  <c:v>0.89094331673282323</c:v>
                </c:pt>
                <c:pt idx="194">
                  <c:v>0.8976723051196156</c:v>
                </c:pt>
                <c:pt idx="195">
                  <c:v>0.90438455528814832</c:v>
                </c:pt>
                <c:pt idx="196">
                  <c:v>0.91107986649182537</c:v>
                </c:pt>
                <c:pt idx="197">
                  <c:v>0.9177580467126597</c:v>
                </c:pt>
                <c:pt idx="198">
                  <c:v>0.92441891239927521</c:v>
                </c:pt>
                <c:pt idx="199">
                  <c:v>0.93106228821259895</c:v>
                </c:pt>
                <c:pt idx="200">
                  <c:v>0.9376880067790383</c:v>
                </c:pt>
              </c:numCache>
            </c:numRef>
          </c:yVal>
          <c:smooth val="0"/>
          <c:extLst>
            <c:ext xmlns:c16="http://schemas.microsoft.com/office/drawing/2014/chart" uri="{C3380CC4-5D6E-409C-BE32-E72D297353CC}">
              <c16:uniqueId val="{00000002-A71C-4BD4-9875-C6D01BAD63D8}"/>
            </c:ext>
          </c:extLst>
        </c:ser>
        <c:dLbls>
          <c:showLegendKey val="0"/>
          <c:showVal val="0"/>
          <c:showCatName val="0"/>
          <c:showSerName val="0"/>
          <c:showPercent val="0"/>
          <c:showBubbleSize val="0"/>
        </c:dLbls>
        <c:axId val="140445184"/>
        <c:axId val="140447104"/>
      </c:scatterChart>
      <c:valAx>
        <c:axId val="14044518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0447104"/>
        <c:crosses val="autoZero"/>
        <c:crossBetween val="midCat"/>
      </c:valAx>
      <c:valAx>
        <c:axId val="14044710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044518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7115673503774995"/>
          <c:y val="1.0080645161290322E-2"/>
          <c:w val="0.20336554227017919"/>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Calculations'!$BD$9:$BD$209</c:f>
              <c:numCache>
                <c:formatCode>0.0%</c:formatCode>
                <c:ptCount val="201"/>
                <c:pt idx="0">
                  <c:v>0.92367875232611518</c:v>
                </c:pt>
                <c:pt idx="1">
                  <c:v>0.92650626003576231</c:v>
                </c:pt>
                <c:pt idx="2">
                  <c:v>0.92916648396615831</c:v>
                </c:pt>
                <c:pt idx="3">
                  <c:v>0.93167328784853765</c:v>
                </c:pt>
                <c:pt idx="4">
                  <c:v>0.9340390746531565</c:v>
                </c:pt>
                <c:pt idx="5">
                  <c:v>0.93627497746434363</c:v>
                </c:pt>
                <c:pt idx="6">
                  <c:v>0.93839102016020626</c:v>
                </c:pt>
                <c:pt idx="7">
                  <c:v>0.94039625350317624</c:v>
                </c:pt>
                <c:pt idx="8">
                  <c:v>0.9422988710566681</c:v>
                </c:pt>
                <c:pt idx="9">
                  <c:v>0.94410630843542953</c:v>
                </c:pt>
                <c:pt idx="10">
                  <c:v>0.94582532869863423</c:v>
                </c:pt>
                <c:pt idx="11">
                  <c:v>0.94746209615233445</c:v>
                </c:pt>
                <c:pt idx="12">
                  <c:v>0.94902224040309313</c:v>
                </c:pt>
                <c:pt idx="13">
                  <c:v>0.95051091216929506</c:v>
                </c:pt>
                <c:pt idx="14">
                  <c:v>0.95193283208997115</c:v>
                </c:pt>
                <c:pt idx="15">
                  <c:v>0.95329233355741605</c:v>
                </c:pt>
                <c:pt idx="16">
                  <c:v>0.95459340042771534</c:v>
                </c:pt>
                <c:pt idx="17">
                  <c:v>0.95583970032365939</c:v>
                </c:pt>
                <c:pt idx="18">
                  <c:v>0.95703461413057767</c:v>
                </c:pt>
                <c:pt idx="19">
                  <c:v>0.95818126219215305</c:v>
                </c:pt>
                <c:pt idx="20">
                  <c:v>0.95928252763617561</c:v>
                </c:pt>
                <c:pt idx="21">
                  <c:v>0.96034107719630368</c:v>
                </c:pt>
                <c:pt idx="22">
                  <c:v>0.96135937984269626</c:v>
                </c:pt>
                <c:pt idx="23">
                  <c:v>0.96233972348987296</c:v>
                </c:pt>
                <c:pt idx="24">
                  <c:v>0.96328423001279784</c:v>
                </c:pt>
                <c:pt idx="25">
                  <c:v>0.96419486877065064</c:v>
                </c:pt>
                <c:pt idx="26">
                  <c:v>0.96507346881108891</c:v>
                </c:pt>
                <c:pt idx="27">
                  <c:v>0.96592172990513425</c:v>
                </c:pt>
                <c:pt idx="28">
                  <c:v>0.96674123254350364</c:v>
                </c:pt>
                <c:pt idx="29">
                  <c:v>0.96753344700869315</c:v>
                </c:pt>
                <c:pt idx="30">
                  <c:v>0.96829974162294907</c:v>
                </c:pt>
                <c:pt idx="31">
                  <c:v>0.96904139026007829</c:v>
                </c:pt>
                <c:pt idx="32">
                  <c:v>0.96975957919852962</c:v>
                </c:pt>
                <c:pt idx="33">
                  <c:v>0.97045541338409336</c:v>
                </c:pt>
                <c:pt idx="34">
                  <c:v>0.97112992216267158</c:v>
                </c:pt>
                <c:pt idx="35">
                  <c:v>0.97178406453672761</c:v>
                </c:pt>
                <c:pt idx="36">
                  <c:v>0.97241873399305434</c:v>
                </c:pt>
                <c:pt idx="37">
                  <c:v>0.97303476294429014</c:v>
                </c:pt>
                <c:pt idx="38">
                  <c:v>0.97363292682206548</c:v>
                </c:pt>
                <c:pt idx="39">
                  <c:v>0.97421394785567561</c:v>
                </c:pt>
                <c:pt idx="40">
                  <c:v>0.97477849856668264</c:v>
                </c:pt>
                <c:pt idx="41">
                  <c:v>0.97532720500678971</c:v>
                </c:pt>
                <c:pt idx="42">
                  <c:v>0.97586064976363618</c:v>
                </c:pt>
                <c:pt idx="43">
                  <c:v>0.97637937475680958</c:v>
                </c:pt>
                <c:pt idx="44">
                  <c:v>0.97688388384429881</c:v>
                </c:pt>
                <c:pt idx="45">
                  <c:v>0.97737464525780726</c:v>
                </c:pt>
                <c:pt idx="46">
                  <c:v>0.97785209388376526</c:v>
                </c:pt>
                <c:pt idx="47">
                  <c:v>0.97831663340552144</c:v>
                </c:pt>
                <c:pt idx="48">
                  <c:v>0.97876863832101879</c:v>
                </c:pt>
                <c:pt idx="49">
                  <c:v>0.97920845584927363</c:v>
                </c:pt>
                <c:pt idx="50">
                  <c:v>0.97963640773815985</c:v>
                </c:pt>
                <c:pt idx="51">
                  <c:v>0.98005279198536177</c:v>
                </c:pt>
                <c:pt idx="52">
                  <c:v>0.98045788448387905</c:v>
                </c:pt>
                <c:pt idx="53">
                  <c:v>0.98085194060319425</c:v>
                </c:pt>
                <c:pt idx="54">
                  <c:v>0.98123519671711668</c:v>
                </c:pt>
                <c:pt idx="55">
                  <c:v>0.98160787168946673</c:v>
                </c:pt>
                <c:pt idx="56">
                  <c:v>0.9819701683291886</c:v>
                </c:pt>
                <c:pt idx="57">
                  <c:v>0.98232227482723455</c:v>
                </c:pt>
                <c:pt idx="58">
                  <c:v>0.98266436618877462</c:v>
                </c:pt>
                <c:pt idx="59">
                  <c:v>0.9829966056760655</c:v>
                </c:pt>
                <c:pt idx="60">
                  <c:v>0.98331914627990613</c:v>
                </c:pt>
                <c:pt idx="61">
                  <c:v>0.98363213224133106</c:v>
                </c:pt>
                <c:pt idx="62">
                  <c:v>0.98393570065055569</c:v>
                </c:pt>
                <c:pt idx="63">
                  <c:v>0.98422998315803456</c:v>
                </c:pt>
                <c:pt idx="64">
                  <c:v>0.98451510784414786</c:v>
                </c:pt>
                <c:pt idx="65">
                  <c:v>0.98479120131181597</c:v>
                </c:pt>
                <c:pt idx="66">
                  <c:v>0.98404723516300374</c:v>
                </c:pt>
                <c:pt idx="67">
                  <c:v>0.98440716377511328</c:v>
                </c:pt>
                <c:pt idx="68">
                  <c:v>0.98474968223566872</c:v>
                </c:pt>
                <c:pt idx="69">
                  <c:v>0.98507451191257633</c:v>
                </c:pt>
                <c:pt idx="70">
                  <c:v>0.98538141971761761</c:v>
                </c:pt>
                <c:pt idx="71">
                  <c:v>0.98567023022114042</c:v>
                </c:pt>
                <c:pt idx="72">
                  <c:v>0.98594084125728887</c:v>
                </c:pt>
                <c:pt idx="73">
                  <c:v>0.98619324486831339</c:v>
                </c:pt>
                <c:pt idx="74">
                  <c:v>0.98653073423251514</c:v>
                </c:pt>
                <c:pt idx="75">
                  <c:v>0.98648701258737836</c:v>
                </c:pt>
                <c:pt idx="76">
                  <c:v>0.98643581908266442</c:v>
                </c:pt>
                <c:pt idx="77">
                  <c:v>0.9863741552847417</c:v>
                </c:pt>
                <c:pt idx="78">
                  <c:v>0.98630095692384179</c:v>
                </c:pt>
                <c:pt idx="79">
                  <c:v>0.98621565374925413</c:v>
                </c:pt>
                <c:pt idx="80">
                  <c:v>0.98611794217593218</c:v>
                </c:pt>
                <c:pt idx="81">
                  <c:v>0.98600768812403328</c:v>
                </c:pt>
                <c:pt idx="82">
                  <c:v>0.98588487427392835</c:v>
                </c:pt>
                <c:pt idx="83">
                  <c:v>0.98574956755864829</c:v>
                </c:pt>
                <c:pt idx="84">
                  <c:v>0.98560189746115134</c:v>
                </c:pt>
                <c:pt idx="85">
                  <c:v>0.98544204070811525</c:v>
                </c:pt>
                <c:pt idx="86">
                  <c:v>0.9852702100385875</c:v>
                </c:pt>
                <c:pt idx="87">
                  <c:v>0.98508664571479432</c:v>
                </c:pt>
                <c:pt idx="88">
                  <c:v>0.98489160895838013</c:v>
                </c:pt>
                <c:pt idx="89">
                  <c:v>0.98609839458379589</c:v>
                </c:pt>
                <c:pt idx="90">
                  <c:v>0.9860048526467744</c:v>
                </c:pt>
                <c:pt idx="91">
                  <c:v>0.98590926637884313</c:v>
                </c:pt>
                <c:pt idx="92">
                  <c:v>0.98581169369364652</c:v>
                </c:pt>
                <c:pt idx="93">
                  <c:v>0.98571219347074002</c:v>
                </c:pt>
                <c:pt idx="94">
                  <c:v>0.98561082515186349</c:v>
                </c:pt>
                <c:pt idx="95">
                  <c:v>0.98550764840761873</c:v>
                </c:pt>
                <c:pt idx="96">
                  <c:v>0.9854027228616602</c:v>
                </c:pt>
                <c:pt idx="97">
                  <c:v>0.98529610786226762</c:v>
                </c:pt>
                <c:pt idx="98">
                  <c:v>0.98518786229322453</c:v>
                </c:pt>
                <c:pt idx="99">
                  <c:v>0.98507804441751112</c:v>
                </c:pt>
                <c:pt idx="100">
                  <c:v>0.98496671174852479</c:v>
                </c:pt>
                <c:pt idx="101">
                  <c:v>0.98485392094450852</c:v>
                </c:pt>
                <c:pt idx="102">
                  <c:v>0.98473972772260865</c:v>
                </c:pt>
                <c:pt idx="103">
                  <c:v>0.98462418678959573</c:v>
                </c:pt>
                <c:pt idx="104">
                  <c:v>0.98450735178676241</c:v>
                </c:pt>
                <c:pt idx="105">
                  <c:v>0.98438927524690745</c:v>
                </c:pt>
                <c:pt idx="106">
                  <c:v>0.98427000856164326</c:v>
                </c:pt>
                <c:pt idx="107">
                  <c:v>0.98414960195752665</c:v>
                </c:pt>
                <c:pt idx="108">
                  <c:v>0.98402810447973543</c:v>
                </c:pt>
                <c:pt idx="109">
                  <c:v>0.98390556398220019</c:v>
                </c:pt>
                <c:pt idx="110">
                  <c:v>0.98378202712325458</c:v>
                </c:pt>
                <c:pt idx="111">
                  <c:v>0.9836575393659952</c:v>
                </c:pt>
                <c:pt idx="112">
                  <c:v>0.98353214498266373</c:v>
                </c:pt>
                <c:pt idx="113">
                  <c:v>0.98340588706244092</c:v>
                </c:pt>
                <c:pt idx="114">
                  <c:v>0.98327880752214303</c:v>
                </c:pt>
                <c:pt idx="115">
                  <c:v>0.98315094711936246</c:v>
                </c:pt>
                <c:pt idx="116">
                  <c:v>0.98302234546766387</c:v>
                </c:pt>
                <c:pt idx="117">
                  <c:v>0.98289304105349751</c:v>
                </c:pt>
                <c:pt idx="118">
                  <c:v>0.98276307125453022</c:v>
                </c:pt>
                <c:pt idx="119">
                  <c:v>0.98263247235913942</c:v>
                </c:pt>
                <c:pt idx="120">
                  <c:v>0.98250127958684341</c:v>
                </c:pt>
                <c:pt idx="121">
                  <c:v>0.98236952710947445</c:v>
                </c:pt>
                <c:pt idx="122">
                  <c:v>0.98223724807292379</c:v>
                </c:pt>
                <c:pt idx="123">
                  <c:v>0.98210447461931005</c:v>
                </c:pt>
                <c:pt idx="124">
                  <c:v>0.98197123790944274</c:v>
                </c:pt>
                <c:pt idx="125">
                  <c:v>0.98183756814546863</c:v>
                </c:pt>
                <c:pt idx="126">
                  <c:v>0.9817034945936034</c:v>
                </c:pt>
                <c:pt idx="127">
                  <c:v>0.98156904560686731</c:v>
                </c:pt>
                <c:pt idx="128">
                  <c:v>0.9814342486477472</c:v>
                </c:pt>
                <c:pt idx="129">
                  <c:v>0.9812991303107268</c:v>
                </c:pt>
                <c:pt idx="130">
                  <c:v>0.98116371634463007</c:v>
                </c:pt>
                <c:pt idx="131">
                  <c:v>0.98102803167472974</c:v>
                </c:pt>
                <c:pt idx="132">
                  <c:v>0.9808921004245853</c:v>
                </c:pt>
                <c:pt idx="133">
                  <c:v>0.98075594593757509</c:v>
                </c:pt>
                <c:pt idx="134">
                  <c:v>0.98061959079809558</c:v>
                </c:pt>
                <c:pt idx="135">
                  <c:v>0.98048305685240411</c:v>
                </c:pt>
                <c:pt idx="136">
                  <c:v>0.98034636522908747</c:v>
                </c:pt>
                <c:pt idx="137">
                  <c:v>0.98020953635914065</c:v>
                </c:pt>
                <c:pt idx="138">
                  <c:v>0.98007258999564151</c:v>
                </c:pt>
                <c:pt idx="139">
                  <c:v>0.97993554523301696</c:v>
                </c:pt>
                <c:pt idx="140">
                  <c:v>0.97979842052588806</c:v>
                </c:pt>
                <c:pt idx="141">
                  <c:v>0.97966123370749525</c:v>
                </c:pt>
                <c:pt idx="142">
                  <c:v>0.97952400200769585</c:v>
                </c:pt>
                <c:pt idx="143">
                  <c:v>0.97938674207053589</c:v>
                </c:pt>
                <c:pt idx="144">
                  <c:v>0.97924946997139661</c:v>
                </c:pt>
                <c:pt idx="145">
                  <c:v>0.97911220123371567</c:v>
                </c:pt>
                <c:pt idx="146">
                  <c:v>0.9789749508452873</c:v>
                </c:pt>
                <c:pt idx="147">
                  <c:v>0.97883773327414414</c:v>
                </c:pt>
                <c:pt idx="148">
                  <c:v>0.97870056248402604</c:v>
                </c:pt>
                <c:pt idx="149">
                  <c:v>0.97856345194944105</c:v>
                </c:pt>
                <c:pt idx="150">
                  <c:v>0.97842641467032287</c:v>
                </c:pt>
                <c:pt idx="151">
                  <c:v>0.9782894631862934</c:v>
                </c:pt>
                <c:pt idx="152">
                  <c:v>0.97815260959053552</c:v>
                </c:pt>
                <c:pt idx="153">
                  <c:v>0.9780158655432829</c:v>
                </c:pt>
                <c:pt idx="154">
                  <c:v>0.97787924228493628</c:v>
                </c:pt>
                <c:pt idx="155">
                  <c:v>0.97774275064881044</c:v>
                </c:pt>
                <c:pt idx="156">
                  <c:v>0.9776064010735227</c:v>
                </c:pt>
                <c:pt idx="157">
                  <c:v>0.97747020361502923</c:v>
                </c:pt>
                <c:pt idx="158">
                  <c:v>0.97733416795831618</c:v>
                </c:pt>
                <c:pt idx="159">
                  <c:v>0.97719830342875735</c:v>
                </c:pt>
                <c:pt idx="160">
                  <c:v>0.97706261900314073</c:v>
                </c:pt>
                <c:pt idx="161">
                  <c:v>0.97692712332037634</c:v>
                </c:pt>
                <c:pt idx="162">
                  <c:v>0.97679182469189296</c:v>
                </c:pt>
                <c:pt idx="163">
                  <c:v>0.97665673111172824</c:v>
                </c:pt>
                <c:pt idx="164">
                  <c:v>0.97652185026632443</c:v>
                </c:pt>
                <c:pt idx="165">
                  <c:v>0.97638718954403403</c:v>
                </c:pt>
                <c:pt idx="166">
                  <c:v>0.97625275604434558</c:v>
                </c:pt>
                <c:pt idx="167">
                  <c:v>0.97611855658683422</c:v>
                </c:pt>
                <c:pt idx="168">
                  <c:v>0.97598459771984869</c:v>
                </c:pt>
                <c:pt idx="169">
                  <c:v>0.97585088572893686</c:v>
                </c:pt>
                <c:pt idx="170">
                  <c:v>0.97571742664502115</c:v>
                </c:pt>
                <c:pt idx="171">
                  <c:v>0.97558422625232954</c:v>
                </c:pt>
                <c:pt idx="172">
                  <c:v>0.97545129009608778</c:v>
                </c:pt>
                <c:pt idx="173">
                  <c:v>0.975318623489982</c:v>
                </c:pt>
                <c:pt idx="174">
                  <c:v>0.97518623152339534</c:v>
                </c:pt>
                <c:pt idx="175">
                  <c:v>0.97505411906842843</c:v>
                </c:pt>
                <c:pt idx="176">
                  <c:v>0.97492229078670711</c:v>
                </c:pt>
                <c:pt idx="177">
                  <c:v>0.97479075113598512</c:v>
                </c:pt>
                <c:pt idx="178">
                  <c:v>0.97465950437654703</c:v>
                </c:pt>
                <c:pt idx="179">
                  <c:v>0.97452855457741827</c:v>
                </c:pt>
                <c:pt idx="180">
                  <c:v>0.97439790562238682</c:v>
                </c:pt>
                <c:pt idx="181">
                  <c:v>0.97426756121584268</c:v>
                </c:pt>
                <c:pt idx="182">
                  <c:v>0.97413752488843963</c:v>
                </c:pt>
                <c:pt idx="183">
                  <c:v>0.97400780000258746</c:v>
                </c:pt>
                <c:pt idx="184">
                  <c:v>0.97387838975777563</c:v>
                </c:pt>
                <c:pt idx="185">
                  <c:v>0.97374929719573622</c:v>
                </c:pt>
                <c:pt idx="186">
                  <c:v>0.97362052520545006</c:v>
                </c:pt>
                <c:pt idx="187">
                  <c:v>0.97349207652800129</c:v>
                </c:pt>
                <c:pt idx="188">
                  <c:v>0.97336395376128437</c:v>
                </c:pt>
                <c:pt idx="189">
                  <c:v>0.97323615936456764</c:v>
                </c:pt>
                <c:pt idx="190">
                  <c:v>0.9731086956629188</c:v>
                </c:pt>
                <c:pt idx="191">
                  <c:v>0.97298156485149656</c:v>
                </c:pt>
                <c:pt idx="192">
                  <c:v>0.97285476899971068</c:v>
                </c:pt>
                <c:pt idx="193">
                  <c:v>0.97272831005525606</c:v>
                </c:pt>
                <c:pt idx="194">
                  <c:v>0.97260218984802504</c:v>
                </c:pt>
                <c:pt idx="195">
                  <c:v>0.97247641009390096</c:v>
                </c:pt>
                <c:pt idx="196">
                  <c:v>0.97235097239843404</c:v>
                </c:pt>
                <c:pt idx="197">
                  <c:v>0.97222587826041018</c:v>
                </c:pt>
                <c:pt idx="198">
                  <c:v>0.97210112907530655</c:v>
                </c:pt>
                <c:pt idx="199">
                  <c:v>0.97197672613864561</c:v>
                </c:pt>
                <c:pt idx="200">
                  <c:v>0.97185267064924663</c:v>
                </c:pt>
              </c:numCache>
            </c:numRef>
          </c:yVal>
          <c:smooth val="0"/>
          <c:extLst>
            <c:ext xmlns:c16="http://schemas.microsoft.com/office/drawing/2014/chart" uri="{C3380CC4-5D6E-409C-BE32-E72D297353CC}">
              <c16:uniqueId val="{00000000-635C-445E-A9E6-F9F12D2EAF87}"/>
            </c:ext>
          </c:extLst>
        </c:ser>
        <c:dLbls>
          <c:showLegendKey val="0"/>
          <c:showVal val="0"/>
          <c:showCatName val="0"/>
          <c:showSerName val="0"/>
          <c:showPercent val="0"/>
          <c:showBubbleSize val="0"/>
        </c:dLbls>
        <c:axId val="140476416"/>
        <c:axId val="140478336"/>
      </c:scatterChart>
      <c:valAx>
        <c:axId val="14047641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40478336"/>
        <c:crosses val="autoZero"/>
        <c:crossBetween val="midCat"/>
      </c:valAx>
      <c:valAx>
        <c:axId val="14047833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4047641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97037571498782"/>
          <c:y val="5.9812039624079237E-2"/>
          <c:w val="0.80603751224324049"/>
          <c:h val="0.81048450596901189"/>
        </c:manualLayout>
      </c:layout>
      <c:scatterChart>
        <c:scatterStyle val="lineMarker"/>
        <c:varyColors val="0"/>
        <c:ser>
          <c:idx val="1"/>
          <c:order val="1"/>
          <c:tx>
            <c:v>Boost D</c:v>
          </c:tx>
          <c:spPr>
            <a:ln>
              <a:solidFill>
                <a:srgbClr val="FF0000"/>
              </a:solidFill>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Calculations'!$O$9:$O$209</c:f>
              <c:numCache>
                <c:formatCode>0.000</c:formatCode>
                <c:ptCount val="201"/>
                <c:pt idx="0">
                  <c:v>0.59920033670033657</c:v>
                </c:pt>
                <c:pt idx="1">
                  <c:v>0.59090642550379913</c:v>
                </c:pt>
                <c:pt idx="2">
                  <c:v>0.58262645914396893</c:v>
                </c:pt>
                <c:pt idx="3">
                  <c:v>0.57435967844635472</c:v>
                </c:pt>
                <c:pt idx="4">
                  <c:v>0.56610537836147601</c:v>
                </c:pt>
                <c:pt idx="5">
                  <c:v>0.55786290322580656</c:v>
                </c:pt>
                <c:pt idx="6">
                  <c:v>0.54963164251207719</c:v>
                </c:pt>
                <c:pt idx="7">
                  <c:v>0.54141102701098243</c:v>
                </c:pt>
                <c:pt idx="8">
                  <c:v>0.53320052539404561</c:v>
                </c:pt>
                <c:pt idx="9">
                  <c:v>0.52499964111398212</c:v>
                </c:pt>
                <c:pt idx="10">
                  <c:v>0.51680790960451983</c:v>
                </c:pt>
                <c:pt idx="11">
                  <c:v>0.50862489574645531</c:v>
                </c:pt>
                <c:pt idx="12">
                  <c:v>0.50045019157088122</c:v>
                </c:pt>
                <c:pt idx="13">
                  <c:v>0.49228341417407701</c:v>
                </c:pt>
                <c:pt idx="14">
                  <c:v>0.48412420382165605</c:v>
                </c:pt>
                <c:pt idx="15">
                  <c:v>0.47597222222222219</c:v>
                </c:pt>
                <c:pt idx="16">
                  <c:v>0.467827150953117</c:v>
                </c:pt>
                <c:pt idx="17">
                  <c:v>0.4596886900228484</c:v>
                </c:pt>
                <c:pt idx="18">
                  <c:v>0.45155655655655658</c:v>
                </c:pt>
                <c:pt idx="19">
                  <c:v>0.44343048359240078</c:v>
                </c:pt>
                <c:pt idx="20">
                  <c:v>0.43531021897810224</c:v>
                </c:pt>
                <c:pt idx="21">
                  <c:v>0.4271955243580513</c:v>
                </c:pt>
                <c:pt idx="22">
                  <c:v>0.41908617424242428</c:v>
                </c:pt>
                <c:pt idx="23">
                  <c:v>0.41098195515066566</c:v>
                </c:pt>
                <c:pt idx="24">
                  <c:v>0.40288266482249896</c:v>
                </c:pt>
                <c:pt idx="25">
                  <c:v>0.39478811149032994</c:v>
                </c:pt>
                <c:pt idx="26">
                  <c:v>0.38669811320754716</c:v>
                </c:pt>
                <c:pt idx="27">
                  <c:v>0.37861249722776669</c:v>
                </c:pt>
                <c:pt idx="28">
                  <c:v>0.37053109943057372</c:v>
                </c:pt>
                <c:pt idx="29">
                  <c:v>0.36245376378974697</c:v>
                </c:pt>
                <c:pt idx="30">
                  <c:v>0.3543803418803419</c:v>
                </c:pt>
                <c:pt idx="31">
                  <c:v>0.34631069242136375</c:v>
                </c:pt>
                <c:pt idx="32">
                  <c:v>0.33824468085106385</c:v>
                </c:pt>
                <c:pt idx="33">
                  <c:v>0.33018217893217888</c:v>
                </c:pt>
                <c:pt idx="34">
                  <c:v>0.32212306438467808</c:v>
                </c:pt>
                <c:pt idx="35">
                  <c:v>0.3140672205438067</c:v>
                </c:pt>
                <c:pt idx="36">
                  <c:v>0.30601453604141771</c:v>
                </c:pt>
                <c:pt idx="37">
                  <c:v>0.29796490450876145</c:v>
                </c:pt>
                <c:pt idx="38">
                  <c:v>0.28991822429906555</c:v>
                </c:pt>
                <c:pt idx="39">
                  <c:v>0.28187439822838434</c:v>
                </c:pt>
                <c:pt idx="40">
                  <c:v>0.27383333333333321</c:v>
                </c:pt>
                <c:pt idx="41">
                  <c:v>0.26579494064443199</c:v>
                </c:pt>
                <c:pt idx="42">
                  <c:v>0.25775913497390007</c:v>
                </c:pt>
                <c:pt idx="43">
                  <c:v>0.24972583471684182</c:v>
                </c:pt>
                <c:pt idx="44">
                  <c:v>0.24169496166484114</c:v>
                </c:pt>
                <c:pt idx="45">
                  <c:v>0.23366644083107491</c:v>
                </c:pt>
                <c:pt idx="46">
                  <c:v>0.22564020028612297</c:v>
                </c:pt>
                <c:pt idx="47">
                  <c:v>0.2176161710037175</c:v>
                </c:pt>
                <c:pt idx="48">
                  <c:v>0.20959428671573788</c:v>
                </c:pt>
                <c:pt idx="49">
                  <c:v>0.20157448377581119</c:v>
                </c:pt>
                <c:pt idx="50">
                  <c:v>0.19355670103092776</c:v>
                </c:pt>
                <c:pt idx="51">
                  <c:v>0.18554087970052754</c:v>
                </c:pt>
                <c:pt idx="52">
                  <c:v>0.17752696326255465</c:v>
                </c:pt>
                <c:pt idx="53">
                  <c:v>0.16951489734601907</c:v>
                </c:pt>
                <c:pt idx="54">
                  <c:v>0.16150462962962964</c:v>
                </c:pt>
                <c:pt idx="55">
                  <c:v>0.15349610974610958</c:v>
                </c:pt>
                <c:pt idx="56">
                  <c:v>0.14548928919182075</c:v>
                </c:pt>
                <c:pt idx="57">
                  <c:v>0.13748412124135725</c:v>
                </c:pt>
                <c:pt idx="58">
                  <c:v>0.12948056086679419</c:v>
                </c:pt>
                <c:pt idx="59">
                  <c:v>0.121478564661298</c:v>
                </c:pt>
                <c:pt idx="60">
                  <c:v>0.11347809076682316</c:v>
                </c:pt>
                <c:pt idx="61">
                  <c:v>0.1054790988056461</c:v>
                </c:pt>
                <c:pt idx="62">
                  <c:v>9.7481549815498156E-2</c:v>
                </c:pt>
                <c:pt idx="63">
                  <c:v>8.9485406188081193E-2</c:v>
                </c:pt>
                <c:pt idx="64">
                  <c:v>8.1490631610758521E-2</c:v>
                </c:pt>
                <c:pt idx="65">
                  <c:v>7.3497191011235891E-2</c:v>
                </c:pt>
                <c:pt idx="66">
                  <c:v>9.2389333333333365E-2</c:v>
                </c:pt>
                <c:pt idx="67">
                  <c:v>8.473866666666667E-2</c:v>
                </c:pt>
                <c:pt idx="68">
                  <c:v>7.7087999999999823E-2</c:v>
                </c:pt>
                <c:pt idx="69">
                  <c:v>6.9437333333333282E-2</c:v>
                </c:pt>
                <c:pt idx="70">
                  <c:v>6.1786666666666733E-2</c:v>
                </c:pt>
                <c:pt idx="71">
                  <c:v>5.4136000000000038E-2</c:v>
                </c:pt>
                <c:pt idx="72">
                  <c:v>4.6485333333333344E-2</c:v>
                </c:pt>
                <c:pt idx="73">
                  <c:v>3.8834666666666795E-2</c:v>
                </c:pt>
                <c:pt idx="74">
                  <c:v>3.3599999999999998E-2</c:v>
                </c:pt>
                <c:pt idx="75">
                  <c:v>3.3599999999999998E-2</c:v>
                </c:pt>
                <c:pt idx="76">
                  <c:v>3.3599999999999998E-2</c:v>
                </c:pt>
                <c:pt idx="77">
                  <c:v>3.3599999999999998E-2</c:v>
                </c:pt>
                <c:pt idx="78">
                  <c:v>3.3599999999999998E-2</c:v>
                </c:pt>
                <c:pt idx="79">
                  <c:v>3.3599999999999998E-2</c:v>
                </c:pt>
                <c:pt idx="80">
                  <c:v>3.3599999999999998E-2</c:v>
                </c:pt>
                <c:pt idx="81">
                  <c:v>3.3599999999999998E-2</c:v>
                </c:pt>
                <c:pt idx="82">
                  <c:v>3.3599999999999998E-2</c:v>
                </c:pt>
                <c:pt idx="83">
                  <c:v>3.3599999999999998E-2</c:v>
                </c:pt>
                <c:pt idx="84">
                  <c:v>3.3599999999999998E-2</c:v>
                </c:pt>
                <c:pt idx="85">
                  <c:v>3.3599999999999998E-2</c:v>
                </c:pt>
                <c:pt idx="86">
                  <c:v>3.3599999999999998E-2</c:v>
                </c:pt>
                <c:pt idx="87">
                  <c:v>3.3599999999999998E-2</c:v>
                </c:pt>
                <c:pt idx="88">
                  <c:v>3.3599999999999998E-2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0-DC90-4F5D-9F3E-6158EB6FD8EC}"/>
            </c:ext>
          </c:extLst>
        </c:ser>
        <c:dLbls>
          <c:showLegendKey val="0"/>
          <c:showVal val="0"/>
          <c:showCatName val="0"/>
          <c:showSerName val="0"/>
          <c:showPercent val="0"/>
          <c:showBubbleSize val="0"/>
        </c:dLbls>
        <c:axId val="141058432"/>
        <c:axId val="141060352"/>
      </c:scatterChart>
      <c:scatterChart>
        <c:scatterStyle val="lineMarker"/>
        <c:varyColors val="0"/>
        <c:ser>
          <c:idx val="0"/>
          <c:order val="0"/>
          <c:tx>
            <c:v>Buck D</c:v>
          </c:tx>
          <c:spPr>
            <a:ln w="31750">
              <a:solidFill>
                <a:srgbClr val="0000FF"/>
              </a:solidFill>
              <a:prstDash val="sysDash"/>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Calculations'!$N$9:$N$209</c:f>
              <c:numCache>
                <c:formatCode>0.000</c:formatCode>
                <c:ptCount val="2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0.96640000000000004</c:v>
                </c:pt>
                <c:pt idx="67">
                  <c:v>0.96640000000000004</c:v>
                </c:pt>
                <c:pt idx="68">
                  <c:v>0.96640000000000004</c:v>
                </c:pt>
                <c:pt idx="69">
                  <c:v>0.96640000000000004</c:v>
                </c:pt>
                <c:pt idx="70">
                  <c:v>0.96640000000000004</c:v>
                </c:pt>
                <c:pt idx="71">
                  <c:v>0.96640000000000004</c:v>
                </c:pt>
                <c:pt idx="72">
                  <c:v>0.96640000000000004</c:v>
                </c:pt>
                <c:pt idx="73">
                  <c:v>0.96640000000000004</c:v>
                </c:pt>
                <c:pt idx="74">
                  <c:v>0.96399002493765584</c:v>
                </c:pt>
                <c:pt idx="75">
                  <c:v>0.95643711340206194</c:v>
                </c:pt>
                <c:pt idx="76">
                  <c:v>0.94900163666121129</c:v>
                </c:pt>
                <c:pt idx="77">
                  <c:v>0.94168087697929348</c:v>
                </c:pt>
                <c:pt idx="78">
                  <c:v>0.93447219983883967</c:v>
                </c:pt>
                <c:pt idx="79">
                  <c:v>0.92737305077968812</c:v>
                </c:pt>
                <c:pt idx="80">
                  <c:v>0.92038095238095241</c:v>
                </c:pt>
                <c:pt idx="81">
                  <c:v>0.9134935013784955</c:v>
                </c:pt>
                <c:pt idx="82">
                  <c:v>0.90670836591086801</c:v>
                </c:pt>
                <c:pt idx="83">
                  <c:v>0.900023282887078</c:v>
                </c:pt>
                <c:pt idx="84">
                  <c:v>0.89343605546995386</c:v>
                </c:pt>
                <c:pt idx="85">
                  <c:v>0.88694455066921618</c:v>
                </c:pt>
                <c:pt idx="86">
                  <c:v>0.88054669703872435</c:v>
                </c:pt>
                <c:pt idx="87">
                  <c:v>0.87424048247267239</c:v>
                </c:pt>
                <c:pt idx="88">
                  <c:v>0.86802395209580852</c:v>
                </c:pt>
                <c:pt idx="89">
                  <c:v>0.89744501221950679</c:v>
                </c:pt>
                <c:pt idx="90">
                  <c:v>0.89117517281953218</c:v>
                </c:pt>
                <c:pt idx="91">
                  <c:v>0.88499233184838966</c:v>
                </c:pt>
                <c:pt idx="92">
                  <c:v>0.87889469103568318</c:v>
                </c:pt>
                <c:pt idx="93">
                  <c:v>0.8728805013325649</c:v>
                </c:pt>
                <c:pt idx="94">
                  <c:v>0.86694806123908996</c:v>
                </c:pt>
                <c:pt idx="95">
                  <c:v>0.86109571519931782</c:v>
                </c:pt>
                <c:pt idx="96">
                  <c:v>0.85532185206098255</c:v>
                </c:pt>
                <c:pt idx="97">
                  <c:v>0.84962490359671883</c:v>
                </c:pt>
                <c:pt idx="98">
                  <c:v>0.84400334308399494</c:v>
                </c:pt>
                <c:pt idx="99">
                  <c:v>0.8384556839410503</c:v>
                </c:pt>
                <c:pt idx="100">
                  <c:v>0.83298047841627709</c:v>
                </c:pt>
                <c:pt idx="101">
                  <c:v>0.82757631632862116</c:v>
                </c:pt>
                <c:pt idx="102">
                  <c:v>0.82224182385669697</c:v>
                </c:pt>
                <c:pt idx="103">
                  <c:v>0.81697566237443531</c:v>
                </c:pt>
                <c:pt idx="104">
                  <c:v>0.81177652733118966</c:v>
                </c:pt>
                <c:pt idx="105">
                  <c:v>0.80664314717433272</c:v>
                </c:pt>
                <c:pt idx="106">
                  <c:v>0.80157428231247518</c:v>
                </c:pt>
                <c:pt idx="107">
                  <c:v>0.79656872411753099</c:v>
                </c:pt>
                <c:pt idx="108">
                  <c:v>0.79162529396394032</c:v>
                </c:pt>
                <c:pt idx="109">
                  <c:v>0.78674284230344738</c:v>
                </c:pt>
                <c:pt idx="110">
                  <c:v>0.78192024777390623</c:v>
                </c:pt>
                <c:pt idx="111">
                  <c:v>0.77715641634066557</c:v>
                </c:pt>
                <c:pt idx="112">
                  <c:v>0.77245028046914832</c:v>
                </c:pt>
                <c:pt idx="113">
                  <c:v>0.76780079832731418</c:v>
                </c:pt>
                <c:pt idx="114">
                  <c:v>0.76320695301675279</c:v>
                </c:pt>
                <c:pt idx="115">
                  <c:v>0.75866775183121526</c:v>
                </c:pt>
                <c:pt idx="116">
                  <c:v>0.75418222554144898</c:v>
                </c:pt>
                <c:pt idx="117">
                  <c:v>0.74974942770525288</c:v>
                </c:pt>
                <c:pt idx="118">
                  <c:v>0.74536843400172226</c:v>
                </c:pt>
                <c:pt idx="119">
                  <c:v>0.74103834158869941</c:v>
                </c:pt>
                <c:pt idx="120">
                  <c:v>0.73675826848249037</c:v>
                </c:pt>
                <c:pt idx="121">
                  <c:v>0.73252735295895566</c:v>
                </c:pt>
                <c:pt idx="122">
                  <c:v>0.72834475297511725</c:v>
                </c:pt>
                <c:pt idx="123">
                  <c:v>0.7242096456104703</c:v>
                </c:pt>
                <c:pt idx="124">
                  <c:v>0.72012122652721655</c:v>
                </c:pt>
                <c:pt idx="125">
                  <c:v>0.71607870944867935</c:v>
                </c:pt>
                <c:pt idx="126">
                  <c:v>0.71208132565518878</c:v>
                </c:pt>
                <c:pt idx="127">
                  <c:v>0.70812832349675703</c:v>
                </c:pt>
                <c:pt idx="128">
                  <c:v>0.70421896792189687</c:v>
                </c:pt>
                <c:pt idx="129">
                  <c:v>0.70035254002196146</c:v>
                </c:pt>
                <c:pt idx="130">
                  <c:v>0.69652833659041269</c:v>
                </c:pt>
                <c:pt idx="131">
                  <c:v>0.69274566969645002</c:v>
                </c:pt>
                <c:pt idx="132">
                  <c:v>0.68900386627245858</c:v>
                </c:pt>
                <c:pt idx="133">
                  <c:v>0.68530226771475433</c:v>
                </c:pt>
                <c:pt idx="134">
                  <c:v>0.68164022949713132</c:v>
                </c:pt>
                <c:pt idx="135">
                  <c:v>0.67801712079673249</c:v>
                </c:pt>
                <c:pt idx="136">
                  <c:v>0.67443232413178988</c:v>
                </c:pt>
                <c:pt idx="137">
                  <c:v>0.67088523501079556</c:v>
                </c:pt>
                <c:pt idx="138">
                  <c:v>0.66737526159268645</c:v>
                </c:pt>
                <c:pt idx="139">
                  <c:v>0.66390182435764</c:v>
                </c:pt>
                <c:pt idx="140">
                  <c:v>0.66046435578809692</c:v>
                </c:pt>
                <c:pt idx="141">
                  <c:v>0.65706230005964328</c:v>
                </c:pt>
                <c:pt idx="142">
                  <c:v>0.65369511274139613</c:v>
                </c:pt>
                <c:pt idx="143">
                  <c:v>0.65036226050555468</c:v>
                </c:pt>
                <c:pt idx="144">
                  <c:v>0.64706322084579249</c:v>
                </c:pt>
                <c:pt idx="145">
                  <c:v>0.64379748180417584</c:v>
                </c:pt>
                <c:pt idx="146">
                  <c:v>0.64056454170631161</c:v>
                </c:pt>
                <c:pt idx="147">
                  <c:v>0.63736390890443384</c:v>
                </c:pt>
                <c:pt idx="148">
                  <c:v>0.63419510152815572</c:v>
                </c:pt>
                <c:pt idx="149">
                  <c:v>0.63105764724261837</c:v>
                </c:pt>
                <c:pt idx="150">
                  <c:v>0.62795108301378388</c:v>
                </c:pt>
                <c:pt idx="151">
                  <c:v>0.62487495488062716</c:v>
                </c:pt>
                <c:pt idx="152">
                  <c:v>0.62182881773399024</c:v>
                </c:pt>
                <c:pt idx="153">
                  <c:v>0.61881223510187411</c:v>
                </c:pt>
                <c:pt idx="154">
                  <c:v>0.61582477894094922</c:v>
                </c:pt>
                <c:pt idx="155">
                  <c:v>0.61286602943407675</c:v>
                </c:pt>
                <c:pt idx="156">
                  <c:v>0.60993557479363802</c:v>
                </c:pt>
                <c:pt idx="157">
                  <c:v>0.60703301107048047</c:v>
                </c:pt>
                <c:pt idx="158">
                  <c:v>0.60415794196829198</c:v>
                </c:pt>
                <c:pt idx="159">
                  <c:v>0.60130997866322633</c:v>
                </c:pt>
                <c:pt idx="160">
                  <c:v>0.59848873962860527</c:v>
                </c:pt>
                <c:pt idx="161">
                  <c:v>0.59569385046453327</c:v>
                </c:pt>
                <c:pt idx="162">
                  <c:v>0.59292494373226345</c:v>
                </c:pt>
                <c:pt idx="163">
                  <c:v>0.59018165879316231</c:v>
                </c:pt>
                <c:pt idx="164">
                  <c:v>0.58746364165212339</c:v>
                </c:pt>
                <c:pt idx="165">
                  <c:v>0.58477054480528889</c:v>
                </c:pt>
                <c:pt idx="166">
                  <c:v>0.5821020270919397</c:v>
                </c:pt>
                <c:pt idx="167">
                  <c:v>0.57945775355042328</c:v>
                </c:pt>
                <c:pt idx="168">
                  <c:v>0.57683739527798938</c:v>
                </c:pt>
                <c:pt idx="169">
                  <c:v>0.57424062929441322</c:v>
                </c:pt>
                <c:pt idx="170">
                  <c:v>0.57166713840928396</c:v>
                </c:pt>
                <c:pt idx="171">
                  <c:v>0.56911661109284739</c:v>
                </c:pt>
                <c:pt idx="172">
                  <c:v>0.56658874135028992</c:v>
                </c:pt>
                <c:pt idx="173">
                  <c:v>0.56408322859935767</c:v>
                </c:pt>
                <c:pt idx="174">
                  <c:v>0.5615997775512096</c:v>
                </c:pt>
                <c:pt idx="175">
                  <c:v>0.55913809809440318</c:v>
                </c:pt>
                <c:pt idx="176">
                  <c:v>0.55669790518191853</c:v>
                </c:pt>
                <c:pt idx="177">
                  <c:v>0.554278918721127</c:v>
                </c:pt>
                <c:pt idx="178">
                  <c:v>0.55188086346661813</c:v>
                </c:pt>
                <c:pt idx="179">
                  <c:v>0.54950346891579382</c:v>
                </c:pt>
                <c:pt idx="180">
                  <c:v>0.54714646920715193</c:v>
                </c:pt>
                <c:pt idx="181">
                  <c:v>0.5448096030211752</c:v>
                </c:pt>
                <c:pt idx="182">
                  <c:v>0.54249261348374977</c:v>
                </c:pt>
                <c:pt idx="183">
                  <c:v>0.54019524807203678</c:v>
                </c:pt>
                <c:pt idx="184">
                  <c:v>0.53791725852272732</c:v>
                </c:pt>
                <c:pt idx="185">
                  <c:v>0.53565840074260718</c:v>
                </c:pt>
                <c:pt idx="186">
                  <c:v>0.5334184347213663</c:v>
                </c:pt>
                <c:pt idx="187">
                  <c:v>0.53119712444658751</c:v>
                </c:pt>
                <c:pt idx="188">
                  <c:v>0.52899423782084865</c:v>
                </c:pt>
                <c:pt idx="189">
                  <c:v>0.52680954658088086</c:v>
                </c:pt>
                <c:pt idx="190">
                  <c:v>0.52464282621872027</c:v>
                </c:pt>
                <c:pt idx="191">
                  <c:v>0.52249385590479891</c:v>
                </c:pt>
                <c:pt idx="192">
                  <c:v>0.52036241841291664</c:v>
                </c:pt>
                <c:pt idx="193">
                  <c:v>0.5182483000470427</c:v>
                </c:pt>
                <c:pt idx="194">
                  <c:v>0.51615129056989528</c:v>
                </c:pt>
                <c:pt idx="195">
                  <c:v>0.51407118313324573</c:v>
                </c:pt>
                <c:pt idx="196">
                  <c:v>0.51200777420990373</c:v>
                </c:pt>
                <c:pt idx="197">
                  <c:v>0.50996086352733239</c:v>
                </c:pt>
                <c:pt idx="198">
                  <c:v>0.5079302540028503</c:v>
                </c:pt>
                <c:pt idx="199">
                  <c:v>0.50591575168037406</c:v>
                </c:pt>
                <c:pt idx="200">
                  <c:v>0.50391716566866274</c:v>
                </c:pt>
              </c:numCache>
            </c:numRef>
          </c:yVal>
          <c:smooth val="0"/>
          <c:extLst>
            <c:ext xmlns:c16="http://schemas.microsoft.com/office/drawing/2014/chart" uri="{C3380CC4-5D6E-409C-BE32-E72D297353CC}">
              <c16:uniqueId val="{00000001-DC90-4F5D-9F3E-6158EB6FD8EC}"/>
            </c:ext>
          </c:extLst>
        </c:ser>
        <c:dLbls>
          <c:showLegendKey val="0"/>
          <c:showVal val="0"/>
          <c:showCatName val="0"/>
          <c:showSerName val="0"/>
          <c:showPercent val="0"/>
          <c:showBubbleSize val="0"/>
        </c:dLbls>
        <c:axId val="141064448"/>
        <c:axId val="141062528"/>
      </c:scatterChart>
      <c:valAx>
        <c:axId val="141058432"/>
        <c:scaling>
          <c:orientation val="minMax"/>
          <c:max val="18"/>
          <c:min val="6"/>
        </c:scaling>
        <c:delete val="0"/>
        <c:axPos val="b"/>
        <c:majorGridlines/>
        <c:title>
          <c:tx>
            <c:rich>
              <a:bodyPr/>
              <a:lstStyle/>
              <a:p>
                <a:pPr>
                  <a:defRPr sz="1200" b="1" i="0" u="none" strike="noStrike" baseline="0">
                    <a:solidFill>
                      <a:srgbClr val="000000"/>
                    </a:solidFill>
                    <a:latin typeface="Arial"/>
                    <a:ea typeface="Arial"/>
                    <a:cs typeface="Arial"/>
                  </a:defRPr>
                </a:pPr>
                <a:r>
                  <a:rPr lang="en-US" sz="1200"/>
                  <a:t>Input</a:t>
                </a:r>
                <a:r>
                  <a:rPr lang="en-US" sz="1200" baseline="0"/>
                  <a:t> Voltage (V)</a:t>
                </a:r>
                <a:endParaRPr lang="en-US" sz="1200"/>
              </a:p>
            </c:rich>
          </c:tx>
          <c:layout>
            <c:manualLayout>
              <c:xMode val="edge"/>
              <c:yMode val="edge"/>
              <c:x val="0.42044692620593743"/>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41060352"/>
        <c:crosses val="autoZero"/>
        <c:crossBetween val="midCat"/>
      </c:valAx>
      <c:valAx>
        <c:axId val="141060352"/>
        <c:scaling>
          <c:orientation val="minMax"/>
          <c:max val="0.55000000000000004"/>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sz="1200">
                    <a:solidFill>
                      <a:srgbClr val="FF0000"/>
                    </a:solidFill>
                  </a:rPr>
                  <a:t>Boost Duty Cycle</a:t>
                </a:r>
              </a:p>
            </c:rich>
          </c:tx>
          <c:layout>
            <c:manualLayout>
              <c:xMode val="edge"/>
              <c:yMode val="edge"/>
              <c:x val="1.7399239437699769E-2"/>
              <c:y val="0.3629036491406316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a:ea typeface="Arial"/>
                <a:cs typeface="Arial"/>
              </a:defRPr>
            </a:pPr>
            <a:endParaRPr lang="en-US"/>
          </a:p>
        </c:txPr>
        <c:crossAx val="141058432"/>
        <c:crosses val="autoZero"/>
        <c:crossBetween val="midCat"/>
        <c:majorUnit val="0.1"/>
        <c:minorUnit val="5.000000000000001E-2"/>
      </c:valAx>
      <c:valAx>
        <c:axId val="141062528"/>
        <c:scaling>
          <c:orientation val="minMax"/>
          <c:max val="1.05"/>
          <c:min val="0.5"/>
        </c:scaling>
        <c:delete val="0"/>
        <c:axPos val="r"/>
        <c:title>
          <c:tx>
            <c:rich>
              <a:bodyPr rot="-5400000" vert="horz"/>
              <a:lstStyle/>
              <a:p>
                <a:pPr>
                  <a:defRPr sz="1200" b="1">
                    <a:solidFill>
                      <a:srgbClr val="0000FF"/>
                    </a:solidFill>
                  </a:defRPr>
                </a:pPr>
                <a:r>
                  <a:rPr lang="en-US" sz="1200" b="1">
                    <a:solidFill>
                      <a:srgbClr val="0000FF"/>
                    </a:solidFill>
                  </a:rPr>
                  <a:t>Buck Duty Cycle</a:t>
                </a:r>
              </a:p>
            </c:rich>
          </c:tx>
          <c:overlay val="0"/>
        </c:title>
        <c:numFmt formatCode="General" sourceLinked="0"/>
        <c:majorTickMark val="out"/>
        <c:minorTickMark val="none"/>
        <c:tickLblPos val="nextTo"/>
        <c:txPr>
          <a:bodyPr/>
          <a:lstStyle/>
          <a:p>
            <a:pPr>
              <a:defRPr sz="1050" b="1">
                <a:solidFill>
                  <a:srgbClr val="0000FF"/>
                </a:solidFill>
              </a:defRPr>
            </a:pPr>
            <a:endParaRPr lang="en-US"/>
          </a:p>
        </c:txPr>
        <c:crossAx val="141064448"/>
        <c:crosses val="max"/>
        <c:crossBetween val="midCat"/>
        <c:majorUnit val="0.1"/>
      </c:valAx>
      <c:valAx>
        <c:axId val="141064448"/>
        <c:scaling>
          <c:orientation val="minMax"/>
        </c:scaling>
        <c:delete val="1"/>
        <c:axPos val="b"/>
        <c:numFmt formatCode="0.00" sourceLinked="1"/>
        <c:majorTickMark val="out"/>
        <c:minorTickMark val="none"/>
        <c:tickLblPos val="nextTo"/>
        <c:crossAx val="14106252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3773316184082571"/>
          <c:y val="0.14112903225806453"/>
          <c:w val="0.15360806990759621"/>
          <c:h val="0.10786681906697147"/>
        </c:manualLayout>
      </c:layout>
      <c:overlay val="0"/>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vs Load Calculations'!$BE$8</c:f>
              <c:strCache>
                <c:ptCount val="1"/>
                <c:pt idx="0">
                  <c:v>Buck ''CONTROL'' MOSFET Temp Rise</c:v>
                </c:pt>
              </c:strCache>
            </c:strRef>
          </c:tx>
          <c:spPr>
            <a:ln w="31750">
              <a:solidFill>
                <a:srgbClr val="000080"/>
              </a:solidFill>
              <a:prstDash val="dash"/>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Calculations'!$BE$9:$BE$109</c:f>
              <c:numCache>
                <c:formatCode>0.0</c:formatCode>
                <c:ptCount val="101"/>
                <c:pt idx="0">
                  <c:v>1.2064413333956814</c:v>
                </c:pt>
                <c:pt idx="1">
                  <c:v>1.3120325224909997</c:v>
                </c:pt>
                <c:pt idx="2">
                  <c:v>1.4189246970543317</c:v>
                </c:pt>
                <c:pt idx="3">
                  <c:v>1.5271184608317401</c:v>
                </c:pt>
                <c:pt idx="4">
                  <c:v>1.6366144582982598</c:v>
                </c:pt>
                <c:pt idx="5">
                  <c:v>1.7474133747088838</c:v>
                </c:pt>
                <c:pt idx="6">
                  <c:v>1.8595159361527362</c:v>
                </c:pt>
                <c:pt idx="7">
                  <c:v>1.9729229096104539</c:v>
                </c:pt>
                <c:pt idx="8">
                  <c:v>2.0876351030147768</c:v>
                </c:pt>
                <c:pt idx="9">
                  <c:v>2.2036533653143557</c:v>
                </c:pt>
                <c:pt idx="10">
                  <c:v>2.3209785865407921</c:v>
                </c:pt>
                <c:pt idx="11">
                  <c:v>2.4396116978789171</c:v>
                </c:pt>
                <c:pt idx="12">
                  <c:v>2.5595536717403169</c:v>
                </c:pt>
                <c:pt idx="13">
                  <c:v>2.6808055218401212</c:v>
                </c:pt>
                <c:pt idx="14">
                  <c:v>2.8033683032770575</c:v>
                </c:pt>
                <c:pt idx="15">
                  <c:v>2.9272431126167966</c:v>
                </c:pt>
                <c:pt idx="16">
                  <c:v>3.0524310879785888</c:v>
                </c:pt>
                <c:pt idx="17">
                  <c:v>3.1789334091252051</c:v>
                </c:pt>
                <c:pt idx="18">
                  <c:v>3.3067512975562057</c:v>
                </c:pt>
                <c:pt idx="19">
                  <c:v>3.4358860166045404</c:v>
                </c:pt>
                <c:pt idx="20">
                  <c:v>3.5663388715364981</c:v>
                </c:pt>
                <c:pt idx="21">
                  <c:v>3.6981112096550222</c:v>
                </c:pt>
                <c:pt idx="22">
                  <c:v>3.8312044204064004</c:v>
                </c:pt>
                <c:pt idx="23">
                  <c:v>3.9656199354903587</c:v>
                </c:pt>
                <c:pt idx="24">
                  <c:v>4.1013592289735552</c:v>
                </c:pt>
                <c:pt idx="25">
                  <c:v>4.2384238174065141</c:v>
                </c:pt>
                <c:pt idx="26">
                  <c:v>4.376815259943994</c:v>
                </c:pt>
                <c:pt idx="27">
                  <c:v>4.5165351584688258</c:v>
                </c:pt>
                <c:pt idx="28">
                  <c:v>4.6575851577192324</c:v>
                </c:pt>
                <c:pt idx="29">
                  <c:v>4.7999669454196452</c:v>
                </c:pt>
                <c:pt idx="30">
                  <c:v>4.9436822524150532</c:v>
                </c:pt>
                <c:pt idx="31">
                  <c:v>5.0887328528088593</c:v>
                </c:pt>
                <c:pt idx="32">
                  <c:v>5.2351205641043483</c:v>
                </c:pt>
                <c:pt idx="33">
                  <c:v>5.3828472473496873</c:v>
                </c:pt>
                <c:pt idx="34">
                  <c:v>5.5319148072865598</c:v>
                </c:pt>
                <c:pt idx="35">
                  <c:v>5.6833812849923611</c:v>
                </c:pt>
                <c:pt idx="36">
                  <c:v>5.8621623792412221</c:v>
                </c:pt>
                <c:pt idx="37">
                  <c:v>6.0423006680352636</c:v>
                </c:pt>
                <c:pt idx="38">
                  <c:v>6.2237986642959751</c:v>
                </c:pt>
                <c:pt idx="39">
                  <c:v>6.4066589262335354</c:v>
                </c:pt>
                <c:pt idx="40">
                  <c:v>6.5908840575411674</c:v>
                </c:pt>
                <c:pt idx="41">
                  <c:v>6.7764767075933596</c:v>
                </c:pt>
                <c:pt idx="42">
                  <c:v>6.9634395716480197</c:v>
                </c:pt>
                <c:pt idx="43">
                  <c:v>7.1517753910525217</c:v>
                </c:pt>
                <c:pt idx="44">
                  <c:v>7.3414869534537495</c:v>
                </c:pt>
                <c:pt idx="45">
                  <c:v>7.5325770930121134</c:v>
                </c:pt>
                <c:pt idx="46">
                  <c:v>7.7250486906196123</c:v>
                </c:pt>
                <c:pt idx="47">
                  <c:v>7.9189046741219338</c:v>
                </c:pt>
                <c:pt idx="48">
                  <c:v>8.1141480185446611</c:v>
                </c:pt>
                <c:pt idx="49">
                  <c:v>8.310781746323606</c:v>
                </c:pt>
                <c:pt idx="50">
                  <c:v>8.5088089275392811</c:v>
                </c:pt>
                <c:pt idx="51">
                  <c:v>8.7082326801556036</c:v>
                </c:pt>
                <c:pt idx="52">
                  <c:v>8.9090561702627991</c:v>
                </c:pt>
                <c:pt idx="53">
                  <c:v>9.1112826123245814</c:v>
                </c:pt>
                <c:pt idx="54">
                  <c:v>9.3149152694296404</c:v>
                </c:pt>
                <c:pt idx="55">
                  <c:v>9.519957453547482</c:v>
                </c:pt>
                <c:pt idx="56">
                  <c:v>9.7264125257886356</c:v>
                </c:pt>
                <c:pt idx="57">
                  <c:v>9.9342838966692728</c:v>
                </c:pt>
                <c:pt idx="58">
                  <c:v>10.143575026380329</c:v>
                </c:pt>
                <c:pt idx="59">
                  <c:v>10.354289425061076</c:v>
                </c:pt>
                <c:pt idx="60">
                  <c:v>10.566430653077276</c:v>
                </c:pt>
                <c:pt idx="61">
                  <c:v>10.780002321303913</c:v>
                </c:pt>
                <c:pt idx="62">
                  <c:v>10.995008091412551</c:v>
                </c:pt>
                <c:pt idx="63">
                  <c:v>11.211451676163353</c:v>
                </c:pt>
                <c:pt idx="64">
                  <c:v>11.429336839701868</c:v>
                </c:pt>
                <c:pt idx="65">
                  <c:v>11.648667397860516</c:v>
                </c:pt>
                <c:pt idx="66">
                  <c:v>11.869447218464945</c:v>
                </c:pt>
                <c:pt idx="67">
                  <c:v>12.091680221645211</c:v>
                </c:pt>
                <c:pt idx="68">
                  <c:v>12.315370380151894</c:v>
                </c:pt>
                <c:pt idx="69">
                  <c:v>12.540521719677136</c:v>
                </c:pt>
                <c:pt idx="70">
                  <c:v>12.767138319180729</c:v>
                </c:pt>
                <c:pt idx="71">
                  <c:v>12.995224311221227</c:v>
                </c:pt>
                <c:pt idx="72">
                  <c:v>13.224783882292213</c:v>
                </c:pt>
                <c:pt idx="73">
                  <c:v>13.455821273163657</c:v>
                </c:pt>
                <c:pt idx="74">
                  <c:v>13.688340779228577</c:v>
                </c:pt>
                <c:pt idx="75">
                  <c:v>13.922346750854937</c:v>
                </c:pt>
                <c:pt idx="76">
                  <c:v>14.157843593742831</c:v>
                </c:pt>
                <c:pt idx="77">
                  <c:v>14.394835769287157</c:v>
                </c:pt>
                <c:pt idx="78">
                  <c:v>14.633327794945616</c:v>
                </c:pt>
                <c:pt idx="79">
                  <c:v>14.873324244612322</c:v>
                </c:pt>
                <c:pt idx="80">
                  <c:v>15.114829748996877</c:v>
                </c:pt>
                <c:pt idx="81">
                  <c:v>15.357848996009174</c:v>
                </c:pt>
                <c:pt idx="82">
                  <c:v>15.602386731149783</c:v>
                </c:pt>
                <c:pt idx="83">
                  <c:v>15.848447757906184</c:v>
                </c:pt>
                <c:pt idx="84">
                  <c:v>16.096036938154722</c:v>
                </c:pt>
                <c:pt idx="85">
                  <c:v>16.345159192568513</c:v>
                </c:pt>
                <c:pt idx="86">
                  <c:v>16.595819501031283</c:v>
                </c:pt>
                <c:pt idx="87">
                  <c:v>16.848022903057181</c:v>
                </c:pt>
                <c:pt idx="88">
                  <c:v>17.10177449821672</c:v>
                </c:pt>
                <c:pt idx="89">
                  <c:v>17.357079446568839</c:v>
                </c:pt>
                <c:pt idx="90">
                  <c:v>17.613942969099249</c:v>
                </c:pt>
                <c:pt idx="91">
                  <c:v>17.872370348164964</c:v>
                </c:pt>
                <c:pt idx="92">
                  <c:v>18.132366927945341</c:v>
                </c:pt>
                <c:pt idx="93">
                  <c:v>18.393938114899466</c:v>
                </c:pt>
                <c:pt idx="94">
                  <c:v>18.657089378230072</c:v>
                </c:pt>
                <c:pt idx="95">
                  <c:v>18.92182625035413</c:v>
                </c:pt>
                <c:pt idx="96">
                  <c:v>19.188154327380047</c:v>
                </c:pt>
                <c:pt idx="97">
                  <c:v>19.456079269591626</c:v>
                </c:pt>
                <c:pt idx="98">
                  <c:v>19.725606801938927</c:v>
                </c:pt>
                <c:pt idx="99">
                  <c:v>19.996742714535998</c:v>
                </c:pt>
                <c:pt idx="100">
                  <c:v>20.269492863165617</c:v>
                </c:pt>
              </c:numCache>
            </c:numRef>
          </c:yVal>
          <c:smooth val="0"/>
          <c:extLst>
            <c:ext xmlns:c16="http://schemas.microsoft.com/office/drawing/2014/chart" uri="{C3380CC4-5D6E-409C-BE32-E72D297353CC}">
              <c16:uniqueId val="{00000000-4680-48CE-9B16-D813A6DE87D5}"/>
            </c:ext>
          </c:extLst>
        </c:ser>
        <c:ser>
          <c:idx val="1"/>
          <c:order val="1"/>
          <c:tx>
            <c:strRef>
              <c:f>'Efficiency vs Load Calculations'!$BF$8</c:f>
              <c:strCache>
                <c:ptCount val="1"/>
                <c:pt idx="0">
                  <c:v>Buck ''SYNC'' MOSFET Temp Rise</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Calculations'!$BF$9:$BF$109</c:f>
              <c:numCache>
                <c:formatCode>0.0</c:formatCode>
                <c:ptCount val="101"/>
                <c:pt idx="0">
                  <c:v>1.0956263392252512</c:v>
                </c:pt>
                <c:pt idx="1">
                  <c:v>1.1670898177298352</c:v>
                </c:pt>
                <c:pt idx="2">
                  <c:v>1.2393114252589541</c:v>
                </c:pt>
                <c:pt idx="3">
                  <c:v>1.3122911396044168</c:v>
                </c:pt>
                <c:pt idx="4">
                  <c:v>1.3860289522395446</c:v>
                </c:pt>
                <c:pt idx="5">
                  <c:v>1.4605248683107812</c:v>
                </c:pt>
                <c:pt idx="6">
                  <c:v>1.5357789066299188</c:v>
                </c:pt>
                <c:pt idx="7">
                  <c:v>1.6117910996669489</c:v>
                </c:pt>
                <c:pt idx="8">
                  <c:v>1.6885614935435314</c:v>
                </c:pt>
                <c:pt idx="9">
                  <c:v>1.7660901480270774</c:v>
                </c:pt>
                <c:pt idx="10">
                  <c:v>1.8443771365254584</c:v>
                </c:pt>
                <c:pt idx="11">
                  <c:v>1.923422546082318</c:v>
                </c:pt>
                <c:pt idx="12">
                  <c:v>2.0032264773730137</c:v>
                </c:pt>
                <c:pt idx="13">
                  <c:v>2.0837890447011662</c:v>
                </c:pt>
                <c:pt idx="14">
                  <c:v>2.1651103759958183</c:v>
                </c:pt>
                <c:pt idx="15">
                  <c:v>2.2471906128092223</c:v>
                </c:pt>
                <c:pt idx="16">
                  <c:v>2.3300299103152247</c:v>
                </c:pt>
                <c:pt idx="17">
                  <c:v>2.4136284373082733</c:v>
                </c:pt>
                <c:pt idx="18">
                  <c:v>2.4979863762030341</c:v>
                </c:pt>
                <c:pt idx="19">
                  <c:v>2.5831039230346193</c:v>
                </c:pt>
                <c:pt idx="20">
                  <c:v>2.6689812874594288</c:v>
                </c:pt>
                <c:pt idx="21">
                  <c:v>2.7556186927566033</c:v>
                </c:pt>
                <c:pt idx="22">
                  <c:v>2.8430163758300813</c:v>
                </c:pt>
                <c:pt idx="23">
                  <c:v>2.9311745872112813</c:v>
                </c:pt>
                <c:pt idx="24">
                  <c:v>3.0200935910623832</c:v>
                </c:pt>
                <c:pt idx="25">
                  <c:v>3.1097736651802244</c:v>
                </c:pt>
                <c:pt idx="26">
                  <c:v>3.2002151010008069</c:v>
                </c:pt>
                <c:pt idx="27">
                  <c:v>3.291418203604414</c:v>
                </c:pt>
                <c:pt idx="28">
                  <c:v>3.3833832917213411</c:v>
                </c:pt>
                <c:pt idx="29">
                  <c:v>3.4761106977382363</c:v>
                </c:pt>
                <c:pt idx="30">
                  <c:v>3.569600767705051</c:v>
                </c:pt>
                <c:pt idx="31">
                  <c:v>3.6638538613425977</c:v>
                </c:pt>
                <c:pt idx="32">
                  <c:v>3.7588703520507347</c:v>
                </c:pt>
                <c:pt idx="33">
                  <c:v>3.8546506269171457</c:v>
                </c:pt>
                <c:pt idx="34">
                  <c:v>3.9511950867267429</c:v>
                </c:pt>
                <c:pt idx="35">
                  <c:v>4.0495583490237301</c:v>
                </c:pt>
                <c:pt idx="36">
                  <c:v>4.1746077672512216</c:v>
                </c:pt>
                <c:pt idx="37">
                  <c:v>4.3004285993237694</c:v>
                </c:pt>
                <c:pt idx="38">
                  <c:v>4.4270215449201418</c:v>
                </c:pt>
                <c:pt idx="39">
                  <c:v>4.554387317569403</c:v>
                </c:pt>
                <c:pt idx="40">
                  <c:v>4.6825266446712961</c:v>
                </c:pt>
                <c:pt idx="41">
                  <c:v>4.8114402675172485</c:v>
                </c:pt>
                <c:pt idx="42">
                  <c:v>4.9411289413120016</c:v>
                </c:pt>
                <c:pt idx="43">
                  <c:v>5.071593435195858</c:v>
                </c:pt>
                <c:pt idx="44">
                  <c:v>5.2028345322675671</c:v>
                </c:pt>
                <c:pt idx="45">
                  <c:v>5.3348530296078192</c:v>
                </c:pt>
                <c:pt idx="46">
                  <c:v>5.4676497383033835</c:v>
                </c:pt>
                <c:pt idx="47">
                  <c:v>5.6012254834718691</c:v>
                </c:pt>
                <c:pt idx="48">
                  <c:v>5.7355811042871112</c:v>
                </c:pt>
                <c:pt idx="49">
                  <c:v>5.8707174540052005</c:v>
                </c:pt>
                <c:pt idx="50">
                  <c:v>6.0066353999911364</c:v>
                </c:pt>
                <c:pt idx="51">
                  <c:v>6.1433358237461322</c:v>
                </c:pt>
                <c:pt idx="52">
                  <c:v>6.2808196209355387</c:v>
                </c:pt>
                <c:pt idx="53">
                  <c:v>6.4190877014174239</c:v>
                </c:pt>
                <c:pt idx="54">
                  <c:v>6.5581409892717772</c:v>
                </c:pt>
                <c:pt idx="55">
                  <c:v>6.6979804228303825</c:v>
                </c:pt>
                <c:pt idx="56">
                  <c:v>6.8386069547073092</c:v>
                </c:pt>
                <c:pt idx="57">
                  <c:v>6.9800215518300677</c:v>
                </c:pt>
                <c:pt idx="58">
                  <c:v>7.122225195471418</c:v>
                </c:pt>
                <c:pt idx="59">
                  <c:v>7.2652188812818093</c:v>
                </c:pt>
                <c:pt idx="60">
                  <c:v>7.4090036193225002</c:v>
                </c:pt>
                <c:pt idx="61">
                  <c:v>7.5535804340993167</c:v>
                </c:pt>
                <c:pt idx="62">
                  <c:v>7.6989503645970734</c:v>
                </c:pt>
                <c:pt idx="63">
                  <c:v>7.84511446431467</c:v>
                </c:pt>
                <c:pt idx="64">
                  <c:v>7.9920738013008252</c:v>
                </c:pt>
                <c:pt idx="65">
                  <c:v>8.139829458190496</c:v>
                </c:pt>
                <c:pt idx="66">
                  <c:v>8.2883825322419717</c:v>
                </c:pt>
                <c:pt idx="67">
                  <c:v>8.4377341353746083</c:v>
                </c:pt>
                <c:pt idx="68">
                  <c:v>8.5878853942072801</c:v>
                </c:pt>
                <c:pt idx="69">
                  <c:v>8.7388374500974653</c:v>
                </c:pt>
                <c:pt idx="70">
                  <c:v>8.8905914591810564</c:v>
                </c:pt>
                <c:pt idx="71">
                  <c:v>9.0431485924127983</c:v>
                </c:pt>
                <c:pt idx="72">
                  <c:v>9.1965100356074725</c:v>
                </c:pt>
                <c:pt idx="73">
                  <c:v>9.3506769894817179</c:v>
                </c:pt>
                <c:pt idx="74">
                  <c:v>9.5056506696965766</c:v>
                </c:pt>
                <c:pt idx="75">
                  <c:v>9.6614323069007142</c:v>
                </c:pt>
                <c:pt idx="76">
                  <c:v>9.8180231467743582</c:v>
                </c:pt>
                <c:pt idx="77">
                  <c:v>9.9754244500739215</c:v>
                </c:pt>
                <c:pt idx="78">
                  <c:v>10.13363749267732</c:v>
                </c:pt>
                <c:pt idx="79">
                  <c:v>10.29266356563004</c:v>
                </c:pt>
                <c:pt idx="80">
                  <c:v>10.452503975191863</c:v>
                </c:pt>
                <c:pt idx="81">
                  <c:v>10.613160042884347</c:v>
                </c:pt>
                <c:pt idx="82">
                  <c:v>10.774633105539005</c:v>
                </c:pt>
                <c:pt idx="83">
                  <c:v>10.936924515346211</c:v>
                </c:pt>
                <c:pt idx="84">
                  <c:v>11.100035639904826</c:v>
                </c:pt>
                <c:pt idx="85">
                  <c:v>11.263967862272567</c:v>
                </c:pt>
                <c:pt idx="86">
                  <c:v>11.428722581017096</c:v>
                </c:pt>
                <c:pt idx="87">
                  <c:v>11.59430121026784</c:v>
                </c:pt>
                <c:pt idx="88">
                  <c:v>11.760705179768578</c:v>
                </c:pt>
                <c:pt idx="89">
                  <c:v>11.927935934930744</c:v>
                </c:pt>
                <c:pt idx="90">
                  <c:v>12.095994936887495</c:v>
                </c:pt>
                <c:pt idx="91">
                  <c:v>12.264883662548515</c:v>
                </c:pt>
                <c:pt idx="92">
                  <c:v>12.434603604655612</c:v>
                </c:pt>
                <c:pt idx="93">
                  <c:v>12.605156271839041</c:v>
                </c:pt>
                <c:pt idx="94">
                  <c:v>12.776543188674584</c:v>
                </c:pt>
                <c:pt idx="95">
                  <c:v>12.948765895741465</c:v>
                </c:pt>
                <c:pt idx="96">
                  <c:v>13.12182594968094</c:v>
                </c:pt>
                <c:pt idx="97">
                  <c:v>13.295724923255776</c:v>
                </c:pt>
                <c:pt idx="98">
                  <c:v>13.470464405410409</c:v>
                </c:pt>
                <c:pt idx="99">
                  <c:v>13.64604600133198</c:v>
                </c:pt>
                <c:pt idx="100">
                  <c:v>13.822471332512087</c:v>
                </c:pt>
              </c:numCache>
            </c:numRef>
          </c:yVal>
          <c:smooth val="0"/>
          <c:extLst>
            <c:ext xmlns:c16="http://schemas.microsoft.com/office/drawing/2014/chart" uri="{C3380CC4-5D6E-409C-BE32-E72D297353CC}">
              <c16:uniqueId val="{00000001-4680-48CE-9B16-D813A6DE87D5}"/>
            </c:ext>
          </c:extLst>
        </c:ser>
        <c:dLbls>
          <c:showLegendKey val="0"/>
          <c:showVal val="0"/>
          <c:showCatName val="0"/>
          <c:showSerName val="0"/>
          <c:showPercent val="0"/>
          <c:showBubbleSize val="0"/>
        </c:dLbls>
        <c:axId val="141485952"/>
        <c:axId val="141496320"/>
      </c:scatterChart>
      <c:valAx>
        <c:axId val="141485952"/>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41496320"/>
        <c:crosses val="autoZero"/>
        <c:crossBetween val="midCat"/>
      </c:valAx>
      <c:valAx>
        <c:axId val="1414963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4148595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vs Load Calculations'!$BK$8</c:f>
              <c:strCache>
                <c:ptCount val="1"/>
                <c:pt idx="0">
                  <c:v>Buck ''Control'' MOSFET Loss</c:v>
                </c:pt>
              </c:strCache>
            </c:strRef>
          </c:tx>
          <c:spPr>
            <a:ln w="25400">
              <a:solidFill>
                <a:srgbClr val="000080"/>
              </a:solidFill>
              <a:prstDash val="dash"/>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Calculations'!$BK$9:$BK$109</c:f>
              <c:numCache>
                <c:formatCode>0.000</c:formatCode>
                <c:ptCount val="101"/>
                <c:pt idx="0">
                  <c:v>2.4128826667913626E-2</c:v>
                </c:pt>
                <c:pt idx="1">
                  <c:v>2.6240650449819995E-2</c:v>
                </c:pt>
                <c:pt idx="2">
                  <c:v>2.8378493941086633E-2</c:v>
                </c:pt>
                <c:pt idx="3">
                  <c:v>3.05423692166348E-2</c:v>
                </c:pt>
                <c:pt idx="4">
                  <c:v>3.2732289165965198E-2</c:v>
                </c:pt>
                <c:pt idx="5">
                  <c:v>3.4948267494177676E-2</c:v>
                </c:pt>
                <c:pt idx="6">
                  <c:v>3.7190318723054727E-2</c:v>
                </c:pt>
                <c:pt idx="7">
                  <c:v>3.9458458192209077E-2</c:v>
                </c:pt>
                <c:pt idx="8">
                  <c:v>4.1752702060295535E-2</c:v>
                </c:pt>
                <c:pt idx="9">
                  <c:v>4.4073067306287114E-2</c:v>
                </c:pt>
                <c:pt idx="10">
                  <c:v>4.6419571730815845E-2</c:v>
                </c:pt>
                <c:pt idx="11">
                  <c:v>4.879223395757834E-2</c:v>
                </c:pt>
                <c:pt idx="12">
                  <c:v>5.119107343480634E-2</c:v>
                </c:pt>
                <c:pt idx="13">
                  <c:v>5.3616110436802422E-2</c:v>
                </c:pt>
                <c:pt idx="14">
                  <c:v>5.6067366065541149E-2</c:v>
                </c:pt>
                <c:pt idx="15">
                  <c:v>5.8544862252335933E-2</c:v>
                </c:pt>
                <c:pt idx="16">
                  <c:v>6.1048621759571771E-2</c:v>
                </c:pt>
                <c:pt idx="17">
                  <c:v>6.35786681825041E-2</c:v>
                </c:pt>
                <c:pt idx="18">
                  <c:v>6.613502595112411E-2</c:v>
                </c:pt>
                <c:pt idx="19">
                  <c:v>6.8717720332090809E-2</c:v>
                </c:pt>
                <c:pt idx="20">
                  <c:v>7.132677743072996E-2</c:v>
                </c:pt>
                <c:pt idx="21">
                  <c:v>7.3962224193100445E-2</c:v>
                </c:pt>
                <c:pt idx="22">
                  <c:v>7.662408840812801E-2</c:v>
                </c:pt>
                <c:pt idx="23">
                  <c:v>7.9312398709807178E-2</c:v>
                </c:pt>
                <c:pt idx="24">
                  <c:v>8.2027184579471113E-2</c:v>
                </c:pt>
                <c:pt idx="25">
                  <c:v>8.4768476348130284E-2</c:v>
                </c:pt>
                <c:pt idx="26">
                  <c:v>8.753630519887988E-2</c:v>
                </c:pt>
                <c:pt idx="27">
                  <c:v>9.0330703169376511E-2</c:v>
                </c:pt>
                <c:pt idx="28">
                  <c:v>9.3151703154384646E-2</c:v>
                </c:pt>
                <c:pt idx="29">
                  <c:v>9.5999338908392906E-2</c:v>
                </c:pt>
                <c:pt idx="30">
                  <c:v>9.8873645048301068E-2</c:v>
                </c:pt>
                <c:pt idx="31">
                  <c:v>0.10177465705617719</c:v>
                </c:pt>
                <c:pt idx="32">
                  <c:v>0.10470241128208696</c:v>
                </c:pt>
                <c:pt idx="33">
                  <c:v>0.10765694494699374</c:v>
                </c:pt>
                <c:pt idx="34">
                  <c:v>0.1106382961457312</c:v>
                </c:pt>
                <c:pt idx="35">
                  <c:v>0.11366762569984723</c:v>
                </c:pt>
                <c:pt idx="36">
                  <c:v>0.11724324758482443</c:v>
                </c:pt>
                <c:pt idx="37">
                  <c:v>0.12084601336070527</c:v>
                </c:pt>
                <c:pt idx="38">
                  <c:v>0.1244759732859195</c:v>
                </c:pt>
                <c:pt idx="39">
                  <c:v>0.12813317852467071</c:v>
                </c:pt>
                <c:pt idx="40">
                  <c:v>0.13181768115082335</c:v>
                </c:pt>
                <c:pt idx="41">
                  <c:v>0.13552953415186719</c:v>
                </c:pt>
                <c:pt idx="42">
                  <c:v>0.13926879143296039</c:v>
                </c:pt>
                <c:pt idx="43">
                  <c:v>0.14303550782105043</c:v>
                </c:pt>
                <c:pt idx="44">
                  <c:v>0.14682973906907498</c:v>
                </c:pt>
                <c:pt idx="45">
                  <c:v>0.15065154186024227</c:v>
                </c:pt>
                <c:pt idx="46">
                  <c:v>0.15450097381239225</c:v>
                </c:pt>
                <c:pt idx="47">
                  <c:v>0.15837809348243867</c:v>
                </c:pt>
                <c:pt idx="48">
                  <c:v>0.16228296037089324</c:v>
                </c:pt>
                <c:pt idx="49">
                  <c:v>0.16621563492647212</c:v>
                </c:pt>
                <c:pt idx="50">
                  <c:v>0.17017617855078562</c:v>
                </c:pt>
                <c:pt idx="51">
                  <c:v>0.17416465360311206</c:v>
                </c:pt>
                <c:pt idx="52">
                  <c:v>0.17818112340525596</c:v>
                </c:pt>
                <c:pt idx="53">
                  <c:v>0.18222565224649162</c:v>
                </c:pt>
                <c:pt idx="54">
                  <c:v>0.18629830538859282</c:v>
                </c:pt>
                <c:pt idx="55">
                  <c:v>0.19039914907094965</c:v>
                </c:pt>
                <c:pt idx="56">
                  <c:v>0.19452825051577272</c:v>
                </c:pt>
                <c:pt idx="57">
                  <c:v>0.19868567793338546</c:v>
                </c:pt>
                <c:pt idx="58">
                  <c:v>0.20287150052760658</c:v>
                </c:pt>
                <c:pt idx="59">
                  <c:v>0.2070857885012215</c:v>
                </c:pt>
                <c:pt idx="60">
                  <c:v>0.21132861306154552</c:v>
                </c:pt>
                <c:pt idx="61">
                  <c:v>0.21560004642607827</c:v>
                </c:pt>
                <c:pt idx="62">
                  <c:v>0.21990016182825101</c:v>
                </c:pt>
                <c:pt idx="63">
                  <c:v>0.22422903352326706</c:v>
                </c:pt>
                <c:pt idx="64">
                  <c:v>0.22858673679403735</c:v>
                </c:pt>
                <c:pt idx="65">
                  <c:v>0.23297334795721031</c:v>
                </c:pt>
                <c:pt idx="66">
                  <c:v>0.23738894436929892</c:v>
                </c:pt>
                <c:pt idx="67">
                  <c:v>0.24183360443290422</c:v>
                </c:pt>
                <c:pt idx="68">
                  <c:v>0.24630740760303788</c:v>
                </c:pt>
                <c:pt idx="69">
                  <c:v>0.25081043439354272</c:v>
                </c:pt>
                <c:pt idx="70">
                  <c:v>0.25534276638361458</c:v>
                </c:pt>
                <c:pt idx="71">
                  <c:v>0.25990448622442452</c:v>
                </c:pt>
                <c:pt idx="72">
                  <c:v>0.26449567764584425</c:v>
                </c:pt>
                <c:pt idx="73">
                  <c:v>0.26911642546327313</c:v>
                </c:pt>
                <c:pt idx="74">
                  <c:v>0.27376681558457155</c:v>
                </c:pt>
                <c:pt idx="75">
                  <c:v>0.27844693501709872</c:v>
                </c:pt>
                <c:pt idx="76">
                  <c:v>0.28315687187485661</c:v>
                </c:pt>
                <c:pt idx="77">
                  <c:v>0.28789671538574313</c:v>
                </c:pt>
                <c:pt idx="78">
                  <c:v>0.29266655589891233</c:v>
                </c:pt>
                <c:pt idx="79">
                  <c:v>0.29746648489224642</c:v>
                </c:pt>
                <c:pt idx="80">
                  <c:v>0.30229659497993755</c:v>
                </c:pt>
                <c:pt idx="81">
                  <c:v>0.30715697992018348</c:v>
                </c:pt>
                <c:pt idx="82">
                  <c:v>0.31204773462299568</c:v>
                </c:pt>
                <c:pt idx="83">
                  <c:v>0.31696895515812368</c:v>
                </c:pt>
                <c:pt idx="84">
                  <c:v>0.32192073876309446</c:v>
                </c:pt>
                <c:pt idx="85">
                  <c:v>0.32690318385137024</c:v>
                </c:pt>
                <c:pt idx="86">
                  <c:v>0.33191639002062567</c:v>
                </c:pt>
                <c:pt idx="87">
                  <c:v>0.33696045806114361</c:v>
                </c:pt>
                <c:pt idx="88">
                  <c:v>0.34203548996433442</c:v>
                </c:pt>
                <c:pt idx="89">
                  <c:v>0.34714158893137681</c:v>
                </c:pt>
                <c:pt idx="90">
                  <c:v>0.352278859381985</c:v>
                </c:pt>
                <c:pt idx="91">
                  <c:v>0.3574474069632993</c:v>
                </c:pt>
                <c:pt idx="92">
                  <c:v>0.36264733855890685</c:v>
                </c:pt>
                <c:pt idx="93">
                  <c:v>0.36787876229798933</c:v>
                </c:pt>
                <c:pt idx="94">
                  <c:v>0.37314178756460142</c:v>
                </c:pt>
                <c:pt idx="95">
                  <c:v>0.37843652500708258</c:v>
                </c:pt>
                <c:pt idx="96">
                  <c:v>0.38376308654760094</c:v>
                </c:pt>
                <c:pt idx="97">
                  <c:v>0.3891215853918325</c:v>
                </c:pt>
                <c:pt idx="98">
                  <c:v>0.39451213603877855</c:v>
                </c:pt>
                <c:pt idx="99">
                  <c:v>0.39993485429071995</c:v>
                </c:pt>
                <c:pt idx="100">
                  <c:v>0.40538985726331234</c:v>
                </c:pt>
              </c:numCache>
            </c:numRef>
          </c:yVal>
          <c:smooth val="0"/>
          <c:extLst>
            <c:ext xmlns:c16="http://schemas.microsoft.com/office/drawing/2014/chart" uri="{C3380CC4-5D6E-409C-BE32-E72D297353CC}">
              <c16:uniqueId val="{00000000-B979-4D47-8CE5-97F91A318273}"/>
            </c:ext>
          </c:extLst>
        </c:ser>
        <c:ser>
          <c:idx val="3"/>
          <c:order val="1"/>
          <c:tx>
            <c:strRef>
              <c:f>'Efficiency vs Load Calculations'!$BL$8</c:f>
              <c:strCache>
                <c:ptCount val="1"/>
                <c:pt idx="0">
                  <c:v>Buck ''SYNC'' MOSFET Loss</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Calculations'!$BL$9:$BL$109</c:f>
              <c:numCache>
                <c:formatCode>0.000</c:formatCode>
                <c:ptCount val="101"/>
                <c:pt idx="0">
                  <c:v>2.1912526784505025E-2</c:v>
                </c:pt>
                <c:pt idx="1">
                  <c:v>2.3341796354596704E-2</c:v>
                </c:pt>
                <c:pt idx="2">
                  <c:v>2.4786228505179083E-2</c:v>
                </c:pt>
                <c:pt idx="3">
                  <c:v>2.6245822792088334E-2</c:v>
                </c:pt>
                <c:pt idx="4">
                  <c:v>2.7720579044790892E-2</c:v>
                </c:pt>
                <c:pt idx="5">
                  <c:v>2.9210497366215626E-2</c:v>
                </c:pt>
                <c:pt idx="6">
                  <c:v>3.0715578132598377E-2</c:v>
                </c:pt>
                <c:pt idx="7">
                  <c:v>3.2235821993338978E-2</c:v>
                </c:pt>
                <c:pt idx="8">
                  <c:v>3.3771229870870625E-2</c:v>
                </c:pt>
                <c:pt idx="9">
                  <c:v>3.5321802960541548E-2</c:v>
                </c:pt>
                <c:pt idx="10">
                  <c:v>3.6887542730509169E-2</c:v>
                </c:pt>
                <c:pt idx="11">
                  <c:v>3.8468450921646358E-2</c:v>
                </c:pt>
                <c:pt idx="12">
                  <c:v>4.0064529547460273E-2</c:v>
                </c:pt>
                <c:pt idx="13">
                  <c:v>4.1675780894023323E-2</c:v>
                </c:pt>
                <c:pt idx="14">
                  <c:v>4.3302207519916369E-2</c:v>
                </c:pt>
                <c:pt idx="15">
                  <c:v>4.4943812256184448E-2</c:v>
                </c:pt>
                <c:pt idx="16">
                  <c:v>4.6600598206304494E-2</c:v>
                </c:pt>
                <c:pt idx="17">
                  <c:v>4.8272568746165465E-2</c:v>
                </c:pt>
                <c:pt idx="18">
                  <c:v>4.9959727524060679E-2</c:v>
                </c:pt>
                <c:pt idx="19">
                  <c:v>5.1662078460692387E-2</c:v>
                </c:pt>
                <c:pt idx="20">
                  <c:v>5.3379625749188572E-2</c:v>
                </c:pt>
                <c:pt idx="21">
                  <c:v>5.5112373855132069E-2</c:v>
                </c:pt>
                <c:pt idx="22">
                  <c:v>5.6860327516601625E-2</c:v>
                </c:pt>
                <c:pt idx="23">
                  <c:v>5.8623491744225625E-2</c:v>
                </c:pt>
                <c:pt idx="24">
                  <c:v>6.0401871821247663E-2</c:v>
                </c:pt>
                <c:pt idx="25">
                  <c:v>6.219547330360449E-2</c:v>
                </c:pt>
                <c:pt idx="26">
                  <c:v>6.4004302020016141E-2</c:v>
                </c:pt>
                <c:pt idx="27">
                  <c:v>6.582836407208828E-2</c:v>
                </c:pt>
                <c:pt idx="28">
                  <c:v>6.7667665834426821E-2</c:v>
                </c:pt>
                <c:pt idx="29">
                  <c:v>6.9522213954764725E-2</c:v>
                </c:pt>
                <c:pt idx="30">
                  <c:v>7.1392015354101016E-2</c:v>
                </c:pt>
                <c:pt idx="31">
                  <c:v>7.327707722685195E-2</c:v>
                </c:pt>
                <c:pt idx="32">
                  <c:v>7.5177407041014693E-2</c:v>
                </c:pt>
                <c:pt idx="33">
                  <c:v>7.7093012538342914E-2</c:v>
                </c:pt>
                <c:pt idx="34">
                  <c:v>7.9023901734534857E-2</c:v>
                </c:pt>
                <c:pt idx="35">
                  <c:v>8.0991166980474594E-2</c:v>
                </c:pt>
                <c:pt idx="36">
                  <c:v>8.3492155345024424E-2</c:v>
                </c:pt>
                <c:pt idx="37">
                  <c:v>8.6008571986475379E-2</c:v>
                </c:pt>
                <c:pt idx="38">
                  <c:v>8.8540430898402828E-2</c:v>
                </c:pt>
                <c:pt idx="39">
                  <c:v>9.1087746351388055E-2</c:v>
                </c:pt>
                <c:pt idx="40">
                  <c:v>9.3650532893425925E-2</c:v>
                </c:pt>
                <c:pt idx="41">
                  <c:v>9.6228805350344976E-2</c:v>
                </c:pt>
                <c:pt idx="42">
                  <c:v>9.8822578826240029E-2</c:v>
                </c:pt>
                <c:pt idx="43">
                  <c:v>0.10143186870391716</c:v>
                </c:pt>
                <c:pt idx="44">
                  <c:v>0.10405669064535134</c:v>
                </c:pt>
                <c:pt idx="45">
                  <c:v>0.10669706059215638</c:v>
                </c:pt>
                <c:pt idx="46">
                  <c:v>0.10935299476606768</c:v>
                </c:pt>
                <c:pt idx="47">
                  <c:v>0.11202450966943737</c:v>
                </c:pt>
                <c:pt idx="48">
                  <c:v>0.11471162208574223</c:v>
                </c:pt>
                <c:pt idx="49">
                  <c:v>0.11741434908010401</c:v>
                </c:pt>
                <c:pt idx="50">
                  <c:v>0.12013270799982273</c:v>
                </c:pt>
                <c:pt idx="51">
                  <c:v>0.12286671647492264</c:v>
                </c:pt>
                <c:pt idx="52">
                  <c:v>0.12561639241871078</c:v>
                </c:pt>
                <c:pt idx="53">
                  <c:v>0.12838175402834848</c:v>
                </c:pt>
                <c:pt idx="54">
                  <c:v>0.13116281978543554</c:v>
                </c:pt>
                <c:pt idx="55">
                  <c:v>0.13395960845660765</c:v>
                </c:pt>
                <c:pt idx="56">
                  <c:v>0.13677213909414618</c:v>
                </c:pt>
                <c:pt idx="57">
                  <c:v>0.13960043103660136</c:v>
                </c:pt>
                <c:pt idx="58">
                  <c:v>0.14244450390942837</c:v>
                </c:pt>
                <c:pt idx="59">
                  <c:v>0.14530437762563619</c:v>
                </c:pt>
                <c:pt idx="60">
                  <c:v>0.14818007238645001</c:v>
                </c:pt>
                <c:pt idx="61">
                  <c:v>0.15107160868198632</c:v>
                </c:pt>
                <c:pt idx="62">
                  <c:v>0.15397900729194147</c:v>
                </c:pt>
                <c:pt idx="63">
                  <c:v>0.15690228928629341</c:v>
                </c:pt>
                <c:pt idx="64">
                  <c:v>0.1598414760260165</c:v>
                </c:pt>
                <c:pt idx="65">
                  <c:v>0.16279658916380993</c:v>
                </c:pt>
                <c:pt idx="66">
                  <c:v>0.16576765064483942</c:v>
                </c:pt>
                <c:pt idx="67">
                  <c:v>0.16875468270749217</c:v>
                </c:pt>
                <c:pt idx="68">
                  <c:v>0.1717577078841456</c:v>
                </c:pt>
                <c:pt idx="69">
                  <c:v>0.17477674900194931</c:v>
                </c:pt>
                <c:pt idx="70">
                  <c:v>0.17781182918362112</c:v>
                </c:pt>
                <c:pt idx="71">
                  <c:v>0.18086297184825598</c:v>
                </c:pt>
                <c:pt idx="72">
                  <c:v>0.18393020071214947</c:v>
                </c:pt>
                <c:pt idx="73">
                  <c:v>0.18701353978963436</c:v>
                </c:pt>
                <c:pt idx="74">
                  <c:v>0.19011301339393152</c:v>
                </c:pt>
                <c:pt idx="75">
                  <c:v>0.19322864613801427</c:v>
                </c:pt>
                <c:pt idx="76">
                  <c:v>0.19636046293548717</c:v>
                </c:pt>
                <c:pt idx="77">
                  <c:v>0.19950848900147844</c:v>
                </c:pt>
                <c:pt idx="78">
                  <c:v>0.20267274985354639</c:v>
                </c:pt>
                <c:pt idx="79">
                  <c:v>0.20585327131260078</c:v>
                </c:pt>
                <c:pt idx="80">
                  <c:v>0.20905007950383725</c:v>
                </c:pt>
                <c:pt idx="81">
                  <c:v>0.21226320085768696</c:v>
                </c:pt>
                <c:pt idx="82">
                  <c:v>0.21549266211078008</c:v>
                </c:pt>
                <c:pt idx="83">
                  <c:v>0.21873849030692424</c:v>
                </c:pt>
                <c:pt idx="84">
                  <c:v>0.22200071279809652</c:v>
                </c:pt>
                <c:pt idx="85">
                  <c:v>0.22527935724545134</c:v>
                </c:pt>
                <c:pt idx="86">
                  <c:v>0.22857445162034193</c:v>
                </c:pt>
                <c:pt idx="87">
                  <c:v>0.23188602420535681</c:v>
                </c:pt>
                <c:pt idx="88">
                  <c:v>0.23521410359537157</c:v>
                </c:pt>
                <c:pt idx="89">
                  <c:v>0.23855871869861489</c:v>
                </c:pt>
                <c:pt idx="90">
                  <c:v>0.24191989873774988</c:v>
                </c:pt>
                <c:pt idx="91">
                  <c:v>0.24529767325097029</c:v>
                </c:pt>
                <c:pt idx="92">
                  <c:v>0.24869207209311225</c:v>
                </c:pt>
                <c:pt idx="93">
                  <c:v>0.25210312543678082</c:v>
                </c:pt>
                <c:pt idx="94">
                  <c:v>0.25553086377349166</c:v>
                </c:pt>
                <c:pt idx="95">
                  <c:v>0.25897531791482931</c:v>
                </c:pt>
                <c:pt idx="96">
                  <c:v>0.26243651899361881</c:v>
                </c:pt>
                <c:pt idx="97">
                  <c:v>0.2659144984651155</c:v>
                </c:pt>
                <c:pt idx="98">
                  <c:v>0.26940928810820819</c:v>
                </c:pt>
                <c:pt idx="99">
                  <c:v>0.27292092002663959</c:v>
                </c:pt>
                <c:pt idx="100">
                  <c:v>0.27644942665024175</c:v>
                </c:pt>
              </c:numCache>
            </c:numRef>
          </c:yVal>
          <c:smooth val="0"/>
          <c:extLst>
            <c:ext xmlns:c16="http://schemas.microsoft.com/office/drawing/2014/chart" uri="{C3380CC4-5D6E-409C-BE32-E72D297353CC}">
              <c16:uniqueId val="{00000001-B979-4D47-8CE5-97F91A318273}"/>
            </c:ext>
          </c:extLst>
        </c:ser>
        <c:ser>
          <c:idx val="0"/>
          <c:order val="2"/>
          <c:tx>
            <c:v>Inductor Loss</c:v>
          </c:tx>
          <c:spPr>
            <a:ln w="31750">
              <a:solidFill>
                <a:srgbClr val="FF6600"/>
              </a:solidFill>
              <a:prstDash val="lgDash"/>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Calculations'!$T$9:$T$109</c:f>
              <c:numCache>
                <c:formatCode>0.000</c:formatCode>
                <c:ptCount val="101"/>
                <c:pt idx="0">
                  <c:v>0.35412802327211734</c:v>
                </c:pt>
                <c:pt idx="1">
                  <c:v>0.3541276494663867</c:v>
                </c:pt>
                <c:pt idx="2">
                  <c:v>0.3541705230027829</c:v>
                </c:pt>
                <c:pt idx="3">
                  <c:v>0.35425664522065342</c:v>
                </c:pt>
                <c:pt idx="4">
                  <c:v>0.35438601835712463</c:v>
                </c:pt>
                <c:pt idx="5">
                  <c:v>0.35455864554722127</c:v>
                </c:pt>
                <c:pt idx="6">
                  <c:v>0.3547745308240286</c:v>
                </c:pt>
                <c:pt idx="7">
                  <c:v>0.3550336791188981</c:v>
                </c:pt>
                <c:pt idx="8">
                  <c:v>0.35533609626170842</c:v>
                </c:pt>
                <c:pt idx="9">
                  <c:v>0.35568178898116287</c:v>
                </c:pt>
                <c:pt idx="10">
                  <c:v>0.35607076490514306</c:v>
                </c:pt>
                <c:pt idx="11">
                  <c:v>0.35650303256109928</c:v>
                </c:pt>
                <c:pt idx="12">
                  <c:v>0.35697860137649889</c:v>
                </c:pt>
                <c:pt idx="13">
                  <c:v>0.35749748167931233</c:v>
                </c:pt>
                <c:pt idx="14">
                  <c:v>0.35805968469854837</c:v>
                </c:pt>
                <c:pt idx="15">
                  <c:v>0.35866522256484057</c:v>
                </c:pt>
                <c:pt idx="16">
                  <c:v>0.35931410831107419</c:v>
                </c:pt>
                <c:pt idx="17">
                  <c:v>0.36000635587306473</c:v>
                </c:pt>
                <c:pt idx="18">
                  <c:v>0.3607419800902818</c:v>
                </c:pt>
                <c:pt idx="19">
                  <c:v>0.36152099670661936</c:v>
                </c:pt>
                <c:pt idx="20">
                  <c:v>0.36234342237121725</c:v>
                </c:pt>
                <c:pt idx="21">
                  <c:v>0.36320927463932412</c:v>
                </c:pt>
                <c:pt idx="22">
                  <c:v>0.36411857197320879</c:v>
                </c:pt>
                <c:pt idx="23">
                  <c:v>0.36507133374312745</c:v>
                </c:pt>
                <c:pt idx="24">
                  <c:v>0.36606758022832492</c:v>
                </c:pt>
                <c:pt idx="25">
                  <c:v>0.36710733261809492</c:v>
                </c:pt>
                <c:pt idx="26">
                  <c:v>0.36819061301288186</c:v>
                </c:pt>
                <c:pt idx="27">
                  <c:v>0.36931744442543307</c:v>
                </c:pt>
                <c:pt idx="28">
                  <c:v>0.37048785078199753</c:v>
                </c:pt>
                <c:pt idx="29">
                  <c:v>0.37170185692357394</c:v>
                </c:pt>
                <c:pt idx="30">
                  <c:v>0.37295948860720829</c:v>
                </c:pt>
                <c:pt idx="31">
                  <c:v>0.37426077250733297</c:v>
                </c:pt>
                <c:pt idx="32">
                  <c:v>0.37560573621716653</c:v>
                </c:pt>
                <c:pt idx="33">
                  <c:v>0.37699440825014885</c:v>
                </c:pt>
                <c:pt idx="34">
                  <c:v>0.3784268180414348</c:v>
                </c:pt>
                <c:pt idx="35">
                  <c:v>0.37990299594943283</c:v>
                </c:pt>
                <c:pt idx="36">
                  <c:v>0.38142297325739</c:v>
                </c:pt>
                <c:pt idx="37">
                  <c:v>0.38298678217503324</c:v>
                </c:pt>
                <c:pt idx="38">
                  <c:v>0.38459445584025498</c:v>
                </c:pt>
                <c:pt idx="39">
                  <c:v>0.38624602832084559</c:v>
                </c:pt>
                <c:pt idx="40">
                  <c:v>0.3879415346162845</c:v>
                </c:pt>
                <c:pt idx="41">
                  <c:v>0.38968101065957483</c:v>
                </c:pt>
                <c:pt idx="42">
                  <c:v>0.39146449331912497</c:v>
                </c:pt>
                <c:pt idx="43">
                  <c:v>0.39329202040068939</c:v>
                </c:pt>
                <c:pt idx="44">
                  <c:v>0.39516363064935439</c:v>
                </c:pt>
                <c:pt idx="45">
                  <c:v>0.39707936375157254</c:v>
                </c:pt>
                <c:pt idx="46">
                  <c:v>0.39903926033725401</c:v>
                </c:pt>
                <c:pt idx="47">
                  <c:v>0.40104336198190338</c:v>
                </c:pt>
                <c:pt idx="48">
                  <c:v>0.40309171120881004</c:v>
                </c:pt>
                <c:pt idx="49">
                  <c:v>0.40518435149129201</c:v>
                </c:pt>
                <c:pt idx="50">
                  <c:v>0.40732132725498726</c:v>
                </c:pt>
                <c:pt idx="51">
                  <c:v>0.40950268388019934</c:v>
                </c:pt>
                <c:pt idx="52">
                  <c:v>0.4117284677042965</c:v>
                </c:pt>
                <c:pt idx="53">
                  <c:v>0.41399872602415849</c:v>
                </c:pt>
                <c:pt idx="54">
                  <c:v>0.41631350709868276</c:v>
                </c:pt>
                <c:pt idx="55">
                  <c:v>0.41867286015133737</c:v>
                </c:pt>
                <c:pt idx="56">
                  <c:v>0.42107683537277152</c:v>
                </c:pt>
                <c:pt idx="57">
                  <c:v>0.42352548392347411</c:v>
                </c:pt>
                <c:pt idx="58">
                  <c:v>0.42601885793649374</c:v>
                </c:pt>
                <c:pt idx="59">
                  <c:v>0.42855701052020556</c:v>
                </c:pt>
                <c:pt idx="60">
                  <c:v>0.43113999576113476</c:v>
                </c:pt>
                <c:pt idx="61">
                  <c:v>0.43376786872683676</c:v>
                </c:pt>
                <c:pt idx="62">
                  <c:v>0.43644068546882808</c:v>
                </c:pt>
                <c:pt idx="63">
                  <c:v>0.43915850302557724</c:v>
                </c:pt>
                <c:pt idx="64">
                  <c:v>0.44192137942554399</c:v>
                </c:pt>
                <c:pt idx="65">
                  <c:v>0.4447293736902832</c:v>
                </c:pt>
                <c:pt idx="66">
                  <c:v>0.44758254583759677</c:v>
                </c:pt>
                <c:pt idx="67">
                  <c:v>0.4504809568847466</c:v>
                </c:pt>
                <c:pt idx="68">
                  <c:v>0.45342466885172183</c:v>
                </c:pt>
                <c:pt idx="69">
                  <c:v>0.45641374476456459</c:v>
                </c:pt>
                <c:pt idx="70">
                  <c:v>0.45944824865875178</c:v>
                </c:pt>
                <c:pt idx="71">
                  <c:v>0.46252824558263478</c:v>
                </c:pt>
                <c:pt idx="72">
                  <c:v>0.46565380160094016</c:v>
                </c:pt>
                <c:pt idx="73">
                  <c:v>0.46882498379831972</c:v>
                </c:pt>
                <c:pt idx="74">
                  <c:v>0.47204186028297346</c:v>
                </c:pt>
                <c:pt idx="75">
                  <c:v>0.475304500190318</c:v>
                </c:pt>
                <c:pt idx="76">
                  <c:v>0.47861297368672173</c:v>
                </c:pt>
                <c:pt idx="77">
                  <c:v>0.48196735197329971</c:v>
                </c:pt>
                <c:pt idx="78">
                  <c:v>0.48536770728976464</c:v>
                </c:pt>
                <c:pt idx="79">
                  <c:v>0.4888141129183422</c:v>
                </c:pt>
                <c:pt idx="80">
                  <c:v>0.49230664318774764</c:v>
                </c:pt>
                <c:pt idx="81">
                  <c:v>0.49584537347721935</c:v>
                </c:pt>
                <c:pt idx="82">
                  <c:v>0.49943038022062081</c:v>
                </c:pt>
                <c:pt idx="83">
                  <c:v>0.50306174091059808</c:v>
                </c:pt>
                <c:pt idx="84">
                  <c:v>0.50673953410280637</c:v>
                </c:pt>
                <c:pt idx="85">
                  <c:v>0.51046383942019291</c:v>
                </c:pt>
                <c:pt idx="86">
                  <c:v>0.51423473755735005</c:v>
                </c:pt>
                <c:pt idx="87">
                  <c:v>0.5180523102849286</c:v>
                </c:pt>
                <c:pt idx="88">
                  <c:v>0.52191664045411601</c:v>
                </c:pt>
                <c:pt idx="89">
                  <c:v>0.52582781200117745</c:v>
                </c:pt>
                <c:pt idx="90">
                  <c:v>0.52978590995207087</c:v>
                </c:pt>
                <c:pt idx="91">
                  <c:v>0.53379102042711579</c:v>
                </c:pt>
                <c:pt idx="92">
                  <c:v>0.53784323064573614</c:v>
                </c:pt>
                <c:pt idx="93">
                  <c:v>0.54194262893127088</c:v>
                </c:pt>
                <c:pt idx="94">
                  <c:v>0.54608930471584582</c:v>
                </c:pt>
                <c:pt idx="95">
                  <c:v>0.5502833485453188</c:v>
                </c:pt>
                <c:pt idx="96">
                  <c:v>0.55452485208429148</c:v>
                </c:pt>
                <c:pt idx="97">
                  <c:v>0.55881390812118947</c:v>
                </c:pt>
                <c:pt idx="98">
                  <c:v>0.56315061057341054</c:v>
                </c:pt>
                <c:pt idx="99">
                  <c:v>0.56753505449254904</c:v>
                </c:pt>
                <c:pt idx="100">
                  <c:v>0.57196733606968353</c:v>
                </c:pt>
              </c:numCache>
            </c:numRef>
          </c:yVal>
          <c:smooth val="0"/>
          <c:extLst>
            <c:ext xmlns:c16="http://schemas.microsoft.com/office/drawing/2014/chart" uri="{C3380CC4-5D6E-409C-BE32-E72D297353CC}">
              <c16:uniqueId val="{00000002-B979-4D47-8CE5-97F91A318273}"/>
            </c:ext>
          </c:extLst>
        </c:ser>
        <c:dLbls>
          <c:showLegendKey val="0"/>
          <c:showVal val="0"/>
          <c:showCatName val="0"/>
          <c:showSerName val="0"/>
          <c:showPercent val="0"/>
          <c:showBubbleSize val="0"/>
        </c:dLbls>
        <c:axId val="141514624"/>
        <c:axId val="141520896"/>
      </c:scatterChart>
      <c:valAx>
        <c:axId val="14151462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1520896"/>
        <c:crosses val="autoZero"/>
        <c:crossBetween val="midCat"/>
      </c:valAx>
      <c:valAx>
        <c:axId val="14152089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151462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Calculations'!$BD$9:$BD$109</c:f>
              <c:numCache>
                <c:formatCode>0.0%</c:formatCode>
                <c:ptCount val="101"/>
                <c:pt idx="0">
                  <c:v>0</c:v>
                </c:pt>
                <c:pt idx="1">
                  <c:v>0.58205995062865468</c:v>
                </c:pt>
                <c:pt idx="2">
                  <c:v>0.73443391247288847</c:v>
                </c:pt>
                <c:pt idx="3">
                  <c:v>0.80461183898538124</c:v>
                </c:pt>
                <c:pt idx="4">
                  <c:v>0.84495204992980721</c:v>
                </c:pt>
                <c:pt idx="5">
                  <c:v>0.87113213378019461</c:v>
                </c:pt>
                <c:pt idx="6">
                  <c:v>0.8894833532145473</c:v>
                </c:pt>
                <c:pt idx="7">
                  <c:v>0.90305210968449656</c:v>
                </c:pt>
                <c:pt idx="8">
                  <c:v>0.91348570806760521</c:v>
                </c:pt>
                <c:pt idx="9">
                  <c:v>0.92175282544537862</c:v>
                </c:pt>
                <c:pt idx="10">
                  <c:v>0.92846034184641046</c:v>
                </c:pt>
                <c:pt idx="11">
                  <c:v>0.93400782726067955</c:v>
                </c:pt>
                <c:pt idx="12">
                  <c:v>0.93866909794477749</c:v>
                </c:pt>
                <c:pt idx="13">
                  <c:v>0.94263807971791824</c:v>
                </c:pt>
                <c:pt idx="14">
                  <c:v>0.94605596379635393</c:v>
                </c:pt>
                <c:pt idx="15">
                  <c:v>0.94902799096142254</c:v>
                </c:pt>
                <c:pt idx="16">
                  <c:v>0.95163420896168793</c:v>
                </c:pt>
                <c:pt idx="17">
                  <c:v>0.95393658532029524</c:v>
                </c:pt>
                <c:pt idx="18">
                  <c:v>0.95598383913239171</c:v>
                </c:pt>
                <c:pt idx="19">
                  <c:v>0.95781480196788638</c:v>
                </c:pt>
                <c:pt idx="20">
                  <c:v>0.95946080505232201</c:v>
                </c:pt>
                <c:pt idx="21">
                  <c:v>0.96094740669041478</c:v>
                </c:pt>
                <c:pt idx="22">
                  <c:v>0.96229566329541461</c:v>
                </c:pt>
                <c:pt idx="23">
                  <c:v>0.96352307876952348</c:v>
                </c:pt>
                <c:pt idx="24">
                  <c:v>0.9646443233554276</c:v>
                </c:pt>
                <c:pt idx="25">
                  <c:v>0.96567178472540394</c:v>
                </c:pt>
                <c:pt idx="26">
                  <c:v>0.9666159952748038</c:v>
                </c:pt>
                <c:pt idx="27">
                  <c:v>0.96748596689314115</c:v>
                </c:pt>
                <c:pt idx="28">
                  <c:v>0.9682894557716526</c:v>
                </c:pt>
                <c:pt idx="29">
                  <c:v>0.96903317373171105</c:v>
                </c:pt>
                <c:pt idx="30">
                  <c:v>0.9697229582642084</c:v>
                </c:pt>
                <c:pt idx="31">
                  <c:v>0.97036391039459391</c:v>
                </c:pt>
                <c:pt idx="32">
                  <c:v>0.97096050725901373</c:v>
                </c:pt>
                <c:pt idx="33">
                  <c:v>0.97151669464293977</c:v>
                </c:pt>
                <c:pt idx="34">
                  <c:v>0.97203596352331501</c:v>
                </c:pt>
                <c:pt idx="35">
                  <c:v>0.97251982969450557</c:v>
                </c:pt>
                <c:pt idx="36">
                  <c:v>0.97293482157606714</c:v>
                </c:pt>
                <c:pt idx="37">
                  <c:v>0.97332327980955446</c:v>
                </c:pt>
                <c:pt idx="38">
                  <c:v>0.97368726128866712</c:v>
                </c:pt>
                <c:pt idx="39">
                  <c:v>0.97402861535794993</c:v>
                </c:pt>
                <c:pt idx="40">
                  <c:v>0.97434900933730439</c:v>
                </c:pt>
                <c:pt idx="41">
                  <c:v>0.97464995037007851</c:v>
                </c:pt>
                <c:pt idx="42">
                  <c:v>0.97493280419803741</c:v>
                </c:pt>
                <c:pt idx="43">
                  <c:v>0.97519881135596875</c:v>
                </c:pt>
                <c:pt idx="44">
                  <c:v>0.97544910119039741</c:v>
                </c:pt>
                <c:pt idx="45">
                  <c:v>0.97568470403601515</c:v>
                </c:pt>
                <c:pt idx="46">
                  <c:v>0.97590656182622748</c:v>
                </c:pt>
                <c:pt idx="47">
                  <c:v>0.97611553736782009</c:v>
                </c:pt>
                <c:pt idx="48">
                  <c:v>0.97631242247193317</c:v>
                </c:pt>
                <c:pt idx="49">
                  <c:v>0.97649794510256638</c:v>
                </c:pt>
                <c:pt idx="50">
                  <c:v>0.97667277567837896</c:v>
                </c:pt>
                <c:pt idx="51">
                  <c:v>0.97683753264252104</c:v>
                </c:pt>
                <c:pt idx="52">
                  <c:v>0.97699278739780082</c:v>
                </c:pt>
                <c:pt idx="53">
                  <c:v>0.97713906868998868</c:v>
                </c:pt>
                <c:pt idx="54">
                  <c:v>0.97727686650993328</c:v>
                </c:pt>
                <c:pt idx="55">
                  <c:v>0.97740663557500984</c:v>
                </c:pt>
                <c:pt idx="56">
                  <c:v>0.97752879844187679</c:v>
                </c:pt>
                <c:pt idx="57">
                  <c:v>0.97764374829530121</c:v>
                </c:pt>
                <c:pt idx="58">
                  <c:v>0.9777518514517094</c:v>
                </c:pt>
                <c:pt idx="59">
                  <c:v>0.97785344961094067</c:v>
                </c:pt>
                <c:pt idx="60">
                  <c:v>0.97794886188525643</c:v>
                </c:pt>
                <c:pt idx="61">
                  <c:v>0.97803838663089959</c:v>
                </c:pt>
                <c:pt idx="62">
                  <c:v>0.97812230310425718</c:v>
                </c:pt>
                <c:pt idx="63">
                  <c:v>0.97820087296191971</c:v>
                </c:pt>
                <c:pt idx="64">
                  <c:v>0.97827434162153282</c:v>
                </c:pt>
                <c:pt idx="65">
                  <c:v>0.97834293949828488</c:v>
                </c:pt>
                <c:pt idx="66">
                  <c:v>0.97840688313009183</c:v>
                </c:pt>
                <c:pt idx="67">
                  <c:v>0.97846637620299215</c:v>
                </c:pt>
                <c:pt idx="68">
                  <c:v>0.97852161048692909</c:v>
                </c:pt>
                <c:pt idx="69">
                  <c:v>0.97857276669092386</c:v>
                </c:pt>
                <c:pt idx="70">
                  <c:v>0.97862001524562614</c:v>
                </c:pt>
                <c:pt idx="71">
                  <c:v>0.97866351702033672</c:v>
                </c:pt>
                <c:pt idx="72">
                  <c:v>0.97870342398081411</c:v>
                </c:pt>
                <c:pt idx="73">
                  <c:v>0.97873987979349542</c:v>
                </c:pt>
                <c:pt idx="74">
                  <c:v>0.9787730203811521</c:v>
                </c:pt>
                <c:pt idx="75">
                  <c:v>0.97880297443447806</c:v>
                </c:pt>
                <c:pt idx="76">
                  <c:v>0.97882986388362914</c:v>
                </c:pt>
                <c:pt idx="77">
                  <c:v>0.97885380433333069</c:v>
                </c:pt>
                <c:pt idx="78">
                  <c:v>0.97887490546478839</c:v>
                </c:pt>
                <c:pt idx="79">
                  <c:v>0.97889327140732441</c:v>
                </c:pt>
                <c:pt idx="80">
                  <c:v>0.97890900108236412</c:v>
                </c:pt>
                <c:pt idx="81">
                  <c:v>0.97892218852214496</c:v>
                </c:pt>
                <c:pt idx="82">
                  <c:v>0.97893292316528657</c:v>
                </c:pt>
                <c:pt idx="83">
                  <c:v>0.97894129013115949</c:v>
                </c:pt>
                <c:pt idx="84">
                  <c:v>0.97894737047480473</c:v>
                </c:pt>
                <c:pt idx="85">
                  <c:v>0.97895124142399526</c:v>
                </c:pt>
                <c:pt idx="86">
                  <c:v>0.9789529765998789</c:v>
                </c:pt>
                <c:pt idx="87">
                  <c:v>0.97895264622251643</c:v>
                </c:pt>
                <c:pt idx="88">
                  <c:v>0.97895031730250759</c:v>
                </c:pt>
                <c:pt idx="89">
                  <c:v>0.97894605381978772</c:v>
                </c:pt>
                <c:pt idx="90">
                  <c:v>0.97893991689059057</c:v>
                </c:pt>
                <c:pt idx="91">
                  <c:v>0.97893196492347678</c:v>
                </c:pt>
                <c:pt idx="92">
                  <c:v>0.97892225376525621</c:v>
                </c:pt>
                <c:pt idx="93">
                  <c:v>0.97891083683756064</c:v>
                </c:pt>
                <c:pt idx="94">
                  <c:v>0.97889776526475336</c:v>
                </c:pt>
                <c:pt idx="95">
                  <c:v>0.97888308799381596</c:v>
                </c:pt>
                <c:pt idx="96">
                  <c:v>0.97886685190678857</c:v>
                </c:pt>
                <c:pt idx="97">
                  <c:v>0.9788491019262997</c:v>
                </c:pt>
                <c:pt idx="98">
                  <c:v>0.97882988111467428</c:v>
                </c:pt>
                <c:pt idx="99">
                  <c:v>0.9788092307670726</c:v>
                </c:pt>
                <c:pt idx="100">
                  <c:v>0.97878719049907448</c:v>
                </c:pt>
              </c:numCache>
            </c:numRef>
          </c:yVal>
          <c:smooth val="0"/>
          <c:extLst>
            <c:ext xmlns:c16="http://schemas.microsoft.com/office/drawing/2014/chart" uri="{C3380CC4-5D6E-409C-BE32-E72D297353CC}">
              <c16:uniqueId val="{00000000-9AF9-4B1C-A3A8-98AA77501F95}"/>
            </c:ext>
          </c:extLst>
        </c:ser>
        <c:dLbls>
          <c:showLegendKey val="0"/>
          <c:showVal val="0"/>
          <c:showCatName val="0"/>
          <c:showSerName val="0"/>
          <c:showPercent val="0"/>
          <c:showBubbleSize val="0"/>
        </c:dLbls>
        <c:axId val="141554048"/>
        <c:axId val="141555968"/>
      </c:scatterChart>
      <c:valAx>
        <c:axId val="141554048"/>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41555968"/>
        <c:crosses val="autoZero"/>
        <c:crossBetween val="midCat"/>
      </c:valAx>
      <c:valAx>
        <c:axId val="141555968"/>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4155404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LM5175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89.545775588422288</c:v>
                </c:pt>
                <c:pt idx="1">
                  <c:v>89.455906728328472</c:v>
                </c:pt>
                <c:pt idx="2">
                  <c:v>89.350274556378622</c:v>
                </c:pt>
                <c:pt idx="3">
                  <c:v>89.226593829206976</c:v>
                </c:pt>
                <c:pt idx="4">
                  <c:v>89.082520346407478</c:v>
                </c:pt>
                <c:pt idx="5">
                  <c:v>88.915244370692506</c:v>
                </c:pt>
                <c:pt idx="6">
                  <c:v>88.722377768571505</c:v>
                </c:pt>
                <c:pt idx="7">
                  <c:v>88.501233638657126</c:v>
                </c:pt>
                <c:pt idx="8">
                  <c:v>88.249562007258916</c:v>
                </c:pt>
                <c:pt idx="9">
                  <c:v>87.965016624016016</c:v>
                </c:pt>
                <c:pt idx="10">
                  <c:v>87.64596896158038</c:v>
                </c:pt>
                <c:pt idx="11">
                  <c:v>87.291079660859893</c:v>
                </c:pt>
                <c:pt idx="12">
                  <c:v>86.899388512565736</c:v>
                </c:pt>
                <c:pt idx="13">
                  <c:v>86.471129599116821</c:v>
                </c:pt>
                <c:pt idx="14">
                  <c:v>86.006444065550085</c:v>
                </c:pt>
                <c:pt idx="15">
                  <c:v>85.506555998784677</c:v>
                </c:pt>
                <c:pt idx="16">
                  <c:v>84.973004230965813</c:v>
                </c:pt>
                <c:pt idx="17">
                  <c:v>84.407868187462014</c:v>
                </c:pt>
                <c:pt idx="18">
                  <c:v>83.813290939077518</c:v>
                </c:pt>
                <c:pt idx="19">
                  <c:v>83.191933692947998</c:v>
                </c:pt>
                <c:pt idx="20">
                  <c:v>82.546263923323295</c:v>
                </c:pt>
                <c:pt idx="21">
                  <c:v>81.878996340000555</c:v>
                </c:pt>
                <c:pt idx="22">
                  <c:v>81.192487170233846</c:v>
                </c:pt>
                <c:pt idx="23">
                  <c:v>80.489264929471517</c:v>
                </c:pt>
                <c:pt idx="24">
                  <c:v>79.77133119766718</c:v>
                </c:pt>
                <c:pt idx="25">
                  <c:v>79.040776115822396</c:v>
                </c:pt>
                <c:pt idx="26">
                  <c:v>78.299200814487136</c:v>
                </c:pt>
                <c:pt idx="27">
                  <c:v>77.548409455120407</c:v>
                </c:pt>
                <c:pt idx="28">
                  <c:v>76.789749011487373</c:v>
                </c:pt>
                <c:pt idx="29">
                  <c:v>76.024889805101822</c:v>
                </c:pt>
                <c:pt idx="30">
                  <c:v>75.253561018132018</c:v>
                </c:pt>
                <c:pt idx="31">
                  <c:v>74.47771209106665</c:v>
                </c:pt>
                <c:pt idx="32">
                  <c:v>73.697562884173379</c:v>
                </c:pt>
                <c:pt idx="33">
                  <c:v>72.914299189209331</c:v>
                </c:pt>
                <c:pt idx="34">
                  <c:v>72.127845533252554</c:v>
                </c:pt>
                <c:pt idx="35">
                  <c:v>71.339084071559157</c:v>
                </c:pt>
                <c:pt idx="36">
                  <c:v>70.54825876325512</c:v>
                </c:pt>
                <c:pt idx="37">
                  <c:v>69.755239851509572</c:v>
                </c:pt>
                <c:pt idx="38">
                  <c:v>68.961021638689346</c:v>
                </c:pt>
                <c:pt idx="39">
                  <c:v>68.165152393813372</c:v>
                </c:pt>
                <c:pt idx="40">
                  <c:v>67.368074229349745</c:v>
                </c:pt>
                <c:pt idx="41">
                  <c:v>66.569818231467892</c:v>
                </c:pt>
                <c:pt idx="42">
                  <c:v>65.770554858543051</c:v>
                </c:pt>
                <c:pt idx="43">
                  <c:v>64.970071870078783</c:v>
                </c:pt>
                <c:pt idx="44">
                  <c:v>64.168567868218332</c:v>
                </c:pt>
                <c:pt idx="45">
                  <c:v>63.365829800124096</c:v>
                </c:pt>
                <c:pt idx="46">
                  <c:v>62.561929749427932</c:v>
                </c:pt>
                <c:pt idx="47">
                  <c:v>61.75656323799749</c:v>
                </c:pt>
                <c:pt idx="48">
                  <c:v>60.949751962838604</c:v>
                </c:pt>
                <c:pt idx="49">
                  <c:v>60.141062915262886</c:v>
                </c:pt>
                <c:pt idx="50">
                  <c:v>59.330336760668757</c:v>
                </c:pt>
                <c:pt idx="51">
                  <c:v>58.517035147323384</c:v>
                </c:pt>
                <c:pt idx="52">
                  <c:v>57.700993726183597</c:v>
                </c:pt>
                <c:pt idx="53">
                  <c:v>56.881673642868769</c:v>
                </c:pt>
                <c:pt idx="54">
                  <c:v>56.058983034546301</c:v>
                </c:pt>
                <c:pt idx="55">
                  <c:v>55.230812063107926</c:v>
                </c:pt>
                <c:pt idx="56">
                  <c:v>54.397470319050989</c:v>
                </c:pt>
                <c:pt idx="57">
                  <c:v>53.557406910778404</c:v>
                </c:pt>
                <c:pt idx="58">
                  <c:v>52.710077460173572</c:v>
                </c:pt>
                <c:pt idx="59">
                  <c:v>51.85351126763539</c:v>
                </c:pt>
                <c:pt idx="60">
                  <c:v>50.98668519308363</c:v>
                </c:pt>
                <c:pt idx="61">
                  <c:v>50.107774482418854</c:v>
                </c:pt>
                <c:pt idx="62">
                  <c:v>49.21440680252757</c:v>
                </c:pt>
                <c:pt idx="63">
                  <c:v>48.305358520055634</c:v>
                </c:pt>
                <c:pt idx="64">
                  <c:v>47.377665163372249</c:v>
                </c:pt>
                <c:pt idx="65">
                  <c:v>46.429313841750783</c:v>
                </c:pt>
                <c:pt idx="66">
                  <c:v>45.457806209869375</c:v>
                </c:pt>
                <c:pt idx="67">
                  <c:v>44.460880939947145</c:v>
                </c:pt>
                <c:pt idx="68">
                  <c:v>43.435962318310416</c:v>
                </c:pt>
                <c:pt idx="69">
                  <c:v>42.381272612573795</c:v>
                </c:pt>
                <c:pt idx="70">
                  <c:v>41.294908004409891</c:v>
                </c:pt>
                <c:pt idx="71">
                  <c:v>40.175875062421831</c:v>
                </c:pt>
                <c:pt idx="72">
                  <c:v>39.023304507196613</c:v>
                </c:pt>
                <c:pt idx="73">
                  <c:v>37.837520218809054</c:v>
                </c:pt>
                <c:pt idx="74">
                  <c:v>36.618973250881943</c:v>
                </c:pt>
                <c:pt idx="75">
                  <c:v>35.369322682822478</c:v>
                </c:pt>
                <c:pt idx="76">
                  <c:v>34.090437295851885</c:v>
                </c:pt>
                <c:pt idx="77">
                  <c:v>32.785517603920518</c:v>
                </c:pt>
                <c:pt idx="78">
                  <c:v>31.457860179074956</c:v>
                </c:pt>
                <c:pt idx="79">
                  <c:v>30.112095589524071</c:v>
                </c:pt>
                <c:pt idx="80">
                  <c:v>28.750068099329319</c:v>
                </c:pt>
                <c:pt idx="81">
                  <c:v>27.37804458695933</c:v>
                </c:pt>
                <c:pt idx="82">
                  <c:v>25.999638069641534</c:v>
                </c:pt>
                <c:pt idx="83">
                  <c:v>24.620455543450745</c:v>
                </c:pt>
                <c:pt idx="84">
                  <c:v>23.244071616828542</c:v>
                </c:pt>
                <c:pt idx="85">
                  <c:v>21.875840440658649</c:v>
                </c:pt>
                <c:pt idx="86">
                  <c:v>20.519994564179381</c:v>
                </c:pt>
                <c:pt idx="87">
                  <c:v>19.180044282494947</c:v>
                </c:pt>
                <c:pt idx="88">
                  <c:v>17.861188040485516</c:v>
                </c:pt>
                <c:pt idx="89">
                  <c:v>16.565873554085027</c:v>
                </c:pt>
                <c:pt idx="90">
                  <c:v>15.297603309707892</c:v>
                </c:pt>
                <c:pt idx="91">
                  <c:v>14.058661329151935</c:v>
                </c:pt>
                <c:pt idx="92">
                  <c:v>12.850919597711059</c:v>
                </c:pt>
                <c:pt idx="93">
                  <c:v>11.674990326148126</c:v>
                </c:pt>
                <c:pt idx="94">
                  <c:v>11.386168194670869</c:v>
                </c:pt>
                <c:pt idx="95">
                  <c:v>11.241623925934629</c:v>
                </c:pt>
                <c:pt idx="96">
                  <c:v>11.099233983719339</c:v>
                </c:pt>
                <c:pt idx="97">
                  <c:v>10.955715365767798</c:v>
                </c:pt>
                <c:pt idx="98">
                  <c:v>10.814336962221219</c:v>
                </c:pt>
                <c:pt idx="99">
                  <c:v>10.671803348866391</c:v>
                </c:pt>
                <c:pt idx="100">
                  <c:v>10.531396270139485</c:v>
                </c:pt>
                <c:pt idx="101">
                  <c:v>10.389916264037835</c:v>
                </c:pt>
                <c:pt idx="102">
                  <c:v>10.250546299801842</c:v>
                </c:pt>
                <c:pt idx="103">
                  <c:v>10.109976708027478</c:v>
                </c:pt>
                <c:pt idx="104">
                  <c:v>9.9715041210759416</c:v>
                </c:pt>
                <c:pt idx="105">
                  <c:v>9.8319152243630565</c:v>
                </c:pt>
                <c:pt idx="106">
                  <c:v>9.6944074280929335</c:v>
                </c:pt>
                <c:pt idx="107">
                  <c:v>9.555860943887172</c:v>
                </c:pt>
                <c:pt idx="108">
                  <c:v>9.4193770375313832</c:v>
                </c:pt>
                <c:pt idx="109">
                  <c:v>9.2818337023477699</c:v>
                </c:pt>
                <c:pt idx="110">
                  <c:v>9.1463347939795909</c:v>
                </c:pt>
                <c:pt idx="111">
                  <c:v>9.0096685607856308</c:v>
                </c:pt>
                <c:pt idx="112">
                  <c:v>8.8750315390473098</c:v>
                </c:pt>
                <c:pt idx="113">
                  <c:v>8.7393050780879857</c:v>
                </c:pt>
                <c:pt idx="114">
                  <c:v>8.6055899869552288</c:v>
                </c:pt>
                <c:pt idx="115">
                  <c:v>8.4707729245543568</c:v>
                </c:pt>
                <c:pt idx="116">
                  <c:v>8.3379495126147365</c:v>
                </c:pt>
                <c:pt idx="117">
                  <c:v>8.2040138716143129</c:v>
                </c:pt>
                <c:pt idx="118">
                  <c:v>8.0720542203824337</c:v>
                </c:pt>
                <c:pt idx="119">
                  <c:v>7.9390541917847468</c:v>
                </c:pt>
                <c:pt idx="120">
                  <c:v>7.8080101568085505</c:v>
                </c:pt>
                <c:pt idx="121">
                  <c:v>7.6759147304155828</c:v>
                </c:pt>
                <c:pt idx="122">
                  <c:v>7.5457554763193642</c:v>
                </c:pt>
                <c:pt idx="123">
                  <c:v>7.4144602461417852</c:v>
                </c:pt>
                <c:pt idx="124">
                  <c:v>7.2850836835868948</c:v>
                </c:pt>
                <c:pt idx="125">
                  <c:v>7.1546413718659707</c:v>
                </c:pt>
                <c:pt idx="126">
                  <c:v>7.0260979863402406</c:v>
                </c:pt>
                <c:pt idx="127">
                  <c:v>6.8964828954653159</c:v>
                </c:pt>
                <c:pt idx="128">
                  <c:v>6.7687470476469365</c:v>
                </c:pt>
                <c:pt idx="129">
                  <c:v>6.6399349199642197</c:v>
                </c:pt>
                <c:pt idx="130">
                  <c:v>6.5129823838820613</c:v>
                </c:pt>
                <c:pt idx="131">
                  <c:v>6.3849502292454172</c:v>
                </c:pt>
                <c:pt idx="132">
                  <c:v>6.321627374173139</c:v>
                </c:pt>
                <c:pt idx="133">
                  <c:v>6.258758025916066</c:v>
                </c:pt>
                <c:pt idx="134">
                  <c:v>6.1948573619175962</c:v>
                </c:pt>
                <c:pt idx="135">
                  <c:v>6.1314187349124278</c:v>
                </c:pt>
                <c:pt idx="136">
                  <c:v>6.0684356165559583</c:v>
                </c:pt>
                <c:pt idx="137">
                  <c:v>6.0059016045223279</c:v>
                </c:pt>
                <c:pt idx="138">
                  <c:v>5.9424058051527018</c:v>
                </c:pt>
                <c:pt idx="139">
                  <c:v>5.8793665824223265</c:v>
                </c:pt>
                <c:pt idx="140">
                  <c:v>5.8167774777212644</c:v>
                </c:pt>
                <c:pt idx="141">
                  <c:v>5.7546321576143669</c:v>
                </c:pt>
                <c:pt idx="142">
                  <c:v>5.6914663701845827</c:v>
                </c:pt>
                <c:pt idx="143">
                  <c:v>5.628752621158303</c:v>
                </c:pt>
                <c:pt idx="144">
                  <c:v>5.5664845041467377</c:v>
                </c:pt>
                <c:pt idx="145">
                  <c:v>5.5046557375131844</c:v>
                </c:pt>
                <c:pt idx="146">
                  <c:v>5.4418430718191679</c:v>
                </c:pt>
                <c:pt idx="147">
                  <c:v>5.3794774292968963</c:v>
                </c:pt>
                <c:pt idx="148">
                  <c:v>5.3175524678128507</c:v>
                </c:pt>
                <c:pt idx="149">
                  <c:v>5.2560619692215846</c:v>
                </c:pt>
                <c:pt idx="150">
                  <c:v>5.1935930139365549</c:v>
                </c:pt>
                <c:pt idx="151">
                  <c:v>5.1315660606564109</c:v>
                </c:pt>
                <c:pt idx="152">
                  <c:v>5.0699748335579606</c:v>
                </c:pt>
                <c:pt idx="153">
                  <c:v>5.0088131799563591</c:v>
                </c:pt>
                <c:pt idx="154">
                  <c:v>4.9466503166391602</c:v>
                </c:pt>
                <c:pt idx="155">
                  <c:v>4.8849248286867128</c:v>
                </c:pt>
                <c:pt idx="156">
                  <c:v>4.8236305000925821</c:v>
                </c:pt>
                <c:pt idx="157">
                  <c:v>4.7627612372761643</c:v>
                </c:pt>
                <c:pt idx="158">
                  <c:v>4.7008979452106994</c:v>
                </c:pt>
                <c:pt idx="159">
                  <c:v>4.6394673607139651</c:v>
                </c:pt>
                <c:pt idx="160">
                  <c:v>4.578463330296608</c:v>
                </c:pt>
                <c:pt idx="161">
                  <c:v>4.517879822080034</c:v>
                </c:pt>
                <c:pt idx="162">
                  <c:v>4.4563365850741548</c:v>
                </c:pt>
                <c:pt idx="163">
                  <c:v>4.3952209780870728</c:v>
                </c:pt>
                <c:pt idx="164">
                  <c:v>4.3345269206501742</c:v>
                </c:pt>
                <c:pt idx="165">
                  <c:v>4.2742484527813103</c:v>
                </c:pt>
                <c:pt idx="166">
                  <c:v>4.2129642256055604</c:v>
                </c:pt>
                <c:pt idx="167">
                  <c:v>4.1521032759836327</c:v>
                </c:pt>
                <c:pt idx="168">
                  <c:v>4.0916595828003448</c:v>
                </c:pt>
                <c:pt idx="169">
                  <c:v>4.0316272446297345</c:v>
                </c:pt>
                <c:pt idx="170">
                  <c:v>3.9707253353049015</c:v>
                </c:pt>
                <c:pt idx="171">
                  <c:v>3.910240547367156</c:v>
                </c:pt>
                <c:pt idx="172">
                  <c:v>3.8501669590708376</c:v>
                </c:pt>
                <c:pt idx="173">
                  <c:v>3.7904987664711061</c:v>
                </c:pt>
                <c:pt idx="174">
                  <c:v>3.7297412334298512</c:v>
                </c:pt>
                <c:pt idx="175">
                  <c:v>3.6693978067415332</c:v>
                </c:pt>
                <c:pt idx="176">
                  <c:v>3.6094625989613345</c:v>
                </c:pt>
                <c:pt idx="177">
                  <c:v>3.5499298402462176</c:v>
                </c:pt>
                <c:pt idx="178">
                  <c:v>3.4893446635665808</c:v>
                </c:pt>
                <c:pt idx="179">
                  <c:v>3.4291700746260254</c:v>
                </c:pt>
                <c:pt idx="180">
                  <c:v>3.3694002324964263</c:v>
                </c:pt>
                <c:pt idx="181">
                  <c:v>3.3100294133015824</c:v>
                </c:pt>
                <c:pt idx="182">
                  <c:v>3.2498764340192254</c:v>
                </c:pt>
                <c:pt idx="183">
                  <c:v>3.1901269282674849</c:v>
                </c:pt>
                <c:pt idx="184">
                  <c:v>3.1307751794932441</c:v>
                </c:pt>
                <c:pt idx="185">
                  <c:v>3.0718155855411693</c:v>
                </c:pt>
                <c:pt idx="186">
                  <c:v>3.0116401727305799</c:v>
                </c:pt>
                <c:pt idx="187">
                  <c:v>2.951867108809334</c:v>
                </c:pt>
                <c:pt idx="188">
                  <c:v>2.8924906760191971</c:v>
                </c:pt>
                <c:pt idx="189">
                  <c:v>2.833505271661517</c:v>
                </c:pt>
                <c:pt idx="190">
                  <c:v>2.7737908007303691</c:v>
                </c:pt>
                <c:pt idx="191">
                  <c:v>2.7144710294718566</c:v>
                </c:pt>
                <c:pt idx="192">
                  <c:v>2.6555403786060525</c:v>
                </c:pt>
                <c:pt idx="193">
                  <c:v>2.5969933808172989</c:v>
                </c:pt>
                <c:pt idx="194">
                  <c:v>2.537304696728631</c:v>
                </c:pt>
                <c:pt idx="195">
                  <c:v>2.478008729406906</c:v>
                </c:pt>
                <c:pt idx="196">
                  <c:v>2.4190999194755007</c:v>
                </c:pt>
                <c:pt idx="197">
                  <c:v>2.3605728195648652</c:v>
                </c:pt>
                <c:pt idx="198">
                  <c:v>2.3011528893042206</c:v>
                </c:pt>
                <c:pt idx="199">
                  <c:v>2.242120413280821</c:v>
                </c:pt>
                <c:pt idx="200">
                  <c:v>2.1834699226351342</c:v>
                </c:pt>
                <c:pt idx="201">
                  <c:v>2.1251960586432181</c:v>
                </c:pt>
                <c:pt idx="202">
                  <c:v>2.0660568284399226</c:v>
                </c:pt>
                <c:pt idx="203">
                  <c:v>2.0072995768676809</c:v>
                </c:pt>
                <c:pt idx="204">
                  <c:v>1.948918931224441</c:v>
                </c:pt>
                <c:pt idx="205">
                  <c:v>1.8909096268945647</c:v>
                </c:pt>
                <c:pt idx="206">
                  <c:v>1.8318602068805836</c:v>
                </c:pt>
                <c:pt idx="207">
                  <c:v>1.7731896779286238</c:v>
                </c:pt>
                <c:pt idx="208">
                  <c:v>1.7148927144311905</c:v>
                </c:pt>
                <c:pt idx="209">
                  <c:v>1.6569640981058784</c:v>
                </c:pt>
                <c:pt idx="210">
                  <c:v>1.597832010664427</c:v>
                </c:pt>
                <c:pt idx="211">
                  <c:v>1.5390778311007638</c:v>
                </c:pt>
                <c:pt idx="212">
                  <c:v>1.4806962378248547</c:v>
                </c:pt>
                <c:pt idx="213">
                  <c:v>1.4226820169466559</c:v>
                </c:pt>
                <c:pt idx="214">
                  <c:v>1.3638844991843442</c:v>
                </c:pt>
                <c:pt idx="215">
                  <c:v>1.3054585204762841</c:v>
                </c:pt>
                <c:pt idx="216">
                  <c:v>1.2473988775127767</c:v>
                </c:pt>
                <c:pt idx="217">
                  <c:v>1.1897004719700413</c:v>
                </c:pt>
                <c:pt idx="218">
                  <c:v>1.1310549470606275</c:v>
                </c:pt>
                <c:pt idx="219">
                  <c:v>1.0727768568819509</c:v>
                </c:pt>
                <c:pt idx="220">
                  <c:v>1.0148610698798395</c:v>
                </c:pt>
                <c:pt idx="221">
                  <c:v>0.95730255800024522</c:v>
                </c:pt>
                <c:pt idx="222">
                  <c:v>0.89882507510368181</c:v>
                </c:pt>
                <c:pt idx="223">
                  <c:v>0.84071066736383215</c:v>
                </c:pt>
                <c:pt idx="224">
                  <c:v>0.7829542812856255</c:v>
                </c:pt>
                <c:pt idx="225">
                  <c:v>0.72555096520054818</c:v>
                </c:pt>
                <c:pt idx="226">
                  <c:v>0.66707833883049461</c:v>
                </c:pt>
                <c:pt idx="227">
                  <c:v>0.60896638430315186</c:v>
                </c:pt>
                <c:pt idx="228">
                  <c:v>0.55121008647581526</c:v>
                </c:pt>
                <c:pt idx="229">
                  <c:v>0.49380453140558506</c:v>
                </c:pt>
                <c:pt idx="230">
                  <c:v>0.37727676101943741</c:v>
                </c:pt>
                <c:pt idx="231">
                  <c:v>0.31954473525047533</c:v>
                </c:pt>
                <c:pt idx="232">
                  <c:v>0.2621607590416366</c:v>
                </c:pt>
                <c:pt idx="233">
                  <c:v>0.20377011360108177</c:v>
                </c:pt>
                <c:pt idx="234">
                  <c:v>0.1457342257754948</c:v>
                </c:pt>
                <c:pt idx="235">
                  <c:v>8.8048183206303005E-2</c:v>
                </c:pt>
                <c:pt idx="236">
                  <c:v>3.0707172737955948E-2</c:v>
                </c:pt>
                <c:pt idx="237">
                  <c:v>-2.7446567836060073E-2</c:v>
                </c:pt>
                <c:pt idx="238">
                  <c:v>-8.5250950966388905E-2</c:v>
                </c:pt>
                <c:pt idx="239">
                  <c:v>-0.14271078576485272</c:v>
                </c:pt>
                <c:pt idx="240">
                  <c:v>-0.19983078454864664</c:v>
                </c:pt>
                <c:pt idx="241">
                  <c:v>-0.25806309416928469</c:v>
                </c:pt>
                <c:pt idx="242">
                  <c:v>-0.31594770543561657</c:v>
                </c:pt>
                <c:pt idx="243">
                  <c:v>-0.3734894003908707</c:v>
                </c:pt>
                <c:pt idx="244">
                  <c:v>-0.43069286466345136</c:v>
                </c:pt>
                <c:pt idx="245">
                  <c:v>-0.48881921886441704</c:v>
                </c:pt>
                <c:pt idx="246">
                  <c:v>-0.54660178756282674</c:v>
                </c:pt>
                <c:pt idx="247">
                  <c:v>-0.60404527847581868</c:v>
                </c:pt>
                <c:pt idx="248">
                  <c:v>-0.66115430456079327</c:v>
                </c:pt>
                <c:pt idx="249">
                  <c:v>-0.71931415780192176</c:v>
                </c:pt>
                <c:pt idx="250">
                  <c:v>-0.77713253707607843</c:v>
                </c:pt>
                <c:pt idx="251">
                  <c:v>-0.83461410764931576</c:v>
                </c:pt>
                <c:pt idx="252">
                  <c:v>-0.8917634408389673</c:v>
                </c:pt>
                <c:pt idx="253">
                  <c:v>-0.94978407985317603</c:v>
                </c:pt>
                <c:pt idx="254">
                  <c:v>-1.0074676151646149</c:v>
                </c:pt>
                <c:pt idx="255">
                  <c:v>-1.0648186267015527</c:v>
                </c:pt>
                <c:pt idx="256">
                  <c:v>-1.1218416024090323</c:v>
                </c:pt>
                <c:pt idx="257">
                  <c:v>-1.1800055734664536</c:v>
                </c:pt>
                <c:pt idx="258">
                  <c:v>-1.2378335742701547</c:v>
                </c:pt>
                <c:pt idx="259">
                  <c:v>-1.2953301642665211</c:v>
                </c:pt>
                <c:pt idx="260">
                  <c:v>-1.3524998111580175</c:v>
                </c:pt>
                <c:pt idx="261">
                  <c:v>-1.4106351573873206</c:v>
                </c:pt>
                <c:pt idx="262">
                  <c:v>-1.4684376993494386</c:v>
                </c:pt>
                <c:pt idx="263">
                  <c:v>-1.5259119337714337</c:v>
                </c:pt>
                <c:pt idx="264">
                  <c:v>-1.5830622670097758</c:v>
                </c:pt>
                <c:pt idx="265">
                  <c:v>-1.641152325680044</c:v>
                </c:pt>
                <c:pt idx="266">
                  <c:v>-1.6989129596835406</c:v>
                </c:pt>
                <c:pt idx="267">
                  <c:v>-1.7563485978366029</c:v>
                </c:pt>
                <c:pt idx="268">
                  <c:v>-1.8134635801014607</c:v>
                </c:pt>
                <c:pt idx="269">
                  <c:v>-1.8716302276223828</c:v>
                </c:pt>
                <c:pt idx="270">
                  <c:v>-1.9294694799932794</c:v>
                </c:pt>
                <c:pt idx="271">
                  <c:v>-1.9869857242869253</c:v>
                </c:pt>
                <c:pt idx="272">
                  <c:v>-2.0441832595444915</c:v>
                </c:pt>
                <c:pt idx="273">
                  <c:v>-2.1024041178076303</c:v>
                </c:pt>
                <c:pt idx="274">
                  <c:v>-2.1602998981507975</c:v>
                </c:pt>
                <c:pt idx="275">
                  <c:v>-2.2178749390630288</c:v>
                </c:pt>
                <c:pt idx="276">
                  <c:v>-2.2751334920100335</c:v>
                </c:pt>
                <c:pt idx="277">
                  <c:v>-2.3332573600631519</c:v>
                </c:pt>
                <c:pt idx="278">
                  <c:v>-2.391060161381978</c:v>
                </c:pt>
                <c:pt idx="279">
                  <c:v>-2.4485461511934301</c:v>
                </c:pt>
                <c:pt idx="280">
                  <c:v>-2.5057194996353687</c:v>
                </c:pt>
                <c:pt idx="281">
                  <c:v>-2.5641203951198692</c:v>
                </c:pt>
                <c:pt idx="282">
                  <c:v>-2.6222001331975573</c:v>
                </c:pt>
                <c:pt idx="283">
                  <c:v>-2.67996296608493</c:v>
                </c:pt>
                <c:pt idx="284">
                  <c:v>-2.7374130607103551</c:v>
                </c:pt>
                <c:pt idx="285">
                  <c:v>-2.7956816854631428</c:v>
                </c:pt>
                <c:pt idx="286">
                  <c:v>-2.8536335685552672</c:v>
                </c:pt>
                <c:pt idx="287">
                  <c:v>-2.9112728690112371</c:v>
                </c:pt>
                <c:pt idx="288">
                  <c:v>-2.9686036627700818</c:v>
                </c:pt>
                <c:pt idx="289">
                  <c:v>-3.0271007582193361</c:v>
                </c:pt>
                <c:pt idx="290">
                  <c:v>-3.0852816141034607</c:v>
                </c:pt>
                <c:pt idx="291">
                  <c:v>-3.143150372110167</c:v>
                </c:pt>
                <c:pt idx="292">
                  <c:v>-3.2007110910296488</c:v>
                </c:pt>
                <c:pt idx="293">
                  <c:v>-3.2592873436819527</c:v>
                </c:pt>
                <c:pt idx="294">
                  <c:v>-3.3175494943279653</c:v>
                </c:pt>
                <c:pt idx="295">
                  <c:v>-3.3755016339761115</c:v>
                </c:pt>
                <c:pt idx="296">
                  <c:v>-3.4331477718134735</c:v>
                </c:pt>
                <c:pt idx="297">
                  <c:v>-3.4917836247253082</c:v>
                </c:pt>
                <c:pt idx="298">
                  <c:v>-3.5501077227082085</c:v>
                </c:pt>
                <c:pt idx="299">
                  <c:v>-3.6081241008382308</c:v>
                </c:pt>
                <c:pt idx="300">
                  <c:v>-3.6658367135884036</c:v>
                </c:pt>
                <c:pt idx="301">
                  <c:v>-3.724514233278557</c:v>
                </c:pt>
                <c:pt idx="302">
                  <c:v>-3.7828825246847293</c:v>
                </c:pt>
                <c:pt idx="303">
                  <c:v>-3.8409455623484954</c:v>
                </c:pt>
                <c:pt idx="304">
                  <c:v>-3.8987072415515431</c:v>
                </c:pt>
                <c:pt idx="305">
                  <c:v>-3.9576351668356025</c:v>
                </c:pt>
                <c:pt idx="306">
                  <c:v>-4.0162541946976607</c:v>
                </c:pt>
                <c:pt idx="307">
                  <c:v>-4.0745682799906762</c:v>
                </c:pt>
                <c:pt idx="308">
                  <c:v>-4.1325812985711892</c:v>
                </c:pt>
                <c:pt idx="309">
                  <c:v>-4.1915101106084958</c:v>
                </c:pt>
                <c:pt idx="310">
                  <c:v>-4.2501329574855911</c:v>
                </c:pt>
                <c:pt idx="311">
                  <c:v>-4.308453723260838</c:v>
                </c:pt>
                <c:pt idx="312">
                  <c:v>-4.3664762146193201</c:v>
                </c:pt>
                <c:pt idx="313">
                  <c:v>-4.4256085129765284</c:v>
                </c:pt>
                <c:pt idx="314">
                  <c:v>-4.4844356558247576</c:v>
                </c:pt>
                <c:pt idx="315">
                  <c:v>-4.542961495462043</c:v>
                </c:pt>
                <c:pt idx="316">
                  <c:v>-4.6011898074076027</c:v>
                </c:pt>
                <c:pt idx="317">
                  <c:v>-4.6605001336167815</c:v>
                </c:pt>
                <c:pt idx="318">
                  <c:v>-4.7195063664500347</c:v>
                </c:pt>
                <c:pt idx="319">
                  <c:v>-4.7782123201289597</c:v>
                </c:pt>
                <c:pt idx="320">
                  <c:v>-4.8366217328648879</c:v>
                </c:pt>
                <c:pt idx="321">
                  <c:v>-4.896086360375703</c:v>
                </c:pt>
                <c:pt idx="322">
                  <c:v>-4.9552481778019448</c:v>
                </c:pt>
                <c:pt idx="323">
                  <c:v>-5.0141109556498602</c:v>
                </c:pt>
                <c:pt idx="324">
                  <c:v>-5.0726783893416902</c:v>
                </c:pt>
                <c:pt idx="325">
                  <c:v>-5.1322751867338443</c:v>
                </c:pt>
                <c:pt idx="326">
                  <c:v>-5.1915706489632729</c:v>
                </c:pt>
                <c:pt idx="327">
                  <c:v>-5.2505684978384783</c:v>
                </c:pt>
                <c:pt idx="328">
                  <c:v>-5.3092723811520575</c:v>
                </c:pt>
                <c:pt idx="329">
                  <c:v>-5.3690802755436255</c:v>
                </c:pt>
                <c:pt idx="330">
                  <c:v>-5.428587476692682</c:v>
                </c:pt>
                <c:pt idx="331">
                  <c:v>-5.4877976716107382</c:v>
                </c:pt>
                <c:pt idx="332">
                  <c:v>-5.5467144740060608</c:v>
                </c:pt>
                <c:pt idx="333">
                  <c:v>-5.6066106099381159</c:v>
                </c:pt>
                <c:pt idx="334">
                  <c:v>-5.6662078806498855</c:v>
                </c:pt>
                <c:pt idx="335">
                  <c:v>-5.7255099152192948</c:v>
                </c:pt>
                <c:pt idx="336">
                  <c:v>-5.7845202707583763</c:v>
                </c:pt>
                <c:pt idx="337">
                  <c:v>-5.8446781137495201</c:v>
                </c:pt>
                <c:pt idx="338">
                  <c:v>-5.9045371395892534</c:v>
                </c:pt>
                <c:pt idx="339">
                  <c:v>-5.9641009503238829</c:v>
                </c:pt>
                <c:pt idx="340">
                  <c:v>-6.0233730765724802</c:v>
                </c:pt>
                <c:pt idx="341">
                  <c:v>-6.0837645755603607</c:v>
                </c:pt>
                <c:pt idx="342">
                  <c:v>-6.1438575370231954</c:v>
                </c:pt>
                <c:pt idx="343">
                  <c:v>-6.2036555301396836</c:v>
                </c:pt>
                <c:pt idx="344">
                  <c:v>-6.2631620533727128</c:v>
                </c:pt>
                <c:pt idx="345">
                  <c:v>-6.3236687213318312</c:v>
                </c:pt>
                <c:pt idx="346">
                  <c:v>-6.3838782357222401</c:v>
                </c:pt>
                <c:pt idx="347">
                  <c:v>-6.4437941117538777</c:v>
                </c:pt>
                <c:pt idx="348">
                  <c:v>-6.5034197952085684</c:v>
                </c:pt>
                <c:pt idx="349">
                  <c:v>-6.5642023987244302</c:v>
                </c:pt>
                <c:pt idx="350">
                  <c:v>-6.624687585663585</c:v>
                </c:pt>
                <c:pt idx="351">
                  <c:v>-6.684878845056442</c:v>
                </c:pt>
                <c:pt idx="352">
                  <c:v>-6.7447795970870148</c:v>
                </c:pt>
                <c:pt idx="353">
                  <c:v>-6.8058090935127469</c:v>
                </c:pt>
                <c:pt idx="354">
                  <c:v>-6.8665411260533382</c:v>
                </c:pt>
                <c:pt idx="355">
                  <c:v>-6.9269791522261661</c:v>
                </c:pt>
                <c:pt idx="356">
                  <c:v>-6.9871265614512517</c:v>
                </c:pt>
                <c:pt idx="357">
                  <c:v>-7.0482885909975295</c:v>
                </c:pt>
                <c:pt idx="358">
                  <c:v>-7.1091541380557279</c:v>
                </c:pt>
                <c:pt idx="359">
                  <c:v>-7.1697266095530399</c:v>
                </c:pt>
                <c:pt idx="360">
                  <c:v>-7.230009345596482</c:v>
                </c:pt>
                <c:pt idx="361">
                  <c:v>-7.2914529353490432</c:v>
                </c:pt>
                <c:pt idx="362">
                  <c:v>-7.3525994919350479</c:v>
                </c:pt>
                <c:pt idx="363">
                  <c:v>-7.4134523968848409</c:v>
                </c:pt>
                <c:pt idx="364">
                  <c:v>-7.4740149655609223</c:v>
                </c:pt>
                <c:pt idx="365">
                  <c:v>-7.5356266678632888</c:v>
                </c:pt>
                <c:pt idx="366">
                  <c:v>-7.5969417881439245</c:v>
                </c:pt>
                <c:pt idx="367">
                  <c:v>-7.6579636643545603</c:v>
                </c:pt>
                <c:pt idx="368">
                  <c:v>-7.7186955694393067</c:v>
                </c:pt>
                <c:pt idx="369">
                  <c:v>-7.7806154253766682</c:v>
                </c:pt>
                <c:pt idx="370">
                  <c:v>-7.8422377054688859</c:v>
                </c:pt>
                <c:pt idx="371">
                  <c:v>-7.903565727385554</c:v>
                </c:pt>
                <c:pt idx="372">
                  <c:v>-7.9646027443840737</c:v>
                </c:pt>
                <c:pt idx="373">
                  <c:v>-8.0267183306610654</c:v>
                </c:pt>
                <c:pt idx="374">
                  <c:v>-8.0885363228136562</c:v>
                </c:pt>
                <c:pt idx="375">
                  <c:v>-8.1500600009889652</c:v>
                </c:pt>
                <c:pt idx="376">
                  <c:v>-8.2112925820035674</c:v>
                </c:pt>
                <c:pt idx="377">
                  <c:v>-8.273735490400167</c:v>
                </c:pt>
                <c:pt idx="378">
                  <c:v>-8.3358794187529597</c:v>
                </c:pt>
                <c:pt idx="379">
                  <c:v>-8.3977276313987481</c:v>
                </c:pt>
                <c:pt idx="380">
                  <c:v>-8.4592833299127221</c:v>
                </c:pt>
                <c:pt idx="381">
                  <c:v>-8.5218648864337645</c:v>
                </c:pt>
                <c:pt idx="382">
                  <c:v>-8.5841477644833137</c:v>
                </c:pt>
                <c:pt idx="383">
                  <c:v>-8.6461351844499035</c:v>
                </c:pt>
                <c:pt idx="384">
                  <c:v>-8.7078303052933048</c:v>
                </c:pt>
                <c:pt idx="385">
                  <c:v>-8.7707544118739289</c:v>
                </c:pt>
                <c:pt idx="386">
                  <c:v>-8.833378077889682</c:v>
                </c:pt>
                <c:pt idx="387">
                  <c:v>-8.8957045126725323</c:v>
                </c:pt>
                <c:pt idx="388">
                  <c:v>-8.957736864672027</c:v>
                </c:pt>
                <c:pt idx="389">
                  <c:v>-9.0208933111059917</c:v>
                </c:pt>
                <c:pt idx="390">
                  <c:v>-9.083748483699976</c:v>
                </c:pt>
                <c:pt idx="391">
                  <c:v>-9.1463055654533871</c:v>
                </c:pt>
                <c:pt idx="392">
                  <c:v>-9.2085676794667908</c:v>
                </c:pt>
                <c:pt idx="393">
                  <c:v>-9.2719263283935032</c:v>
                </c:pt>
                <c:pt idx="394">
                  <c:v>-9.3349830300071179</c:v>
                </c:pt>
                <c:pt idx="395">
                  <c:v>-9.397740938482892</c:v>
                </c:pt>
                <c:pt idx="396">
                  <c:v>-9.4602031491922567</c:v>
                </c:pt>
                <c:pt idx="397">
                  <c:v>-9.5238784052076753</c:v>
                </c:pt>
                <c:pt idx="398">
                  <c:v>-9.5872498229773591</c:v>
                </c:pt>
                <c:pt idx="399">
                  <c:v>-9.6503205469774151</c:v>
                </c:pt>
                <c:pt idx="400">
                  <c:v>-9.7130936635540941</c:v>
                </c:pt>
                <c:pt idx="401">
                  <c:v>-9.7769791766209106</c:v>
                </c:pt>
                <c:pt idx="402">
                  <c:v>-9.8405598425109471</c:v>
                </c:pt>
                <c:pt idx="403">
                  <c:v>-9.903838782621607</c:v>
                </c:pt>
                <c:pt idx="404">
                  <c:v>-9.9668190612766665</c:v>
                </c:pt>
                <c:pt idx="405">
                  <c:v>-10.030953160016971</c:v>
                </c:pt>
                <c:pt idx="406">
                  <c:v>-10.094780905510511</c:v>
                </c:pt>
                <c:pt idx="407">
                  <c:v>-10.158305404317478</c:v>
                </c:pt>
                <c:pt idx="408">
                  <c:v>-10.221529706831138</c:v>
                </c:pt>
                <c:pt idx="409">
                  <c:v>-10.285946638214796</c:v>
                </c:pt>
                <c:pt idx="410">
                  <c:v>-10.350055251119286</c:v>
                </c:pt>
                <c:pt idx="411">
                  <c:v>-10.413858644959564</c:v>
                </c:pt>
                <c:pt idx="412">
                  <c:v>-10.477359863758744</c:v>
                </c:pt>
                <c:pt idx="413">
                  <c:v>-10.542023541250973</c:v>
                </c:pt>
                <c:pt idx="414">
                  <c:v>-10.606377147244448</c:v>
                </c:pt>
                <c:pt idx="415">
                  <c:v>-10.670423771770544</c:v>
                </c:pt>
                <c:pt idx="416">
                  <c:v>-10.734166450349083</c:v>
                </c:pt>
                <c:pt idx="417">
                  <c:v>-10.799107279496054</c:v>
                </c:pt>
                <c:pt idx="418">
                  <c:v>-10.863735861647413</c:v>
                </c:pt>
                <c:pt idx="419">
                  <c:v>-10.928055284952498</c:v>
                </c:pt>
                <c:pt idx="420">
                  <c:v>-10.992068583803478</c:v>
                </c:pt>
                <c:pt idx="421">
                  <c:v>-11.057185417699994</c:v>
                </c:pt>
                <c:pt idx="422">
                  <c:v>-11.121988671192579</c:v>
                </c:pt>
                <c:pt idx="423">
                  <c:v>-11.18648141960853</c:v>
                </c:pt>
                <c:pt idx="424">
                  <c:v>-11.250666685569371</c:v>
                </c:pt>
                <c:pt idx="425">
                  <c:v>-11.316115495668077</c:v>
                </c:pt>
                <c:pt idx="426">
                  <c:v>-11.381247765925039</c:v>
                </c:pt>
                <c:pt idx="427">
                  <c:v>-11.446066584413131</c:v>
                </c:pt>
                <c:pt idx="428">
                  <c:v>-11.510574987011676</c:v>
                </c:pt>
                <c:pt idx="429">
                  <c:v>-11.576252494321411</c:v>
                </c:pt>
                <c:pt idx="430">
                  <c:v>-11.641611374425578</c:v>
                </c:pt>
                <c:pt idx="431">
                  <c:v>-11.706654717260056</c:v>
                </c:pt>
                <c:pt idx="432">
                  <c:v>-11.771385561366785</c:v>
                </c:pt>
                <c:pt idx="433">
                  <c:v>-11.837255100502414</c:v>
                </c:pt>
                <c:pt idx="434">
                  <c:v>-11.902804164694512</c:v>
                </c:pt>
                <c:pt idx="435">
                  <c:v>-11.96803584447421</c:v>
                </c:pt>
                <c:pt idx="436">
                  <c:v>-12.032953179837229</c:v>
                </c:pt>
                <c:pt idx="437">
                  <c:v>-12.099097855604589</c:v>
                </c:pt>
                <c:pt idx="438">
                  <c:v>-12.164919290911092</c:v>
                </c:pt>
                <c:pt idx="439">
                  <c:v>-12.230420592507187</c:v>
                </c:pt>
                <c:pt idx="440">
                  <c:v>-12.295604817155297</c:v>
                </c:pt>
                <c:pt idx="441">
                  <c:v>-12.36198391696645</c:v>
                </c:pt>
                <c:pt idx="442">
                  <c:v>-12.428037301774301</c:v>
                </c:pt>
                <c:pt idx="443">
                  <c:v>-12.493768092902933</c:v>
                </c:pt>
                <c:pt idx="444">
                  <c:v>-12.559179362296678</c:v>
                </c:pt>
                <c:pt idx="445">
                  <c:v>-12.625753785507673</c:v>
                </c:pt>
                <c:pt idx="446">
                  <c:v>-12.692000306736643</c:v>
                </c:pt>
                <c:pt idx="447">
                  <c:v>-12.757922060531239</c:v>
                </c:pt>
                <c:pt idx="448">
                  <c:v>-12.823522132711405</c:v>
                </c:pt>
                <c:pt idx="449">
                  <c:v>-12.890365978923677</c:v>
                </c:pt>
                <c:pt idx="450">
                  <c:v>-12.956878919715226</c:v>
                </c:pt>
                <c:pt idx="451">
                  <c:v>-13.023064117477485</c:v>
                </c:pt>
                <c:pt idx="452">
                  <c:v>-13.088924686235037</c:v>
                </c:pt>
                <c:pt idx="453">
                  <c:v>-13.155940799319463</c:v>
                </c:pt>
                <c:pt idx="454">
                  <c:v>-13.222623884842976</c:v>
                </c:pt>
                <c:pt idx="455">
                  <c:v>-13.288977123535243</c:v>
                </c:pt>
                <c:pt idx="456">
                  <c:v>-13.355003648316487</c:v>
                </c:pt>
                <c:pt idx="457">
                  <c:v>-13.422261873308752</c:v>
                </c:pt>
                <c:pt idx="458">
                  <c:v>-13.489184189726199</c:v>
                </c:pt>
                <c:pt idx="459">
                  <c:v>-13.555773810732381</c:v>
                </c:pt>
                <c:pt idx="460">
                  <c:v>-13.622033901951978</c:v>
                </c:pt>
                <c:pt idx="461">
                  <c:v>-13.689492174898595</c:v>
                </c:pt>
                <c:pt idx="462">
                  <c:v>-13.756612020554881</c:v>
                </c:pt>
                <c:pt idx="463">
                  <c:v>-13.823396682702704</c:v>
                </c:pt>
                <c:pt idx="464">
                  <c:v>-13.889849357880868</c:v>
                </c:pt>
                <c:pt idx="465">
                  <c:v>-13.957519055317144</c:v>
                </c:pt>
                <c:pt idx="466">
                  <c:v>-14.024847649520449</c:v>
                </c:pt>
                <c:pt idx="467">
                  <c:v>-14.091838420621306</c:v>
                </c:pt>
                <c:pt idx="468">
                  <c:v>-14.158494601672922</c:v>
                </c:pt>
                <c:pt idx="469">
                  <c:v>-14.226334411111171</c:v>
                </c:pt>
                <c:pt idx="470">
                  <c:v>-14.29383082731942</c:v>
                </c:pt>
                <c:pt idx="471">
                  <c:v>-14.360987164770233</c:v>
                </c:pt>
                <c:pt idx="472">
                  <c:v>-14.427806691035507</c:v>
                </c:pt>
                <c:pt idx="473">
                  <c:v>-14.495876299740726</c:v>
                </c:pt>
                <c:pt idx="474">
                  <c:v>-14.563599605432385</c:v>
                </c:pt>
                <c:pt idx="475">
                  <c:v>-14.630979969507116</c:v>
                </c:pt>
                <c:pt idx="476">
                  <c:v>-14.69802070636705</c:v>
                </c:pt>
                <c:pt idx="477">
                  <c:v>-14.766276883713678</c:v>
                </c:pt>
                <c:pt idx="478">
                  <c:v>-14.834184282797626</c:v>
                </c:pt>
                <c:pt idx="479">
                  <c:v>-14.901746309322807</c:v>
                </c:pt>
                <c:pt idx="480">
                  <c:v>-14.968966321913779</c:v>
                </c:pt>
                <c:pt idx="481">
                  <c:v>-15.03736807146738</c:v>
                </c:pt>
                <c:pt idx="482">
                  <c:v>-15.10541899971078</c:v>
                </c:pt>
                <c:pt idx="483">
                  <c:v>-15.1731225539835</c:v>
                </c:pt>
                <c:pt idx="484">
                  <c:v>-15.240482134460754</c:v>
                </c:pt>
                <c:pt idx="485">
                  <c:v>-15.309037247050753</c:v>
                </c:pt>
                <c:pt idx="486">
                  <c:v>-15.37723944628234</c:v>
                </c:pt>
                <c:pt idx="487">
                  <c:v>-15.445092225451273</c:v>
                </c:pt>
                <c:pt idx="488">
                  <c:v>-15.512599030469399</c:v>
                </c:pt>
                <c:pt idx="489">
                  <c:v>-15.581359347204394</c:v>
                </c:pt>
                <c:pt idx="490">
                  <c:v>-15.649764169486978</c:v>
                </c:pt>
                <c:pt idx="491">
                  <c:v>-15.717817047464591</c:v>
                </c:pt>
                <c:pt idx="492">
                  <c:v>-15.785521483424386</c:v>
                </c:pt>
                <c:pt idx="493">
                  <c:v>-15.854444393063041</c:v>
                </c:pt>
                <c:pt idx="494">
                  <c:v>-15.923009725038362</c:v>
                </c:pt>
                <c:pt idx="495">
                  <c:v>-15.991221082542914</c:v>
                </c:pt>
                <c:pt idx="496">
                  <c:v>-16.059082020435838</c:v>
                </c:pt>
                <c:pt idx="497">
                  <c:v>-16.128171197333714</c:v>
                </c:pt>
                <c:pt idx="498">
                  <c:v>-16.19690075138552</c:v>
                </c:pt>
                <c:pt idx="499">
                  <c:v>-16.26527434177143</c:v>
                </c:pt>
                <c:pt idx="500">
                  <c:v>-16.333295578741915</c:v>
                </c:pt>
                <c:pt idx="501">
                  <c:v>-16.402553625406149</c:v>
                </c:pt>
                <c:pt idx="502">
                  <c:v>-16.471450068848561</c:v>
                </c:pt>
                <c:pt idx="503">
                  <c:v>-16.539988626698143</c:v>
                </c:pt>
                <c:pt idx="504">
                  <c:v>-16.608172966939264</c:v>
                </c:pt>
                <c:pt idx="505">
                  <c:v>-16.677559599201498</c:v>
                </c:pt>
                <c:pt idx="506">
                  <c:v>-16.74658317632737</c:v>
                </c:pt>
                <c:pt idx="507">
                  <c:v>-16.815247469545859</c:v>
                </c:pt>
                <c:pt idx="508">
                  <c:v>-16.883556199734066</c:v>
                </c:pt>
                <c:pt idx="509">
                  <c:v>-16.953074934960075</c:v>
                </c:pt>
                <c:pt idx="510">
                  <c:v>-17.022229252048241</c:v>
                </c:pt>
                <c:pt idx="511">
                  <c:v>-17.09102297752445</c:v>
                </c:pt>
                <c:pt idx="512">
                  <c:v>-17.159459886743992</c:v>
                </c:pt>
                <c:pt idx="513">
                  <c:v>-17.229153766707679</c:v>
                </c:pt>
                <c:pt idx="514">
                  <c:v>-17.298481555620629</c:v>
                </c:pt>
                <c:pt idx="515">
                  <c:v>-17.367447143199733</c:v>
                </c:pt>
                <c:pt idx="516">
                  <c:v>-17.436054366948383</c:v>
                </c:pt>
                <c:pt idx="517">
                  <c:v>-17.505883678853877</c:v>
                </c:pt>
                <c:pt idx="518">
                  <c:v>-17.575345798496755</c:v>
                </c:pt>
                <c:pt idx="519">
                  <c:v>-17.644444672574831</c:v>
                </c:pt>
                <c:pt idx="520">
                  <c:v>-17.713184194555062</c:v>
                </c:pt>
                <c:pt idx="521">
                  <c:v>-17.783150741642977</c:v>
                </c:pt>
                <c:pt idx="522">
                  <c:v>-17.852749147389165</c:v>
                </c:pt>
                <c:pt idx="523">
                  <c:v>-17.921983415634973</c:v>
                </c:pt>
                <c:pt idx="524">
                  <c:v>-17.990857495884761</c:v>
                </c:pt>
                <c:pt idx="525">
                  <c:v>-18.060962754970337</c:v>
                </c:pt>
                <c:pt idx="526">
                  <c:v>-18.130699093450676</c:v>
                </c:pt>
                <c:pt idx="527">
                  <c:v>-18.200070571963245</c:v>
                </c:pt>
                <c:pt idx="528">
                  <c:v>-18.269081195622494</c:v>
                </c:pt>
                <c:pt idx="529">
                  <c:v>-18.339326437217682</c:v>
                </c:pt>
                <c:pt idx="530">
                  <c:v>-18.4092021646006</c:v>
                </c:pt>
                <c:pt idx="531">
                  <c:v>-18.478712494352976</c:v>
                </c:pt>
                <c:pt idx="532">
                  <c:v>-18.54786148627716</c:v>
                </c:pt>
                <c:pt idx="533">
                  <c:v>-18.61828412960131</c:v>
                </c:pt>
                <c:pt idx="534">
                  <c:v>-18.688336484826905</c:v>
                </c:pt>
                <c:pt idx="535">
                  <c:v>-18.758022729550778</c:v>
                </c:pt>
                <c:pt idx="536">
                  <c:v>-18.827346983154676</c:v>
                </c:pt>
                <c:pt idx="537">
                  <c:v>-18.897874982739371</c:v>
                </c:pt>
                <c:pt idx="538">
                  <c:v>-18.968032900241273</c:v>
                </c:pt>
                <c:pt idx="539">
                  <c:v>-19.037824959483746</c:v>
                </c:pt>
                <c:pt idx="540">
                  <c:v>-19.107255324829882</c:v>
                </c:pt>
                <c:pt idx="541">
                  <c:v>-19.17796174692721</c:v>
                </c:pt>
                <c:pt idx="542">
                  <c:v>-19.248297763056804</c:v>
                </c:pt>
                <c:pt idx="543">
                  <c:v>-19.318267653789604</c:v>
                </c:pt>
                <c:pt idx="544">
                  <c:v>-19.387875638712384</c:v>
                </c:pt>
                <c:pt idx="545">
                  <c:v>-19.458725791785778</c:v>
                </c:pt>
                <c:pt idx="546">
                  <c:v>-19.529205824321679</c:v>
                </c:pt>
                <c:pt idx="547">
                  <c:v>-19.599320064414552</c:v>
                </c:pt>
                <c:pt idx="548">
                  <c:v>-19.669072777744926</c:v>
                </c:pt>
                <c:pt idx="549">
                  <c:v>-19.740068493107831</c:v>
                </c:pt>
                <c:pt idx="550">
                  <c:v>-19.810694608586893</c:v>
                </c:pt>
                <c:pt idx="551">
                  <c:v>-19.880955496621947</c:v>
                </c:pt>
                <c:pt idx="552">
                  <c:v>-19.950855465793932</c:v>
                </c:pt>
                <c:pt idx="553">
                  <c:v>-20.022031582317194</c:v>
                </c:pt>
                <c:pt idx="554">
                  <c:v>-20.092838521182216</c:v>
                </c:pt>
                <c:pt idx="555">
                  <c:v>-20.163280701645711</c:v>
                </c:pt>
                <c:pt idx="556">
                  <c:v>-20.233362477538176</c:v>
                </c:pt>
                <c:pt idx="557">
                  <c:v>-20.375708225406871</c:v>
                </c:pt>
                <c:pt idx="558">
                  <c:v>-20.516597795421276</c:v>
                </c:pt>
                <c:pt idx="559">
                  <c:v>-20.659246494043497</c:v>
                </c:pt>
                <c:pt idx="560">
                  <c:v>-20.80044423868442</c:v>
                </c:pt>
                <c:pt idx="561">
                  <c:v>-20.943525697155106</c:v>
                </c:pt>
                <c:pt idx="562">
                  <c:v>-21.085159906817708</c:v>
                </c:pt>
                <c:pt idx="563">
                  <c:v>-21.228376145325246</c:v>
                </c:pt>
                <c:pt idx="564">
                  <c:v>-21.370155915763796</c:v>
                </c:pt>
                <c:pt idx="565">
                  <c:v>-21.514055836408588</c:v>
                </c:pt>
                <c:pt idx="566">
                  <c:v>-21.656520230555572</c:v>
                </c:pt>
                <c:pt idx="567">
                  <c:v>-21.801036415017716</c:v>
                </c:pt>
                <c:pt idx="568">
                  <c:v>-21.944120563519899</c:v>
                </c:pt>
                <c:pt idx="569">
                  <c:v>-22.088628579633379</c:v>
                </c:pt>
                <c:pt idx="570">
                  <c:v>-22.231721406479</c:v>
                </c:pt>
                <c:pt idx="571">
                  <c:v>-22.377306010029365</c:v>
                </c:pt>
                <c:pt idx="572">
                  <c:v>-22.521472233810837</c:v>
                </c:pt>
                <c:pt idx="573">
                  <c:v>-22.666968191186179</c:v>
                </c:pt>
                <c:pt idx="574">
                  <c:v>-22.811066218299455</c:v>
                </c:pt>
                <c:pt idx="575">
                  <c:v>-22.95752649031952</c:v>
                </c:pt>
                <c:pt idx="576">
                  <c:v>-23.102590140939046</c:v>
                </c:pt>
                <c:pt idx="577">
                  <c:v>-23.702070274612389</c:v>
                </c:pt>
                <c:pt idx="578">
                  <c:v>-24.279667926399338</c:v>
                </c:pt>
                <c:pt idx="579">
                  <c:v>-25.479178921996034</c:v>
                </c:pt>
                <c:pt idx="580">
                  <c:v>-26.708386381623267</c:v>
                </c:pt>
                <c:pt idx="581">
                  <c:v>-27.971250826710499</c:v>
                </c:pt>
                <c:pt idx="582">
                  <c:v>-29.274464739491624</c:v>
                </c:pt>
                <c:pt idx="583">
                  <c:v>-30.622854525215967</c:v>
                </c:pt>
                <c:pt idx="584">
                  <c:v>-32.022882355070358</c:v>
                </c:pt>
                <c:pt idx="585">
                  <c:v>-33.478607039663181</c:v>
                </c:pt>
                <c:pt idx="586">
                  <c:v>-34.99424998015327</c:v>
                </c:pt>
                <c:pt idx="587">
                  <c:v>-36.573693054941501</c:v>
                </c:pt>
                <c:pt idx="588">
                  <c:v>-38.217337241720706</c:v>
                </c:pt>
                <c:pt idx="589">
                  <c:v>-39.927214983374661</c:v>
                </c:pt>
                <c:pt idx="590">
                  <c:v>-41.70225404845597</c:v>
                </c:pt>
                <c:pt idx="591">
                  <c:v>-43.54104985355562</c:v>
                </c:pt>
                <c:pt idx="592">
                  <c:v>-45.44081334868735</c:v>
                </c:pt>
                <c:pt idx="593">
                  <c:v>-47.398777805773413</c:v>
                </c:pt>
                <c:pt idx="594">
                  <c:v>-49.410491492796609</c:v>
                </c:pt>
                <c:pt idx="595">
                  <c:v>-51.472016099198953</c:v>
                </c:pt>
                <c:pt idx="596">
                  <c:v>-53.57837782041257</c:v>
                </c:pt>
                <c:pt idx="597">
                  <c:v>-55.725430659847319</c:v>
                </c:pt>
                <c:pt idx="598">
                  <c:v>-57.908145934545971</c:v>
                </c:pt>
                <c:pt idx="599">
                  <c:v>-60.122791051874465</c:v>
                </c:pt>
                <c:pt idx="600">
                  <c:v>-62.365026693224479</c:v>
                </c:pt>
              </c:numCache>
            </c:numRef>
          </c:yVal>
          <c:smooth val="0"/>
          <c:extLst>
            <c:ext xmlns:c16="http://schemas.microsoft.com/office/drawing/2014/chart" uri="{C3380CC4-5D6E-409C-BE32-E72D297353CC}">
              <c16:uniqueId val="{00000000-3ACD-44F4-848D-198E224AD898}"/>
            </c:ext>
          </c:extLst>
        </c:ser>
        <c:dLbls>
          <c:showLegendKey val="0"/>
          <c:showVal val="0"/>
          <c:showCatName val="0"/>
          <c:showSerName val="0"/>
          <c:showPercent val="0"/>
          <c:showBubbleSize val="0"/>
        </c:dLbls>
        <c:axId val="149980672"/>
        <c:axId val="149982592"/>
      </c:scatterChart>
      <c:scatterChart>
        <c:scatterStyle val="lineMarker"/>
        <c:varyColors val="0"/>
        <c:ser>
          <c:idx val="1"/>
          <c:order val="1"/>
          <c:tx>
            <c:strRef>
              <c:f>'Stability Calculations'!$S$12</c:f>
              <c:strCache>
                <c:ptCount val="1"/>
                <c:pt idx="0">
                  <c:v>Phase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-18.814641491119659</c:v>
                </c:pt>
                <c:pt idx="1">
                  <c:v>-20.486679803168325</c:v>
                </c:pt>
                <c:pt idx="2">
                  <c:v>-22.27924266826555</c:v>
                </c:pt>
                <c:pt idx="3">
                  <c:v>-24.193648012541729</c:v>
                </c:pt>
                <c:pt idx="4">
                  <c:v>-26.227857571644133</c:v>
                </c:pt>
                <c:pt idx="5">
                  <c:v>-28.382275259846701</c:v>
                </c:pt>
                <c:pt idx="6">
                  <c:v>-30.648178637611245</c:v>
                </c:pt>
                <c:pt idx="7">
                  <c:v>-33.018278176523118</c:v>
                </c:pt>
                <c:pt idx="8">
                  <c:v>-35.478960051299786</c:v>
                </c:pt>
                <c:pt idx="9">
                  <c:v>-38.017169653496786</c:v>
                </c:pt>
                <c:pt idx="10">
                  <c:v>-40.613808787363524</c:v>
                </c:pt>
                <c:pt idx="11">
                  <c:v>-43.24933361181246</c:v>
                </c:pt>
                <c:pt idx="12">
                  <c:v>-45.903733143262933</c:v>
                </c:pt>
                <c:pt idx="13">
                  <c:v>-48.5523753908329</c:v>
                </c:pt>
                <c:pt idx="14">
                  <c:v>-51.175551619677933</c:v>
                </c:pt>
                <c:pt idx="15">
                  <c:v>-53.751587344124999</c:v>
                </c:pt>
                <c:pt idx="16">
                  <c:v>-56.26199455152846</c:v>
                </c:pt>
                <c:pt idx="17">
                  <c:v>-58.690298807344227</c:v>
                </c:pt>
                <c:pt idx="18">
                  <c:v>-61.02402606530044</c:v>
                </c:pt>
                <c:pt idx="19">
                  <c:v>-63.25249011969732</c:v>
                </c:pt>
                <c:pt idx="20">
                  <c:v>-65.369171819637558</c:v>
                </c:pt>
                <c:pt idx="21">
                  <c:v>-67.36956718855059</c:v>
                </c:pt>
                <c:pt idx="22">
                  <c:v>-69.252609482397588</c:v>
                </c:pt>
                <c:pt idx="23">
                  <c:v>-71.018552210516091</c:v>
                </c:pt>
                <c:pt idx="24">
                  <c:v>-72.670376326267558</c:v>
                </c:pt>
                <c:pt idx="25">
                  <c:v>-74.211769689372275</c:v>
                </c:pt>
                <c:pt idx="26">
                  <c:v>-75.64810134180631</c:v>
                </c:pt>
                <c:pt idx="27">
                  <c:v>-76.984707255378993</c:v>
                </c:pt>
                <c:pt idx="28">
                  <c:v>-78.22798347521767</c:v>
                </c:pt>
                <c:pt idx="29">
                  <c:v>-79.38387105900982</c:v>
                </c:pt>
                <c:pt idx="30">
                  <c:v>-80.461033324186644</c:v>
                </c:pt>
                <c:pt idx="31">
                  <c:v>-81.464650092397051</c:v>
                </c:pt>
                <c:pt idx="32">
                  <c:v>-82.402094254122531</c:v>
                </c:pt>
                <c:pt idx="33">
                  <c:v>-83.279244396506655</c:v>
                </c:pt>
                <c:pt idx="34">
                  <c:v>-84.103137054839848</c:v>
                </c:pt>
                <c:pt idx="35">
                  <c:v>-84.87944670740562</c:v>
                </c:pt>
                <c:pt idx="36">
                  <c:v>-85.614250399629512</c:v>
                </c:pt>
                <c:pt idx="37">
                  <c:v>-86.313656061177952</c:v>
                </c:pt>
                <c:pt idx="38">
                  <c:v>-86.982540570695519</c:v>
                </c:pt>
                <c:pt idx="39">
                  <c:v>-87.626820762703403</c:v>
                </c:pt>
                <c:pt idx="40">
                  <c:v>-88.25146325365543</c:v>
                </c:pt>
                <c:pt idx="41">
                  <c:v>-88.861618788956548</c:v>
                </c:pt>
                <c:pt idx="42">
                  <c:v>-89.462203562688501</c:v>
                </c:pt>
                <c:pt idx="43">
                  <c:v>-90.058325044028038</c:v>
                </c:pt>
                <c:pt idx="44">
                  <c:v>-90.654717362375493</c:v>
                </c:pt>
                <c:pt idx="45">
                  <c:v>-91.256385632552409</c:v>
                </c:pt>
                <c:pt idx="46">
                  <c:v>-91.868111446656059</c:v>
                </c:pt>
                <c:pt idx="47">
                  <c:v>-92.494975927244099</c:v>
                </c:pt>
                <c:pt idx="48">
                  <c:v>-93.141841938052139</c:v>
                </c:pt>
                <c:pt idx="49">
                  <c:v>-93.813982332790204</c:v>
                </c:pt>
                <c:pt idx="50">
                  <c:v>-94.516509824458453</c:v>
                </c:pt>
                <c:pt idx="51">
                  <c:v>-95.254924815520724</c:v>
                </c:pt>
                <c:pt idx="52">
                  <c:v>-96.034439150335061</c:v>
                </c:pt>
                <c:pt idx="53">
                  <c:v>-96.860614797981157</c:v>
                </c:pt>
                <c:pt idx="54">
                  <c:v>-97.738495943347743</c:v>
                </c:pt>
                <c:pt idx="55">
                  <c:v>-98.675239257116587</c:v>
                </c:pt>
                <c:pt idx="56">
                  <c:v>-99.675196864907662</c:v>
                </c:pt>
                <c:pt idx="57">
                  <c:v>-100.74451111760712</c:v>
                </c:pt>
                <c:pt idx="58">
                  <c:v>-101.88760668655232</c:v>
                </c:pt>
                <c:pt idx="59">
                  <c:v>-103.11011592889443</c:v>
                </c:pt>
                <c:pt idx="60">
                  <c:v>-104.41546179854033</c:v>
                </c:pt>
                <c:pt idx="61">
                  <c:v>-105.80697240219652</c:v>
                </c:pt>
                <c:pt idx="62">
                  <c:v>-107.28736429387965</c:v>
                </c:pt>
                <c:pt idx="63">
                  <c:v>-108.85552576781924</c:v>
                </c:pt>
                <c:pt idx="64">
                  <c:v>-110.51098718008322</c:v>
                </c:pt>
                <c:pt idx="65">
                  <c:v>-112.24902584773606</c:v>
                </c:pt>
                <c:pt idx="66">
                  <c:v>-114.06284932810151</c:v>
                </c:pt>
                <c:pt idx="67">
                  <c:v>-115.9421298074539</c:v>
                </c:pt>
                <c:pt idx="68">
                  <c:v>-117.8740090222192</c:v>
                </c:pt>
                <c:pt idx="69">
                  <c:v>-119.84116408303676</c:v>
                </c:pt>
                <c:pt idx="70">
                  <c:v>-121.82392316651404</c:v>
                </c:pt>
                <c:pt idx="71">
                  <c:v>-123.79894758337458</c:v>
                </c:pt>
                <c:pt idx="72">
                  <c:v>-125.74145453641988</c:v>
                </c:pt>
                <c:pt idx="73">
                  <c:v>-127.62429890015959</c:v>
                </c:pt>
                <c:pt idx="74">
                  <c:v>-129.42075792634273</c:v>
                </c:pt>
                <c:pt idx="75">
                  <c:v>-131.1037863919976</c:v>
                </c:pt>
                <c:pt idx="76">
                  <c:v>-132.64837169449416</c:v>
                </c:pt>
                <c:pt idx="77">
                  <c:v>-134.0308469211698</c:v>
                </c:pt>
                <c:pt idx="78">
                  <c:v>-135.23103759034271</c:v>
                </c:pt>
                <c:pt idx="79">
                  <c:v>-136.23151331173611</c:v>
                </c:pt>
                <c:pt idx="80">
                  <c:v>-137.02062103572322</c:v>
                </c:pt>
                <c:pt idx="81">
                  <c:v>-137.58764316626764</c:v>
                </c:pt>
                <c:pt idx="82">
                  <c:v>-137.92747951039112</c:v>
                </c:pt>
                <c:pt idx="83">
                  <c:v>-138.03834767133836</c:v>
                </c:pt>
                <c:pt idx="84">
                  <c:v>-137.92271289892403</c:v>
                </c:pt>
                <c:pt idx="85">
                  <c:v>-137.58689868465714</c:v>
                </c:pt>
                <c:pt idx="86">
                  <c:v>-137.04120267284884</c:v>
                </c:pt>
                <c:pt idx="87">
                  <c:v>-136.29940041299434</c:v>
                </c:pt>
                <c:pt idx="88">
                  <c:v>-135.3802299791474</c:v>
                </c:pt>
                <c:pt idx="89">
                  <c:v>-134.30465899266918</c:v>
                </c:pt>
                <c:pt idx="90">
                  <c:v>-133.09796148729825</c:v>
                </c:pt>
                <c:pt idx="91">
                  <c:v>-131.78768556033356</c:v>
                </c:pt>
                <c:pt idx="92">
                  <c:v>-130.40364876415853</c:v>
                </c:pt>
                <c:pt idx="93">
                  <c:v>-128.97617517102412</c:v>
                </c:pt>
                <c:pt idx="94">
                  <c:v>-128.61633178794278</c:v>
                </c:pt>
                <c:pt idx="95">
                  <c:v>-128.43515736253647</c:v>
                </c:pt>
                <c:pt idx="96">
                  <c:v>-128.25604443920409</c:v>
                </c:pt>
                <c:pt idx="97">
                  <c:v>-128.07492420451342</c:v>
                </c:pt>
                <c:pt idx="98">
                  <c:v>-127.89598185001981</c:v>
                </c:pt>
                <c:pt idx="99">
                  <c:v>-127.71510683499181</c:v>
                </c:pt>
                <c:pt idx="100">
                  <c:v>-127.53652311611515</c:v>
                </c:pt>
                <c:pt idx="101">
                  <c:v>-127.35622176751937</c:v>
                </c:pt>
                <c:pt idx="102">
                  <c:v>-127.17831844208222</c:v>
                </c:pt>
                <c:pt idx="103">
                  <c:v>-126.99864798340346</c:v>
                </c:pt>
                <c:pt idx="104">
                  <c:v>-126.82148251343979</c:v>
                </c:pt>
                <c:pt idx="105">
                  <c:v>-126.64277016104722</c:v>
                </c:pt>
                <c:pt idx="106">
                  <c:v>-126.46666261440153</c:v>
                </c:pt>
                <c:pt idx="107">
                  <c:v>-126.28922300738333</c:v>
                </c:pt>
                <c:pt idx="108">
                  <c:v>-126.11448055902056</c:v>
                </c:pt>
                <c:pt idx="109">
                  <c:v>-125.93849590370178</c:v>
                </c:pt>
                <c:pt idx="110">
                  <c:v>-125.7652968394567</c:v>
                </c:pt>
                <c:pt idx="111">
                  <c:v>-125.5908351350166</c:v>
                </c:pt>
                <c:pt idx="112">
                  <c:v>-125.41924721320152</c:v>
                </c:pt>
                <c:pt idx="113">
                  <c:v>-125.2466145848083</c:v>
                </c:pt>
                <c:pt idx="114">
                  <c:v>-125.07693592961135</c:v>
                </c:pt>
                <c:pt idx="115">
                  <c:v>-124.90631565819884</c:v>
                </c:pt>
                <c:pt idx="116">
                  <c:v>-124.73872522654813</c:v>
                </c:pt>
                <c:pt idx="117">
                  <c:v>-124.57029987464973</c:v>
                </c:pt>
                <c:pt idx="118">
                  <c:v>-124.40497577610823</c:v>
                </c:pt>
                <c:pt idx="119">
                  <c:v>-124.23902631458691</c:v>
                </c:pt>
                <c:pt idx="120">
                  <c:v>-124.07624112913174</c:v>
                </c:pt>
                <c:pt idx="121">
                  <c:v>-123.91293552769808</c:v>
                </c:pt>
                <c:pt idx="122">
                  <c:v>-123.75285262091019</c:v>
                </c:pt>
                <c:pt idx="123">
                  <c:v>-123.59226457355308</c:v>
                </c:pt>
                <c:pt idx="124">
                  <c:v>-123.43495672779888</c:v>
                </c:pt>
                <c:pt idx="125">
                  <c:v>-123.27734885609713</c:v>
                </c:pt>
                <c:pt idx="126">
                  <c:v>-123.12307008335341</c:v>
                </c:pt>
                <c:pt idx="127">
                  <c:v>-122.96860210624982</c:v>
                </c:pt>
                <c:pt idx="128">
                  <c:v>-122.81750730860507</c:v>
                </c:pt>
                <c:pt idx="129">
                  <c:v>-122.66633528285809</c:v>
                </c:pt>
                <c:pt idx="130">
                  <c:v>-122.51857565630347</c:v>
                </c:pt>
                <c:pt idx="131">
                  <c:v>-122.3708515433204</c:v>
                </c:pt>
                <c:pt idx="132">
                  <c:v>-122.29828595915561</c:v>
                </c:pt>
                <c:pt idx="133">
                  <c:v>-122.22657415785721</c:v>
                </c:pt>
                <c:pt idx="134">
                  <c:v>-122.15403390908415</c:v>
                </c:pt>
                <c:pt idx="135">
                  <c:v>-122.08237190830592</c:v>
                </c:pt>
                <c:pt idx="136">
                  <c:v>-122.01157982144056</c:v>
                </c:pt>
                <c:pt idx="137">
                  <c:v>-121.94164936263346</c:v>
                </c:pt>
                <c:pt idx="138">
                  <c:v>-121.87101382615928</c:v>
                </c:pt>
                <c:pt idx="139">
                  <c:v>-121.80126211831039</c:v>
                </c:pt>
                <c:pt idx="140">
                  <c:v>-121.73238554286264</c:v>
                </c:pt>
                <c:pt idx="141">
                  <c:v>-121.66437546292514</c:v>
                </c:pt>
                <c:pt idx="142">
                  <c:v>-121.59564123832178</c:v>
                </c:pt>
                <c:pt idx="143">
                  <c:v>-121.52779697042683</c:v>
                </c:pt>
                <c:pt idx="144">
                  <c:v>-121.46083359481422</c:v>
                </c:pt>
                <c:pt idx="145">
                  <c:v>-121.39474211745849</c:v>
                </c:pt>
                <c:pt idx="146">
                  <c:v>-121.32801281060094</c:v>
                </c:pt>
                <c:pt idx="147">
                  <c:v>-121.26217744419374</c:v>
                </c:pt>
                <c:pt idx="148">
                  <c:v>-121.19722661975364</c:v>
                </c:pt>
                <c:pt idx="149">
                  <c:v>-121.13315101983721</c:v>
                </c:pt>
                <c:pt idx="150">
                  <c:v>-121.0684900845942</c:v>
                </c:pt>
                <c:pt idx="151">
                  <c:v>-121.00472584520647</c:v>
                </c:pt>
                <c:pt idx="152">
                  <c:v>-120.94184859052274</c:v>
                </c:pt>
                <c:pt idx="153">
                  <c:v>-120.87984870072876</c:v>
                </c:pt>
                <c:pt idx="154">
                  <c:v>-120.81728794753455</c:v>
                </c:pt>
                <c:pt idx="155">
                  <c:v>-120.75562625399358</c:v>
                </c:pt>
                <c:pt idx="156">
                  <c:v>-120.69485360432435</c:v>
                </c:pt>
                <c:pt idx="157">
                  <c:v>-120.63496008419604</c:v>
                </c:pt>
                <c:pt idx="158">
                  <c:v>-120.57456158543916</c:v>
                </c:pt>
                <c:pt idx="159">
                  <c:v>-120.51506325938932</c:v>
                </c:pt>
                <c:pt idx="160">
                  <c:v>-120.45645480780851</c:v>
                </c:pt>
                <c:pt idx="161">
                  <c:v>-120.39872604365101</c:v>
                </c:pt>
                <c:pt idx="162">
                  <c:v>-120.34057371817651</c:v>
                </c:pt>
                <c:pt idx="163">
                  <c:v>-120.28332066157645</c:v>
                </c:pt>
                <c:pt idx="164">
                  <c:v>-120.22695632950159</c:v>
                </c:pt>
                <c:pt idx="165">
                  <c:v>-120.17147029792199</c:v>
                </c:pt>
                <c:pt idx="166">
                  <c:v>-120.11556686171363</c:v>
                </c:pt>
                <c:pt idx="167">
                  <c:v>-120.06056217294412</c:v>
                </c:pt>
                <c:pt idx="168">
                  <c:v>-120.00644543602756</c:v>
                </c:pt>
                <c:pt idx="169">
                  <c:v>-119.95320598481756</c:v>
                </c:pt>
                <c:pt idx="170">
                  <c:v>-119.89971882636874</c:v>
                </c:pt>
                <c:pt idx="171">
                  <c:v>-119.84712492221738</c:v>
                </c:pt>
                <c:pt idx="172">
                  <c:v>-119.79541331741697</c:v>
                </c:pt>
                <c:pt idx="173">
                  <c:v>-119.744573193994</c:v>
                </c:pt>
                <c:pt idx="174">
                  <c:v>-119.69334491852985</c:v>
                </c:pt>
                <c:pt idx="175">
                  <c:v>-119.64301002810173</c:v>
                </c:pt>
                <c:pt idx="176">
                  <c:v>-119.59355730663991</c:v>
                </c:pt>
                <c:pt idx="177">
                  <c:v>-119.544975684191</c:v>
                </c:pt>
                <c:pt idx="178">
                  <c:v>-119.49609150127924</c:v>
                </c:pt>
                <c:pt idx="179">
                  <c:v>-119.44809872132191</c:v>
                </c:pt>
                <c:pt idx="180">
                  <c:v>-119.40098590537903</c:v>
                </c:pt>
                <c:pt idx="181">
                  <c:v>-119.35474176909621</c:v>
                </c:pt>
                <c:pt idx="182">
                  <c:v>-119.30845612057745</c:v>
                </c:pt>
                <c:pt idx="183">
                  <c:v>-119.26305101496216</c:v>
                </c:pt>
                <c:pt idx="184">
                  <c:v>-119.21851496321813</c:v>
                </c:pt>
                <c:pt idx="185">
                  <c:v>-119.17483663613373</c:v>
                </c:pt>
                <c:pt idx="186">
                  <c:v>-119.13084092118699</c:v>
                </c:pt>
                <c:pt idx="187">
                  <c:v>-119.08772693034906</c:v>
                </c:pt>
                <c:pt idx="188">
                  <c:v>-119.04548288982976</c:v>
                </c:pt>
                <c:pt idx="189">
                  <c:v>-119.00409719517442</c:v>
                </c:pt>
                <c:pt idx="190">
                  <c:v>-118.96279292944826</c:v>
                </c:pt>
                <c:pt idx="191">
                  <c:v>-118.92235627737797</c:v>
                </c:pt>
                <c:pt idx="192">
                  <c:v>-118.88277548573714</c:v>
                </c:pt>
                <c:pt idx="193">
                  <c:v>-118.84403897423314</c:v>
                </c:pt>
                <c:pt idx="194">
                  <c:v>-118.80515270615545</c:v>
                </c:pt>
                <c:pt idx="195">
                  <c:v>-118.76713140584589</c:v>
                </c:pt>
                <c:pt idx="196">
                  <c:v>-118.7299631100388</c:v>
                </c:pt>
                <c:pt idx="197">
                  <c:v>-118.69363603640817</c:v>
                </c:pt>
                <c:pt idx="198">
                  <c:v>-118.65737046012958</c:v>
                </c:pt>
                <c:pt idx="199">
                  <c:v>-118.62195904018711</c:v>
                </c:pt>
                <c:pt idx="200">
                  <c:v>-118.58738977116705</c:v>
                </c:pt>
                <c:pt idx="201">
                  <c:v>-118.55365083317079</c:v>
                </c:pt>
                <c:pt idx="202">
                  <c:v>-118.52003402996436</c:v>
                </c:pt>
                <c:pt idx="203">
                  <c:v>-118.48725917593175</c:v>
                </c:pt>
                <c:pt idx="204">
                  <c:v>-118.45531425547946</c:v>
                </c:pt>
                <c:pt idx="205">
                  <c:v>-118.42418744230797</c:v>
                </c:pt>
                <c:pt idx="206">
                  <c:v>-118.39313500353951</c:v>
                </c:pt>
                <c:pt idx="207">
                  <c:v>-118.36291667663112</c:v>
                </c:pt>
                <c:pt idx="208">
                  <c:v>-118.33352034324707</c:v>
                </c:pt>
                <c:pt idx="209">
                  <c:v>-118.30493407997129</c:v>
                </c:pt>
                <c:pt idx="210">
                  <c:v>-118.27639852686457</c:v>
                </c:pt>
                <c:pt idx="211">
                  <c:v>-118.2486929909999</c:v>
                </c:pt>
                <c:pt idx="212">
                  <c:v>-118.22180516602545</c:v>
                </c:pt>
                <c:pt idx="213">
                  <c:v>-118.19572294796701</c:v>
                </c:pt>
                <c:pt idx="214">
                  <c:v>-118.16993832947165</c:v>
                </c:pt>
                <c:pt idx="215">
                  <c:v>-118.14496694912339</c:v>
                </c:pt>
                <c:pt idx="216">
                  <c:v>-118.12079659213653</c:v>
                </c:pt>
                <c:pt idx="217">
                  <c:v>-118.09741524738907</c:v>
                </c:pt>
                <c:pt idx="218">
                  <c:v>-118.07430467071514</c:v>
                </c:pt>
                <c:pt idx="219">
                  <c:v>-118.05199471705977</c:v>
                </c:pt>
                <c:pt idx="220">
                  <c:v>-118.03047317192298</c:v>
                </c:pt>
                <c:pt idx="221">
                  <c:v>-118.00972802764706</c:v>
                </c:pt>
                <c:pt idx="222">
                  <c:v>-117.98931067635095</c:v>
                </c:pt>
                <c:pt idx="223">
                  <c:v>-117.96967999544661</c:v>
                </c:pt>
                <c:pt idx="224">
                  <c:v>-117.9508238014523</c:v>
                </c:pt>
                <c:pt idx="225">
                  <c:v>-117.9327301201229</c:v>
                </c:pt>
                <c:pt idx="226">
                  <c:v>-117.9149644477526</c:v>
                </c:pt>
                <c:pt idx="227">
                  <c:v>-117.89797495471885</c:v>
                </c:pt>
                <c:pt idx="228">
                  <c:v>-117.88174940701686</c:v>
                </c:pt>
                <c:pt idx="229">
                  <c:v>-117.86627578407432</c:v>
                </c:pt>
                <c:pt idx="230">
                  <c:v>-117.83687455440244</c:v>
                </c:pt>
                <c:pt idx="231">
                  <c:v>-117.82330780116882</c:v>
                </c:pt>
                <c:pt idx="232">
                  <c:v>-117.81048083943615</c:v>
                </c:pt>
                <c:pt idx="233">
                  <c:v>-117.79810338238174</c:v>
                </c:pt>
                <c:pt idx="234">
                  <c:v>-117.78647641322701</c:v>
                </c:pt>
                <c:pt idx="235">
                  <c:v>-117.77558769932574</c:v>
                </c:pt>
                <c:pt idx="236">
                  <c:v>-117.76542522736472</c:v>
                </c:pt>
                <c:pt idx="237">
                  <c:v>-117.75579281364149</c:v>
                </c:pt>
                <c:pt idx="238">
                  <c:v>-117.74689182455316</c:v>
                </c:pt>
                <c:pt idx="239">
                  <c:v>-117.73871017776995</c:v>
                </c:pt>
                <c:pt idx="240">
                  <c:v>-117.73123600957788</c:v>
                </c:pt>
                <c:pt idx="241">
                  <c:v>-117.72429338178189</c:v>
                </c:pt>
                <c:pt idx="242">
                  <c:v>-117.71807028358866</c:v>
                </c:pt>
                <c:pt idx="243">
                  <c:v>-117.71255460461526</c:v>
                </c:pt>
                <c:pt idx="244">
                  <c:v>-117.70773445661216</c:v>
                </c:pt>
                <c:pt idx="245">
                  <c:v>-117.70351416331704</c:v>
                </c:pt>
                <c:pt idx="246">
                  <c:v>-117.69999614213201</c:v>
                </c:pt>
                <c:pt idx="247">
                  <c:v>-117.69716838607232</c:v>
                </c:pt>
                <c:pt idx="248">
                  <c:v>-117.69501911056827</c:v>
                </c:pt>
                <c:pt idx="249">
                  <c:v>-117.69350882883327</c:v>
                </c:pt>
                <c:pt idx="250">
                  <c:v>-117.69268618830681</c:v>
                </c:pt>
                <c:pt idx="251">
                  <c:v>-117.69253921592984</c:v>
                </c:pt>
                <c:pt idx="252">
                  <c:v>-117.69305616301067</c:v>
                </c:pt>
                <c:pt idx="253">
                  <c:v>-117.6942572151717</c:v>
                </c:pt>
                <c:pt idx="254">
                  <c:v>-117.69612651914824</c:v>
                </c:pt>
                <c:pt idx="255">
                  <c:v>-117.69865225739129</c:v>
                </c:pt>
                <c:pt idx="256">
                  <c:v>-117.70182283560175</c:v>
                </c:pt>
                <c:pt idx="257">
                  <c:v>-117.70573374556555</c:v>
                </c:pt>
                <c:pt idx="258">
                  <c:v>-117.7102993179075</c:v>
                </c:pt>
                <c:pt idx="259">
                  <c:v>-117.71550773412308</c:v>
                </c:pt>
                <c:pt idx="260">
                  <c:v>-117.72134740175115</c:v>
                </c:pt>
                <c:pt idx="261">
                  <c:v>-117.72796087358581</c:v>
                </c:pt>
                <c:pt idx="262">
                  <c:v>-117.73521079193888</c:v>
                </c:pt>
                <c:pt idx="263">
                  <c:v>-117.74308545699931</c:v>
                </c:pt>
                <c:pt idx="264">
                  <c:v>-117.75157339475606</c:v>
                </c:pt>
                <c:pt idx="265">
                  <c:v>-117.76087210379936</c:v>
                </c:pt>
                <c:pt idx="266">
                  <c:v>-117.77078809941729</c:v>
                </c:pt>
                <c:pt idx="267">
                  <c:v>-117.7813098244108</c:v>
                </c:pt>
                <c:pt idx="268">
                  <c:v>-117.79242594649745</c:v>
                </c:pt>
                <c:pt idx="269">
                  <c:v>-117.80441507083619</c:v>
                </c:pt>
                <c:pt idx="270">
                  <c:v>-117.81700429515431</c:v>
                </c:pt>
                <c:pt idx="271">
                  <c:v>-117.83018214645421</c:v>
                </c:pt>
                <c:pt idx="272">
                  <c:v>-117.84393737727859</c:v>
                </c:pt>
                <c:pt idx="273">
                  <c:v>-117.85860348146723</c:v>
                </c:pt>
                <c:pt idx="274">
                  <c:v>-117.87385137645057</c:v>
                </c:pt>
                <c:pt idx="275">
                  <c:v>-117.88966970076943</c:v>
                </c:pt>
                <c:pt idx="276">
                  <c:v>-117.90604731843253</c:v>
                </c:pt>
                <c:pt idx="277">
                  <c:v>-117.92333004079252</c:v>
                </c:pt>
                <c:pt idx="278">
                  <c:v>-117.94117274324516</c:v>
                </c:pt>
                <c:pt idx="279">
                  <c:v>-117.95956427599683</c:v>
                </c:pt>
                <c:pt idx="280">
                  <c:v>-117.97849371200631</c:v>
                </c:pt>
                <c:pt idx="281">
                  <c:v>-117.99848461828046</c:v>
                </c:pt>
                <c:pt idx="282">
                  <c:v>-118.01902029722503</c:v>
                </c:pt>
                <c:pt idx="283">
                  <c:v>-118.04008960946462</c:v>
                </c:pt>
                <c:pt idx="284">
                  <c:v>-118.06168164104989</c:v>
                </c:pt>
                <c:pt idx="285">
                  <c:v>-118.0842280139054</c:v>
                </c:pt>
                <c:pt idx="286">
                  <c:v>-118.10729575843192</c:v>
                </c:pt>
                <c:pt idx="287">
                  <c:v>-118.13087399069505</c:v>
                </c:pt>
                <c:pt idx="288">
                  <c:v>-118.15495204832138</c:v>
                </c:pt>
                <c:pt idx="289">
                  <c:v>-118.1801612497175</c:v>
                </c:pt>
                <c:pt idx="290">
                  <c:v>-118.20587442472713</c:v>
                </c:pt>
                <c:pt idx="291">
                  <c:v>-118.23208075497034</c:v>
                </c:pt>
                <c:pt idx="292">
                  <c:v>-118.25876964494449</c:v>
                </c:pt>
                <c:pt idx="293">
                  <c:v>-118.28656388905785</c:v>
                </c:pt>
                <c:pt idx="294">
                  <c:v>-118.3148415074043</c:v>
                </c:pt>
                <c:pt idx="295">
                  <c:v>-118.34359184297797</c:v>
                </c:pt>
                <c:pt idx="296">
                  <c:v>-118.37280446042782</c:v>
                </c:pt>
                <c:pt idx="297">
                  <c:v>-118.40314432729738</c:v>
                </c:pt>
                <c:pt idx="298">
                  <c:v>-118.43394621134361</c:v>
                </c:pt>
                <c:pt idx="299">
                  <c:v>-118.46519963898793</c:v>
                </c:pt>
                <c:pt idx="300">
                  <c:v>-118.4968943565348</c:v>
                </c:pt>
                <c:pt idx="301">
                  <c:v>-118.52973472746552</c:v>
                </c:pt>
                <c:pt idx="302">
                  <c:v>-118.5630151185685</c:v>
                </c:pt>
                <c:pt idx="303">
                  <c:v>-118.59672525977318</c:v>
                </c:pt>
                <c:pt idx="304">
                  <c:v>-118.63085509862097</c:v>
                </c:pt>
                <c:pt idx="305">
                  <c:v>-118.66628223035438</c:v>
                </c:pt>
                <c:pt idx="306">
                  <c:v>-118.7021300365262</c:v>
                </c:pt>
                <c:pt idx="307">
                  <c:v>-118.73838835362498</c:v>
                </c:pt>
                <c:pt idx="308">
                  <c:v>-118.77504723631432</c:v>
                </c:pt>
                <c:pt idx="309">
                  <c:v>-118.81288182862322</c:v>
                </c:pt>
                <c:pt idx="310">
                  <c:v>-118.85111376289574</c:v>
                </c:pt>
                <c:pt idx="311">
                  <c:v>-118.88973312199684</c:v>
                </c:pt>
                <c:pt idx="312">
                  <c:v>-118.92873020365009</c:v>
                </c:pt>
                <c:pt idx="313">
                  <c:v>-118.96906016617822</c:v>
                </c:pt>
                <c:pt idx="314">
                  <c:v>-119.00976655916149</c:v>
                </c:pt>
                <c:pt idx="315">
                  <c:v>-119.05083962046035</c:v>
                </c:pt>
                <c:pt idx="316">
                  <c:v>-119.09226980221085</c:v>
                </c:pt>
                <c:pt idx="317">
                  <c:v>-119.13504664231611</c:v>
                </c:pt>
                <c:pt idx="318">
                  <c:v>-119.17817822257662</c:v>
                </c:pt>
                <c:pt idx="319">
                  <c:v>-119.22165496099075</c:v>
                </c:pt>
                <c:pt idx="320">
                  <c:v>-119.26546748866299</c:v>
                </c:pt>
                <c:pt idx="321">
                  <c:v>-119.31063695061333</c:v>
                </c:pt>
                <c:pt idx="322">
                  <c:v>-119.35613881485736</c:v>
                </c:pt>
                <c:pt idx="323">
                  <c:v>-119.40196370273688</c:v>
                </c:pt>
                <c:pt idx="324">
                  <c:v>-119.44810244698785</c:v>
                </c:pt>
                <c:pt idx="325">
                  <c:v>-119.49560509822456</c:v>
                </c:pt>
                <c:pt idx="326">
                  <c:v>-119.54341729337054</c:v>
                </c:pt>
                <c:pt idx="327">
                  <c:v>-119.59152987840653</c:v>
                </c:pt>
                <c:pt idx="328">
                  <c:v>-119.63993390849798</c:v>
                </c:pt>
                <c:pt idx="329">
                  <c:v>-119.68978918816933</c:v>
                </c:pt>
                <c:pt idx="330">
                  <c:v>-119.73993169853725</c:v>
                </c:pt>
                <c:pt idx="331">
                  <c:v>-119.79035248539975</c:v>
                </c:pt>
                <c:pt idx="332">
                  <c:v>-119.84104280244323</c:v>
                </c:pt>
                <c:pt idx="333">
                  <c:v>-119.89310272478653</c:v>
                </c:pt>
                <c:pt idx="334">
                  <c:v>-119.94542618674753</c:v>
                </c:pt>
                <c:pt idx="335">
                  <c:v>-119.9980044993758</c:v>
                </c:pt>
                <c:pt idx="336">
                  <c:v>-120.05082917845012</c:v>
                </c:pt>
                <c:pt idx="337">
                  <c:v>-120.10519541747534</c:v>
                </c:pt>
                <c:pt idx="338">
                  <c:v>-120.15980285590234</c:v>
                </c:pt>
                <c:pt idx="339">
                  <c:v>-120.21464300576744</c:v>
                </c:pt>
                <c:pt idx="340">
                  <c:v>-120.26970758286166</c:v>
                </c:pt>
                <c:pt idx="341">
                  <c:v>-120.32631359576703</c:v>
                </c:pt>
                <c:pt idx="342">
                  <c:v>-120.3831379567129</c:v>
                </c:pt>
                <c:pt idx="343">
                  <c:v>-120.44017240363056</c:v>
                </c:pt>
                <c:pt idx="344">
                  <c:v>-120.49740887665483</c:v>
                </c:pt>
                <c:pt idx="345">
                  <c:v>-120.55609399976876</c:v>
                </c:pt>
                <c:pt idx="346">
                  <c:v>-120.61497366619659</c:v>
                </c:pt>
                <c:pt idx="347">
                  <c:v>-120.67403989876817</c:v>
                </c:pt>
                <c:pt idx="348">
                  <c:v>-120.73328491922835</c:v>
                </c:pt>
                <c:pt idx="349">
                  <c:v>-120.79415239543576</c:v>
                </c:pt>
                <c:pt idx="350">
                  <c:v>-120.85519158178569</c:v>
                </c:pt>
                <c:pt idx="351">
                  <c:v>-120.91639473361136</c:v>
                </c:pt>
                <c:pt idx="352">
                  <c:v>-120.97775430380116</c:v>
                </c:pt>
                <c:pt idx="353">
                  <c:v>-121.04072918656341</c:v>
                </c:pt>
                <c:pt idx="354">
                  <c:v>-121.1038526278064</c:v>
                </c:pt>
                <c:pt idx="355">
                  <c:v>-121.16711713947652</c:v>
                </c:pt>
                <c:pt idx="356">
                  <c:v>-121.2305154291391</c:v>
                </c:pt>
                <c:pt idx="357">
                  <c:v>-121.29542674570935</c:v>
                </c:pt>
                <c:pt idx="358">
                  <c:v>-121.36046294670257</c:v>
                </c:pt>
                <c:pt idx="359">
                  <c:v>-121.42561685297109</c:v>
                </c:pt>
                <c:pt idx="360">
                  <c:v>-121.49088147742614</c:v>
                </c:pt>
                <c:pt idx="361">
                  <c:v>-121.55783199839705</c:v>
                </c:pt>
                <c:pt idx="362">
                  <c:v>-121.62488441782033</c:v>
                </c:pt>
                <c:pt idx="363">
                  <c:v>-121.69203182378274</c:v>
                </c:pt>
                <c:pt idx="364">
                  <c:v>-121.75926749455095</c:v>
                </c:pt>
                <c:pt idx="365">
                  <c:v>-121.82808171508938</c:v>
                </c:pt>
                <c:pt idx="366">
                  <c:v>-121.89697455010602</c:v>
                </c:pt>
                <c:pt idx="367">
                  <c:v>-121.96593940412535</c:v>
                </c:pt>
                <c:pt idx="368">
                  <c:v>-122.03496986838675</c:v>
                </c:pt>
                <c:pt idx="369">
                  <c:v>-122.10575010570487</c:v>
                </c:pt>
                <c:pt idx="370">
                  <c:v>-122.17658616474385</c:v>
                </c:pt>
                <c:pt idx="371">
                  <c:v>-122.24747173282702</c:v>
                </c:pt>
                <c:pt idx="372">
                  <c:v>-122.31840068200975</c:v>
                </c:pt>
                <c:pt idx="373">
                  <c:v>-122.39096748827389</c:v>
                </c:pt>
                <c:pt idx="374">
                  <c:v>-122.46356726482601</c:v>
                </c:pt>
                <c:pt idx="375">
                  <c:v>-122.53619402751039</c:v>
                </c:pt>
                <c:pt idx="376">
                  <c:v>-122.6088419733705</c:v>
                </c:pt>
                <c:pt idx="377">
                  <c:v>-122.68329629532593</c:v>
                </c:pt>
                <c:pt idx="378">
                  <c:v>-122.75776108464559</c:v>
                </c:pt>
                <c:pt idx="379">
                  <c:v>-122.8322306591989</c:v>
                </c:pt>
                <c:pt idx="380">
                  <c:v>-122.90669951581526</c:v>
                </c:pt>
                <c:pt idx="381">
                  <c:v>-122.9827645846883</c:v>
                </c:pt>
                <c:pt idx="382">
                  <c:v>-123.05881784597267</c:v>
                </c:pt>
                <c:pt idx="383">
                  <c:v>-123.13485398081878</c:v>
                </c:pt>
                <c:pt idx="384">
                  <c:v>-123.21086784473037</c:v>
                </c:pt>
                <c:pt idx="385">
                  <c:v>-123.28873726276626</c:v>
                </c:pt>
                <c:pt idx="386">
                  <c:v>-123.36657289393767</c:v>
                </c:pt>
                <c:pt idx="387">
                  <c:v>-123.44436974048327</c:v>
                </c:pt>
                <c:pt idx="388">
                  <c:v>-123.52212297641029</c:v>
                </c:pt>
                <c:pt idx="389">
                  <c:v>-123.60161258057288</c:v>
                </c:pt>
                <c:pt idx="390">
                  <c:v>-123.68104686037506</c:v>
                </c:pt>
                <c:pt idx="391">
                  <c:v>-123.76042117652646</c:v>
                </c:pt>
                <c:pt idx="392">
                  <c:v>-123.83973105744845</c:v>
                </c:pt>
                <c:pt idx="393">
                  <c:v>-123.9207510200774</c:v>
                </c:pt>
                <c:pt idx="394">
                  <c:v>-124.00169468252723</c:v>
                </c:pt>
                <c:pt idx="395">
                  <c:v>-124.08255777830148</c:v>
                </c:pt>
                <c:pt idx="396">
                  <c:v>-124.16333620399868</c:v>
                </c:pt>
                <c:pt idx="397">
                  <c:v>-124.24598382405348</c:v>
                </c:pt>
                <c:pt idx="398">
                  <c:v>-124.32853440252066</c:v>
                </c:pt>
                <c:pt idx="399">
                  <c:v>-124.41098403143269</c:v>
                </c:pt>
                <c:pt idx="400">
                  <c:v>-124.49332896218863</c:v>
                </c:pt>
                <c:pt idx="401">
                  <c:v>-124.57742068143494</c:v>
                </c:pt>
                <c:pt idx="402">
                  <c:v>-124.66139548428127</c:v>
                </c:pt>
                <c:pt idx="403">
                  <c:v>-124.74524984916656</c:v>
                </c:pt>
                <c:pt idx="404">
                  <c:v>-124.82898040881629</c:v>
                </c:pt>
                <c:pt idx="405">
                  <c:v>-124.91452024479923</c:v>
                </c:pt>
                <c:pt idx="406">
                  <c:v>-124.99992381226986</c:v>
                </c:pt>
                <c:pt idx="407">
                  <c:v>-125.08518797581745</c:v>
                </c:pt>
                <c:pt idx="408">
                  <c:v>-125.17030974932548</c:v>
                </c:pt>
                <c:pt idx="409">
                  <c:v>-125.25730120793648</c:v>
                </c:pt>
                <c:pt idx="410">
                  <c:v>-125.34413756394191</c:v>
                </c:pt>
                <c:pt idx="411">
                  <c:v>-125.43081606989936</c:v>
                </c:pt>
                <c:pt idx="412">
                  <c:v>-125.51733412266609</c:v>
                </c:pt>
                <c:pt idx="413">
                  <c:v>-125.60568921817118</c:v>
                </c:pt>
                <c:pt idx="414">
                  <c:v>-125.69387126417402</c:v>
                </c:pt>
                <c:pt idx="415">
                  <c:v>-125.78187791173669</c:v>
                </c:pt>
                <c:pt idx="416">
                  <c:v>-125.86970695057776</c:v>
                </c:pt>
                <c:pt idx="417">
                  <c:v>-125.95943025313927</c:v>
                </c:pt>
                <c:pt idx="418">
                  <c:v>-126.04896317162908</c:v>
                </c:pt>
                <c:pt idx="419">
                  <c:v>-126.13830375711697</c:v>
                </c:pt>
                <c:pt idx="420">
                  <c:v>-126.22745019361263</c:v>
                </c:pt>
                <c:pt idx="421">
                  <c:v>-126.31836729178148</c:v>
                </c:pt>
                <c:pt idx="422">
                  <c:v>-126.40907812088555</c:v>
                </c:pt>
                <c:pt idx="423">
                  <c:v>-126.49958114336307</c:v>
                </c:pt>
                <c:pt idx="424">
                  <c:v>-126.58987494774645</c:v>
                </c:pt>
                <c:pt idx="425">
                  <c:v>-126.6821721969241</c:v>
                </c:pt>
                <c:pt idx="426">
                  <c:v>-126.77424719197288</c:v>
                </c:pt>
                <c:pt idx="427">
                  <c:v>-126.86609879790785</c:v>
                </c:pt>
                <c:pt idx="428">
                  <c:v>-126.95772599985591</c:v>
                </c:pt>
                <c:pt idx="429">
                  <c:v>-127.05123248353745</c:v>
                </c:pt>
                <c:pt idx="430">
                  <c:v>-127.14450231402702</c:v>
                </c:pt>
                <c:pt idx="431">
                  <c:v>-127.23753476667544</c:v>
                </c:pt>
                <c:pt idx="432">
                  <c:v>-127.33032922984457</c:v>
                </c:pt>
                <c:pt idx="433">
                  <c:v>-127.42496821785608</c:v>
                </c:pt>
                <c:pt idx="434">
                  <c:v>-127.51935741900732</c:v>
                </c:pt>
                <c:pt idx="435">
                  <c:v>-127.61349651825444</c:v>
                </c:pt>
                <c:pt idx="436">
                  <c:v>-127.70738530591748</c:v>
                </c:pt>
                <c:pt idx="437">
                  <c:v>-127.80325623916707</c:v>
                </c:pt>
                <c:pt idx="438">
                  <c:v>-127.89886464120244</c:v>
                </c:pt>
                <c:pt idx="439">
                  <c:v>-127.9942106031064</c:v>
                </c:pt>
                <c:pt idx="440">
                  <c:v>-128.08929431388935</c:v>
                </c:pt>
                <c:pt idx="441">
                  <c:v>-128.18632402356607</c:v>
                </c:pt>
                <c:pt idx="442">
                  <c:v>-128.28307980579544</c:v>
                </c:pt>
                <c:pt idx="443">
                  <c:v>-128.37956215499744</c:v>
                </c:pt>
                <c:pt idx="444">
                  <c:v>-128.47577165550661</c:v>
                </c:pt>
                <c:pt idx="445">
                  <c:v>-128.57389193808112</c:v>
                </c:pt>
                <c:pt idx="446">
                  <c:v>-128.67172830260722</c:v>
                </c:pt>
                <c:pt idx="447">
                  <c:v>-128.76928164027927</c:v>
                </c:pt>
                <c:pt idx="448">
                  <c:v>-128.86655292369963</c:v>
                </c:pt>
                <c:pt idx="449">
                  <c:v>-128.96586686196952</c:v>
                </c:pt>
                <c:pt idx="450">
                  <c:v>-129.06488735780536</c:v>
                </c:pt>
                <c:pt idx="451">
                  <c:v>-129.16361569566439</c:v>
                </c:pt>
                <c:pt idx="452">
                  <c:v>-129.26205323297071</c:v>
                </c:pt>
                <c:pt idx="453">
                  <c:v>-129.36241563842742</c:v>
                </c:pt>
                <c:pt idx="454">
                  <c:v>-129.46247704237649</c:v>
                </c:pt>
                <c:pt idx="455">
                  <c:v>-129.56223910870909</c:v>
                </c:pt>
                <c:pt idx="456">
                  <c:v>-129.66170356515667</c:v>
                </c:pt>
                <c:pt idx="457">
                  <c:v>-129.76322205030112</c:v>
                </c:pt>
                <c:pt idx="458">
                  <c:v>-129.86443248615259</c:v>
                </c:pt>
                <c:pt idx="459">
                  <c:v>-129.96533691082274</c:v>
                </c:pt>
                <c:pt idx="460">
                  <c:v>-130.06593741716964</c:v>
                </c:pt>
                <c:pt idx="461">
                  <c:v>-130.16855765837897</c:v>
                </c:pt>
                <c:pt idx="462">
                  <c:v>-130.27086432071587</c:v>
                </c:pt>
                <c:pt idx="463">
                  <c:v>-130.37285980144034</c:v>
                </c:pt>
                <c:pt idx="464">
                  <c:v>-130.47454654310144</c:v>
                </c:pt>
                <c:pt idx="465">
                  <c:v>-130.57829948264785</c:v>
                </c:pt>
                <c:pt idx="466">
                  <c:v>-130.68173434909815</c:v>
                </c:pt>
                <c:pt idx="467">
                  <c:v>-130.78485388669404</c:v>
                </c:pt>
                <c:pt idx="468">
                  <c:v>-130.88766087535592</c:v>
                </c:pt>
                <c:pt idx="469">
                  <c:v>-130.99250178738524</c:v>
                </c:pt>
                <c:pt idx="470">
                  <c:v>-131.09702165610221</c:v>
                </c:pt>
                <c:pt idx="471">
                  <c:v>-131.20122355241008</c:v>
                </c:pt>
                <c:pt idx="472">
                  <c:v>-131.30511057305685</c:v>
                </c:pt>
                <c:pt idx="473">
                  <c:v>-131.41115549130382</c:v>
                </c:pt>
                <c:pt idx="474">
                  <c:v>-131.51687695611523</c:v>
                </c:pt>
                <c:pt idx="475">
                  <c:v>-131.62227835657094</c:v>
                </c:pt>
                <c:pt idx="476">
                  <c:v>-131.72736309773578</c:v>
                </c:pt>
                <c:pt idx="477">
                  <c:v>-131.83457453743694</c:v>
                </c:pt>
                <c:pt idx="478">
                  <c:v>-131.94146162835713</c:v>
                </c:pt>
                <c:pt idx="479">
                  <c:v>-132.04802805363403</c:v>
                </c:pt>
                <c:pt idx="480">
                  <c:v>-132.15427750239638</c:v>
                </c:pt>
                <c:pt idx="481">
                  <c:v>-132.26262454413853</c:v>
                </c:pt>
                <c:pt idx="482">
                  <c:v>-132.37064781025688</c:v>
                </c:pt>
                <c:pt idx="483">
                  <c:v>-132.47835125104314</c:v>
                </c:pt>
                <c:pt idx="484">
                  <c:v>-132.58573881277232</c:v>
                </c:pt>
                <c:pt idx="485">
                  <c:v>-132.69527145140907</c:v>
                </c:pt>
                <c:pt idx="486">
                  <c:v>-132.80448185761844</c:v>
                </c:pt>
                <c:pt idx="487">
                  <c:v>-132.91337422817728</c:v>
                </c:pt>
                <c:pt idx="488">
                  <c:v>-133.02195274589957</c:v>
                </c:pt>
                <c:pt idx="489">
                  <c:v>-133.13279741870903</c:v>
                </c:pt>
                <c:pt idx="490">
                  <c:v>-133.24332192468671</c:v>
                </c:pt>
                <c:pt idx="491">
                  <c:v>-133.35353069403854</c:v>
                </c:pt>
                <c:pt idx="492">
                  <c:v>-133.46342813308618</c:v>
                </c:pt>
                <c:pt idx="493">
                  <c:v>-133.57556531334731</c:v>
                </c:pt>
                <c:pt idx="494">
                  <c:v>-133.68738575511645</c:v>
                </c:pt>
                <c:pt idx="495">
                  <c:v>-133.79889409024639</c:v>
                </c:pt>
                <c:pt idx="496">
                  <c:v>-133.91009491695078</c:v>
                </c:pt>
                <c:pt idx="497">
                  <c:v>-134.02358331121442</c:v>
                </c:pt>
                <c:pt idx="498">
                  <c:v>-134.13675927216906</c:v>
                </c:pt>
                <c:pt idx="499">
                  <c:v>-134.24962760894894</c:v>
                </c:pt>
                <c:pt idx="500">
                  <c:v>-134.3621930874682</c:v>
                </c:pt>
                <c:pt idx="501">
                  <c:v>-134.47709427443709</c:v>
                </c:pt>
                <c:pt idx="502">
                  <c:v>-134.59168816446575</c:v>
                </c:pt>
                <c:pt idx="503">
                  <c:v>-134.70597971847815</c:v>
                </c:pt>
                <c:pt idx="504">
                  <c:v>-134.81997384481724</c:v>
                </c:pt>
                <c:pt idx="505">
                  <c:v>-134.93628177666534</c:v>
                </c:pt>
                <c:pt idx="506">
                  <c:v>-135.052288688114</c:v>
                </c:pt>
                <c:pt idx="507">
                  <c:v>-135.16799965615763</c:v>
                </c:pt>
                <c:pt idx="508">
                  <c:v>-135.28341969627039</c:v>
                </c:pt>
                <c:pt idx="509">
                  <c:v>-135.40120361008806</c:v>
                </c:pt>
                <c:pt idx="510">
                  <c:v>-135.51869345234073</c:v>
                </c:pt>
                <c:pt idx="511">
                  <c:v>-135.63589438890384</c:v>
                </c:pt>
                <c:pt idx="512">
                  <c:v>-135.75281151555242</c:v>
                </c:pt>
                <c:pt idx="513">
                  <c:v>-135.87221209487967</c:v>
                </c:pt>
                <c:pt idx="514">
                  <c:v>-135.9913258263332</c:v>
                </c:pt>
                <c:pt idx="515">
                  <c:v>-136.11015794592183</c:v>
                </c:pt>
                <c:pt idx="516">
                  <c:v>-136.22871361119903</c:v>
                </c:pt>
                <c:pt idx="517">
                  <c:v>-136.34973437339701</c:v>
                </c:pt>
                <c:pt idx="518">
                  <c:v>-136.47047639818902</c:v>
                </c:pt>
                <c:pt idx="519">
                  <c:v>-136.59094495414001</c:v>
                </c:pt>
                <c:pt idx="520">
                  <c:v>-136.71114522362907</c:v>
                </c:pt>
                <c:pt idx="521">
                  <c:v>-136.83386213934429</c:v>
                </c:pt>
                <c:pt idx="522">
                  <c:v>-136.95630887555316</c:v>
                </c:pt>
                <c:pt idx="523">
                  <c:v>-137.0784907048367</c:v>
                </c:pt>
                <c:pt idx="524">
                  <c:v>-137.20041280636613</c:v>
                </c:pt>
                <c:pt idx="525">
                  <c:v>-137.32490362602869</c:v>
                </c:pt>
                <c:pt idx="526">
                  <c:v>-137.4491331843887</c:v>
                </c:pt>
                <c:pt idx="527">
                  <c:v>-137.57310672942864</c:v>
                </c:pt>
                <c:pt idx="528">
                  <c:v>-137.6968294090529</c:v>
                </c:pt>
                <c:pt idx="529">
                  <c:v>-137.82317339127371</c:v>
                </c:pt>
                <c:pt idx="530">
                  <c:v>-137.94926529828771</c:v>
                </c:pt>
                <c:pt idx="531">
                  <c:v>-138.07511032499059</c:v>
                </c:pt>
                <c:pt idx="532">
                  <c:v>-138.20071356013011</c:v>
                </c:pt>
                <c:pt idx="533">
                  <c:v>-138.32905733048813</c:v>
                </c:pt>
                <c:pt idx="534">
                  <c:v>-138.45715813452156</c:v>
                </c:pt>
                <c:pt idx="535">
                  <c:v>-138.5850210937223</c:v>
                </c:pt>
                <c:pt idx="536">
                  <c:v>-138.71265121777782</c:v>
                </c:pt>
                <c:pt idx="537">
                  <c:v>-138.84294331346737</c:v>
                </c:pt>
                <c:pt idx="538">
                  <c:v>-138.97300212769395</c:v>
                </c:pt>
                <c:pt idx="539">
                  <c:v>-139.10283266503129</c:v>
                </c:pt>
                <c:pt idx="540">
                  <c:v>-139.23243981373486</c:v>
                </c:pt>
                <c:pt idx="541">
                  <c:v>-139.36489397692668</c:v>
                </c:pt>
                <c:pt idx="542">
                  <c:v>-139.49712403180894</c:v>
                </c:pt>
                <c:pt idx="543">
                  <c:v>-139.62913485439066</c:v>
                </c:pt>
                <c:pt idx="544">
                  <c:v>-139.76093120009492</c:v>
                </c:pt>
                <c:pt idx="545">
                  <c:v>-139.89556334091859</c:v>
                </c:pt>
                <c:pt idx="546">
                  <c:v>-140.02998064677902</c:v>
                </c:pt>
                <c:pt idx="547">
                  <c:v>-140.16418783152122</c:v>
                </c:pt>
                <c:pt idx="548">
                  <c:v>-140.29818948511851</c:v>
                </c:pt>
                <c:pt idx="549">
                  <c:v>-140.43508138780285</c:v>
                </c:pt>
                <c:pt idx="550">
                  <c:v>-140.57176747763299</c:v>
                </c:pt>
                <c:pt idx="551">
                  <c:v>-140.70825228162633</c:v>
                </c:pt>
                <c:pt idx="552">
                  <c:v>-140.84454020041102</c:v>
                </c:pt>
                <c:pt idx="553">
                  <c:v>-140.98383697439814</c:v>
                </c:pt>
                <c:pt idx="554">
                  <c:v>-141.12293641809003</c:v>
                </c:pt>
                <c:pt idx="555">
                  <c:v>-141.26184285429983</c:v>
                </c:pt>
                <c:pt idx="556">
                  <c:v>-141.40056047748413</c:v>
                </c:pt>
                <c:pt idx="557">
                  <c:v>-141.68393228042598</c:v>
                </c:pt>
                <c:pt idx="558">
                  <c:v>-141.96656319242456</c:v>
                </c:pt>
                <c:pt idx="559">
                  <c:v>-142.2549383732165</c:v>
                </c:pt>
                <c:pt idx="560">
                  <c:v>-142.54260225856868</c:v>
                </c:pt>
                <c:pt idx="561">
                  <c:v>-142.83638487982412</c:v>
                </c:pt>
                <c:pt idx="562">
                  <c:v>-143.12948183817775</c:v>
                </c:pt>
                <c:pt idx="563">
                  <c:v>-143.42818872240642</c:v>
                </c:pt>
                <c:pt idx="564">
                  <c:v>-143.72623526075327</c:v>
                </c:pt>
                <c:pt idx="565">
                  <c:v>-144.03113593652151</c:v>
                </c:pt>
                <c:pt idx="566">
                  <c:v>-144.33539309668248</c:v>
                </c:pt>
                <c:pt idx="567">
                  <c:v>-144.64648809001918</c:v>
                </c:pt>
                <c:pt idx="568">
                  <c:v>-144.95695332479909</c:v>
                </c:pt>
                <c:pt idx="569">
                  <c:v>-145.27299998796713</c:v>
                </c:pt>
                <c:pt idx="570">
                  <c:v>-145.58843181077609</c:v>
                </c:pt>
                <c:pt idx="571">
                  <c:v>-145.91190051654894</c:v>
                </c:pt>
                <c:pt idx="572">
                  <c:v>-146.23475559260308</c:v>
                </c:pt>
                <c:pt idx="573">
                  <c:v>-146.56315635413361</c:v>
                </c:pt>
                <c:pt idx="574">
                  <c:v>-146.89094964541485</c:v>
                </c:pt>
                <c:pt idx="575">
                  <c:v>-147.22671813643186</c:v>
                </c:pt>
                <c:pt idx="576">
                  <c:v>-147.56187141599375</c:v>
                </c:pt>
                <c:pt idx="577">
                  <c:v>-148.97415062293251</c:v>
                </c:pt>
                <c:pt idx="578">
                  <c:v>-150.37600468145405</c:v>
                </c:pt>
                <c:pt idx="579">
                  <c:v>-153.41161380214714</c:v>
                </c:pt>
                <c:pt idx="580">
                  <c:v>-156.68254935728859</c:v>
                </c:pt>
                <c:pt idx="581">
                  <c:v>-160.18640277120664</c:v>
                </c:pt>
                <c:pt idx="582">
                  <c:v>-163.92014908370248</c:v>
                </c:pt>
                <c:pt idx="583">
                  <c:v>-167.86815387909425</c:v>
                </c:pt>
                <c:pt idx="584">
                  <c:v>-172.01309607653934</c:v>
                </c:pt>
                <c:pt idx="585">
                  <c:v>-176.32551294214201</c:v>
                </c:pt>
                <c:pt idx="586">
                  <c:v>-180.77296529776302</c:v>
                </c:pt>
                <c:pt idx="587">
                  <c:v>-185.32031327417531</c:v>
                </c:pt>
                <c:pt idx="588">
                  <c:v>-189.92262382130306</c:v>
                </c:pt>
                <c:pt idx="589">
                  <c:v>-194.54167636871369</c:v>
                </c:pt>
                <c:pt idx="590">
                  <c:v>-199.13423777354302</c:v>
                </c:pt>
                <c:pt idx="591">
                  <c:v>-203.66124039276394</c:v>
                </c:pt>
                <c:pt idx="592">
                  <c:v>-208.08602789855487</c:v>
                </c:pt>
                <c:pt idx="593">
                  <c:v>-212.37832510428953</c:v>
                </c:pt>
                <c:pt idx="594">
                  <c:v>-216.51059846594882</c:v>
                </c:pt>
                <c:pt idx="595">
                  <c:v>-220.46282402093408</c:v>
                </c:pt>
                <c:pt idx="596">
                  <c:v>-224.21887204189534</c:v>
                </c:pt>
                <c:pt idx="597">
                  <c:v>-227.76945399925356</c:v>
                </c:pt>
                <c:pt idx="598">
                  <c:v>-231.1083588411818</c:v>
                </c:pt>
                <c:pt idx="599">
                  <c:v>-234.23522637513722</c:v>
                </c:pt>
                <c:pt idx="600">
                  <c:v>-237.15177461285435</c:v>
                </c:pt>
              </c:numCache>
            </c:numRef>
          </c:yVal>
          <c:smooth val="0"/>
          <c:extLst>
            <c:ext xmlns:c16="http://schemas.microsoft.com/office/drawing/2014/chart" uri="{C3380CC4-5D6E-409C-BE32-E72D297353CC}">
              <c16:uniqueId val="{00000001-3ACD-44F4-848D-198E224AD898}"/>
            </c:ext>
          </c:extLst>
        </c:ser>
        <c:dLbls>
          <c:showLegendKey val="0"/>
          <c:showVal val="0"/>
          <c:showCatName val="0"/>
          <c:showSerName val="0"/>
          <c:showPercent val="0"/>
          <c:showBubbleSize val="0"/>
        </c:dLbls>
        <c:axId val="150001152"/>
        <c:axId val="150002688"/>
      </c:scatterChart>
      <c:valAx>
        <c:axId val="149980672"/>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9982592"/>
        <c:crossesAt val="-40"/>
        <c:crossBetween val="midCat"/>
        <c:majorUnit val="10"/>
        <c:minorUnit val="10"/>
      </c:valAx>
      <c:valAx>
        <c:axId val="149982592"/>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49980672"/>
        <c:crossesAt val="0.1"/>
        <c:crossBetween val="midCat"/>
        <c:majorUnit val="20"/>
        <c:minorUnit val="4"/>
      </c:valAx>
      <c:valAx>
        <c:axId val="150001152"/>
        <c:scaling>
          <c:logBase val="10"/>
          <c:orientation val="minMax"/>
        </c:scaling>
        <c:delete val="1"/>
        <c:axPos val="t"/>
        <c:numFmt formatCode="General" sourceLinked="1"/>
        <c:majorTickMark val="out"/>
        <c:minorTickMark val="none"/>
        <c:tickLblPos val="none"/>
        <c:crossAx val="150002688"/>
        <c:crossesAt val="0"/>
        <c:crossBetween val="midCat"/>
      </c:valAx>
      <c:valAx>
        <c:axId val="150002688"/>
        <c:scaling>
          <c:orientation val="minMax"/>
          <c:max val="0"/>
          <c:min val="-27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5000115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6" fmlaLink="$E$71" max="100" min="1" page="10" val="10"/>
</file>

<file path=xl/ctrlProps/ctrlProp4.xml><?xml version="1.0" encoding="utf-8"?>
<formControlPr xmlns="http://schemas.microsoft.com/office/spreadsheetml/2009/9/main" objectType="Spin" dx="16" fmlaLink="$E$7" max="58" page="10" val="19"/>
</file>

<file path=xl/ctrlProps/ctrlProp5.xml><?xml version="1.0" encoding="utf-8"?>
<formControlPr xmlns="http://schemas.microsoft.com/office/spreadsheetml/2009/9/main" objectType="Drop" dropLines="2" dropStyle="combo" dx="16" fmlaLink="'Variable Management'!$L$10" fmlaRange="'Variable Management'!$K$8:$K$9" noThreeD="1" sel="1" val="0"/>
</file>

<file path=xl/ctrlProps/ctrlProp6.xml><?xml version="1.0" encoding="utf-8"?>
<formControlPr xmlns="http://schemas.microsoft.com/office/spreadsheetml/2009/9/main" objectType="Drop" dropLines="2" dropStyle="combo" dx="16" fmlaLink="'Variable Management'!$O$10" fmlaRange="'Variable Management'!$M$8:$M$9" noThreeD="1" sel="1" val="0"/>
</file>

<file path=xl/ctrlProps/ctrlProp7.xml><?xml version="1.0" encoding="utf-8"?>
<formControlPr xmlns="http://schemas.microsoft.com/office/spreadsheetml/2009/9/main" objectType="Spin" dx="16" fmlaLink="$E$7" max="58" page="10" val="19"/>
</file>

<file path=xl/drawings/_rels/drawing1.xml.rels><?xml version="1.0" encoding="UTF-8" standalone="yes"?>
<Relationships xmlns="http://schemas.openxmlformats.org/package/2006/relationships"><Relationship Id="rId3" Type="http://schemas.openxmlformats.org/officeDocument/2006/relationships/image" Target="../media/image2.jpg"/><Relationship Id="rId7" Type="http://schemas.openxmlformats.org/officeDocument/2006/relationships/image" Target="../media/image6.jpeg"/><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5.emf"/><Relationship Id="rId5" Type="http://schemas.openxmlformats.org/officeDocument/2006/relationships/image" Target="../media/image4.jpg"/><Relationship Id="rId4" Type="http://schemas.openxmlformats.org/officeDocument/2006/relationships/image" Target="../media/image3.jpg"/></Relationships>
</file>

<file path=xl/drawings/_rels/drawing3.x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drawing4.xml.rels><?xml version="1.0" encoding="UTF-8" standalone="yes"?>
<Relationships xmlns="http://schemas.openxmlformats.org/package/2006/relationships"><Relationship Id="rId8" Type="http://schemas.openxmlformats.org/officeDocument/2006/relationships/image" Target="../media/image19.jpg"/><Relationship Id="rId3" Type="http://schemas.openxmlformats.org/officeDocument/2006/relationships/image" Target="../media/image14.jpg"/><Relationship Id="rId7" Type="http://schemas.openxmlformats.org/officeDocument/2006/relationships/image" Target="../media/image18.jpg"/><Relationship Id="rId12" Type="http://schemas.openxmlformats.org/officeDocument/2006/relationships/image" Target="../media/image23.jpg"/><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jpg"/><Relationship Id="rId11" Type="http://schemas.openxmlformats.org/officeDocument/2006/relationships/image" Target="../media/image22.jpg"/><Relationship Id="rId5" Type="http://schemas.openxmlformats.org/officeDocument/2006/relationships/image" Target="../media/image16.jpg"/><Relationship Id="rId10" Type="http://schemas.openxmlformats.org/officeDocument/2006/relationships/image" Target="../media/image21.jpg"/><Relationship Id="rId4" Type="http://schemas.openxmlformats.org/officeDocument/2006/relationships/image" Target="../media/image15.jpg"/><Relationship Id="rId9" Type="http://schemas.openxmlformats.org/officeDocument/2006/relationships/image" Target="../media/image20.jpg"/></Relationships>
</file>

<file path=xl/drawings/_rels/drawing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drawing6.x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77</xdr:row>
          <xdr:rowOff>76200</xdr:rowOff>
        </xdr:from>
        <xdr:to>
          <xdr:col>2</xdr:col>
          <xdr:colOff>895350</xdr:colOff>
          <xdr:row>79</xdr:row>
          <xdr:rowOff>133350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314325</xdr:colOff>
          <xdr:row>77</xdr:row>
          <xdr:rowOff>76200</xdr:rowOff>
        </xdr:from>
        <xdr:to>
          <xdr:col>2</xdr:col>
          <xdr:colOff>895350</xdr:colOff>
          <xdr:row>79</xdr:row>
          <xdr:rowOff>133350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xdr:twoCellAnchor editAs="absolute">
    <xdr:from>
      <xdr:col>6</xdr:col>
      <xdr:colOff>266700</xdr:colOff>
      <xdr:row>45</xdr:row>
      <xdr:rowOff>13336</xdr:rowOff>
    </xdr:from>
    <xdr:to>
      <xdr:col>16</xdr:col>
      <xdr:colOff>2352675</xdr:colOff>
      <xdr:row>73</xdr:row>
      <xdr:rowOff>189246</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190500</xdr:colOff>
          <xdr:row>84</xdr:row>
          <xdr:rowOff>127551</xdr:rowOff>
        </xdr:from>
        <xdr:to>
          <xdr:col>16</xdr:col>
          <xdr:colOff>2468096</xdr:colOff>
          <xdr:row>113</xdr:row>
          <xdr:rowOff>37344</xdr:rowOff>
        </xdr:to>
        <xdr:pic>
          <xdr:nvPicPr>
            <xdr:cNvPr id="72" name="Picture 8888">
              <a:extLst>
                <a:ext uri="{FF2B5EF4-FFF2-40B4-BE49-F238E27FC236}">
                  <a16:creationId xmlns:a16="http://schemas.microsoft.com/office/drawing/2014/main" id="{00000000-0008-0000-0000-000048000000}"/>
                </a:ext>
              </a:extLst>
            </xdr:cNvPr>
            <xdr:cNvPicPr>
              <a:picLocks noChangeAspect="1" noChangeArrowheads="1"/>
              <a:extLst>
                <a:ext uri="{84589F7E-364E-4C9E-8A38-B11213B215E9}">
                  <a14:cameraTool cellRange="PICTURE" spid="_x0000_s673376"/>
                </a:ext>
              </a:extLst>
            </xdr:cNvPicPr>
          </xdr:nvPicPr>
          <xdr:blipFill>
            <a:blip xmlns:r="http://schemas.openxmlformats.org/officeDocument/2006/relationships" r:embed="rId2"/>
            <a:srcRect/>
            <a:stretch>
              <a:fillRect/>
            </a:stretch>
          </xdr:blipFill>
          <xdr:spPr bwMode="auto">
            <a:xfrm>
              <a:off x="4505325" y="16262901"/>
              <a:ext cx="8449796" cy="5253318"/>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xdr:from>
      <xdr:col>7</xdr:col>
      <xdr:colOff>392728</xdr:colOff>
      <xdr:row>64</xdr:row>
      <xdr:rowOff>4766</xdr:rowOff>
    </xdr:from>
    <xdr:to>
      <xdr:col>10</xdr:col>
      <xdr:colOff>361950</xdr:colOff>
      <xdr:row>65</xdr:row>
      <xdr:rowOff>14928</xdr:rowOff>
    </xdr:to>
    <xdr:sp macro="" textlink="'Variable Management'!A453">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700959" y="12057554"/>
          <a:ext cx="2196606" cy="20066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15.1 kHz</a:t>
          </a:fld>
          <a:endParaRPr lang="en-US" sz="1100" b="1" i="0" u="none" strike="noStrike" baseline="0">
            <a:solidFill>
              <a:srgbClr val="FF0000"/>
            </a:solidFill>
            <a:latin typeface="Arial"/>
            <a:cs typeface="Arial"/>
          </a:endParaRPr>
        </a:p>
      </xdr:txBody>
    </xdr:sp>
    <xdr:clientData/>
  </xdr:twoCellAnchor>
  <xdr:twoCellAnchor>
    <xdr:from>
      <xdr:col>7</xdr:col>
      <xdr:colOff>422779</xdr:colOff>
      <xdr:row>65</xdr:row>
      <xdr:rowOff>162115</xdr:rowOff>
    </xdr:from>
    <xdr:to>
      <xdr:col>9</xdr:col>
      <xdr:colOff>457199</xdr:colOff>
      <xdr:row>66</xdr:row>
      <xdr:rowOff>201318</xdr:rowOff>
    </xdr:to>
    <xdr:sp macro="" textlink="'Variable Management'!A454">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731010" y="12405403"/>
          <a:ext cx="1433862" cy="207723"/>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62°</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70</xdr:row>
          <xdr:rowOff>0</xdr:rowOff>
        </xdr:from>
        <xdr:to>
          <xdr:col>5</xdr:col>
          <xdr:colOff>180975</xdr:colOff>
          <xdr:row>70</xdr:row>
          <xdr:rowOff>180975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6</xdr:row>
          <xdr:rowOff>9525</xdr:rowOff>
        </xdr:from>
        <xdr:to>
          <xdr:col>5</xdr:col>
          <xdr:colOff>304800</xdr:colOff>
          <xdr:row>7</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58613</xdr:colOff>
      <xdr:row>0</xdr:row>
      <xdr:rowOff>29308</xdr:rowOff>
    </xdr:from>
    <xdr:to>
      <xdr:col>3</xdr:col>
      <xdr:colOff>331909</xdr:colOff>
      <xdr:row>0</xdr:row>
      <xdr:rowOff>567964</xdr:rowOff>
    </xdr:to>
    <xdr:pic macro="[0]!OpenLM27403ProductFolder">
      <xdr:nvPicPr>
        <xdr:cNvPr id="69" name="Picture 68">
          <a:extLst>
            <a:ext uri="{FF2B5EF4-FFF2-40B4-BE49-F238E27FC236}">
              <a16:creationId xmlns:a16="http://schemas.microsoft.com/office/drawing/2014/main" id="{00000000-0008-0000-0000-000045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896" b="8304"/>
        <a:stretch/>
      </xdr:blipFill>
      <xdr:spPr>
        <a:xfrm>
          <a:off x="58613" y="29308"/>
          <a:ext cx="2283071" cy="538656"/>
        </a:xfrm>
        <a:prstGeom prst="rect">
          <a:avLst/>
        </a:prstGeom>
      </xdr:spPr>
    </xdr:pic>
    <xdr:clientData/>
  </xdr:twoCellAnchor>
  <xdr:twoCellAnchor editAs="oneCell">
    <xdr:from>
      <xdr:col>16</xdr:col>
      <xdr:colOff>214311</xdr:colOff>
      <xdr:row>0</xdr:row>
      <xdr:rowOff>104775</xdr:rowOff>
    </xdr:from>
    <xdr:to>
      <xdr:col>16</xdr:col>
      <xdr:colOff>1275015</xdr:colOff>
      <xdr:row>2</xdr:row>
      <xdr:rowOff>157096</xdr:rowOff>
    </xdr:to>
    <xdr:pic macro="[0]!OpenLM27403ProductFolder">
      <xdr:nvPicPr>
        <xdr:cNvPr id="68" name="Picture 67">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723561" y="104775"/>
          <a:ext cx="1060704" cy="830196"/>
        </a:xfrm>
        <a:prstGeom prst="rect">
          <a:avLst/>
        </a:prstGeom>
      </xdr:spPr>
    </xdr:pic>
    <xdr:clientData/>
  </xdr:twoCellAnchor>
  <xdr:twoCellAnchor editAs="oneCell">
    <xdr:from>
      <xdr:col>16</xdr:col>
      <xdr:colOff>1360848</xdr:colOff>
      <xdr:row>0</xdr:row>
      <xdr:rowOff>108713</xdr:rowOff>
    </xdr:from>
    <xdr:to>
      <xdr:col>16</xdr:col>
      <xdr:colOff>2417480</xdr:colOff>
      <xdr:row>2</xdr:row>
      <xdr:rowOff>163079</xdr:rowOff>
    </xdr:to>
    <xdr:pic macro="[0]!OpenLM27403ProductFolder">
      <xdr:nvPicPr>
        <xdr:cNvPr id="70" name="Picture 69">
          <a:extLst>
            <a:ext uri="{FF2B5EF4-FFF2-40B4-BE49-F238E27FC236}">
              <a16:creationId xmlns:a16="http://schemas.microsoft.com/office/drawing/2014/main" id="{00000000-0008-0000-0000-00004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870098" y="108713"/>
          <a:ext cx="1056632" cy="83224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219075</xdr:colOff>
          <xdr:row>83</xdr:row>
          <xdr:rowOff>133350</xdr:rowOff>
        </xdr:from>
        <xdr:to>
          <xdr:col>9</xdr:col>
          <xdr:colOff>200025</xdr:colOff>
          <xdr:row>84</xdr:row>
          <xdr:rowOff>123825</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942415</xdr:colOff>
      <xdr:row>88</xdr:row>
      <xdr:rowOff>24932</xdr:rowOff>
    </xdr:from>
    <xdr:to>
      <xdr:col>16</xdr:col>
      <xdr:colOff>1364358</xdr:colOff>
      <xdr:row>89</xdr:row>
      <xdr:rowOff>72557</xdr:rowOff>
    </xdr:to>
    <xdr:sp macro="" textlink="'Variable Management'!$B$457">
      <xdr:nvSpPr>
        <xdr:cNvPr id="73" name="Text Box 24">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1429440"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97.9%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580465</xdr:colOff>
      <xdr:row>88</xdr:row>
      <xdr:rowOff>24932</xdr:rowOff>
    </xdr:from>
    <xdr:to>
      <xdr:col>13</xdr:col>
      <xdr:colOff>392808</xdr:colOff>
      <xdr:row>89</xdr:row>
      <xdr:rowOff>72557</xdr:rowOff>
    </xdr:to>
    <xdr:sp macro="" textlink="'Variable Management'!$B$458">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8562415"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97.7%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8</xdr:col>
      <xdr:colOff>151840</xdr:colOff>
      <xdr:row>88</xdr:row>
      <xdr:rowOff>24932</xdr:rowOff>
    </xdr:from>
    <xdr:to>
      <xdr:col>8</xdr:col>
      <xdr:colOff>573783</xdr:colOff>
      <xdr:row>89</xdr:row>
      <xdr:rowOff>72557</xdr:rowOff>
    </xdr:to>
    <xdr:sp macro="" textlink="'Variable Management'!$B$456">
      <xdr:nvSpPr>
        <xdr:cNvPr id="89" name="Text Box 24">
          <a:extLst>
            <a:ext uri="{FF2B5EF4-FFF2-40B4-BE49-F238E27FC236}">
              <a16:creationId xmlns:a16="http://schemas.microsoft.com/office/drawing/2014/main" id="{00000000-0008-0000-0000-000059000000}"/>
            </a:ext>
          </a:extLst>
        </xdr:cNvPr>
        <xdr:cNvSpPr txBox="1">
          <a:spLocks noChangeArrowheads="1" noTextEdit="1"/>
        </xdr:cNvSpPr>
      </xdr:nvSpPr>
      <xdr:spPr bwMode="auto">
        <a:xfrm>
          <a:off x="5257240"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432ED2DE-3BD0-4309-A8FE-05B28CC10D2D}" type="TxLink">
            <a:rPr lang="en-US" sz="1000" b="0" i="0" u="none" strike="noStrike" baseline="0">
              <a:solidFill>
                <a:srgbClr val="000000"/>
              </a:solidFill>
              <a:latin typeface="Arial"/>
              <a:cs typeface="Arial"/>
            </a:rPr>
            <a:pPr algn="l" rtl="0">
              <a:defRPr sz="1000"/>
            </a:pPr>
            <a:t> </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1</xdr:col>
          <xdr:colOff>476250</xdr:colOff>
          <xdr:row>60</xdr:row>
          <xdr:rowOff>28575</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321205</xdr:colOff>
          <xdr:row>10</xdr:row>
          <xdr:rowOff>73254</xdr:rowOff>
        </xdr:from>
        <xdr:to>
          <xdr:col>16</xdr:col>
          <xdr:colOff>2405565</xdr:colOff>
          <xdr:row>37</xdr:row>
          <xdr:rowOff>19050</xdr:rowOff>
        </xdr:to>
        <xdr:pic>
          <xdr:nvPicPr>
            <xdr:cNvPr id="96" name="Picture 8888">
              <a:extLst>
                <a:ext uri="{FF2B5EF4-FFF2-40B4-BE49-F238E27FC236}">
                  <a16:creationId xmlns:a16="http://schemas.microsoft.com/office/drawing/2014/main" id="{00000000-0008-0000-0000-000060000000}"/>
                </a:ext>
              </a:extLst>
            </xdr:cNvPr>
            <xdr:cNvPicPr>
              <a:picLocks noChangeAspect="1" noChangeArrowheads="1"/>
              <a:extLst>
                <a:ext uri="{84589F7E-364E-4C9E-8A38-B11213B215E9}">
                  <a14:cameraTool cellRange="PICTURE2" spid="_x0000_s673377"/>
                </a:ext>
              </a:extLst>
            </xdr:cNvPicPr>
          </xdr:nvPicPr>
          <xdr:blipFill>
            <a:blip xmlns:r="http://schemas.openxmlformats.org/officeDocument/2006/relationships" r:embed="rId6"/>
            <a:srcRect/>
            <a:stretch>
              <a:fillRect/>
            </a:stretch>
          </xdr:blipFill>
          <xdr:spPr bwMode="auto">
            <a:xfrm>
              <a:off x="3845455" y="2321154"/>
              <a:ext cx="9047135" cy="4965471"/>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428625</xdr:colOff>
          <xdr:row>46</xdr:row>
          <xdr:rowOff>0</xdr:rowOff>
        </xdr:from>
        <xdr:to>
          <xdr:col>14</xdr:col>
          <xdr:colOff>0</xdr:colOff>
          <xdr:row>47</xdr:row>
          <xdr:rowOff>9525</xdr:rowOff>
        </xdr:to>
        <xdr:sp macro="" textlink="">
          <xdr:nvSpPr>
            <xdr:cNvPr id="673295" name="Spinner 527" hidden="1">
              <a:extLst>
                <a:ext uri="{63B3BB69-23CF-44E3-9099-C40C66FF867C}">
                  <a14:compatExt spid="_x0000_s673295"/>
                </a:ext>
                <a:ext uri="{FF2B5EF4-FFF2-40B4-BE49-F238E27FC236}">
                  <a16:creationId xmlns:a16="http://schemas.microsoft.com/office/drawing/2014/main" id="{00000000-0008-0000-0000-00000F46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16</xdr:col>
      <xdr:colOff>685799</xdr:colOff>
      <xdr:row>38</xdr:row>
      <xdr:rowOff>112440</xdr:rowOff>
    </xdr:from>
    <xdr:to>
      <xdr:col>16</xdr:col>
      <xdr:colOff>2085974</xdr:colOff>
      <xdr:row>43</xdr:row>
      <xdr:rowOff>66294</xdr:rowOff>
    </xdr:to>
    <xdr:pic macro="[0]!OpenLM27403ProductFolder">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172824" y="7551465"/>
          <a:ext cx="1400175" cy="915879"/>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0.08469</cdr:x>
      <cdr:y>0.4934</cdr:y>
    </cdr:from>
    <cdr:to>
      <cdr:x>0.9187</cdr:x>
      <cdr:y>0.49511</cdr:y>
    </cdr:to>
    <cdr:sp macro="" textlink="">
      <cdr:nvSpPr>
        <cdr:cNvPr id="8195" name="Line 3"/>
        <cdr:cNvSpPr>
          <a:spLocks xmlns:a="http://schemas.openxmlformats.org/drawingml/2006/main" noChangeShapeType="1"/>
        </cdr:cNvSpPr>
      </cdr:nvSpPr>
      <cdr:spPr bwMode="auto">
        <a:xfrm xmlns:a="http://schemas.openxmlformats.org/drawingml/2006/main">
          <a:off x="733103" y="2356792"/>
          <a:ext cx="7219652" cy="8168"/>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0.92392</cdr:x>
      <cdr:y>0.56277</cdr:y>
    </cdr:from>
    <cdr:to>
      <cdr:x>0.97055</cdr:x>
      <cdr:y>0.61867</cdr:y>
    </cdr:to>
    <cdr:sp macro="" textlink="'Variable Management'!$B$454">
      <cdr:nvSpPr>
        <cdr:cNvPr id="3" name="Text Box 24"/>
        <cdr:cNvSpPr txBox="1">
          <a:spLocks xmlns:a="http://schemas.openxmlformats.org/drawingml/2006/main" noChangeArrowheads="1" noTextEdit="1"/>
        </cdr:cNvSpPr>
      </cdr:nvSpPr>
      <cdr:spPr bwMode="auto">
        <a:xfrm xmlns:a="http://schemas.openxmlformats.org/drawingml/2006/main">
          <a:off x="8004815" y="2953578"/>
          <a:ext cx="404001" cy="29337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62°</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0</xdr:col>
      <xdr:colOff>123825</xdr:colOff>
      <xdr:row>1</xdr:row>
      <xdr:rowOff>9524</xdr:rowOff>
    </xdr:from>
    <xdr:to>
      <xdr:col>9</xdr:col>
      <xdr:colOff>1219200</xdr:colOff>
      <xdr:row>44</xdr:row>
      <xdr:rowOff>85725</xdr:rowOff>
    </xdr:to>
    <xdr:pic>
      <xdr:nvPicPr>
        <xdr:cNvPr id="108" name="Picture 107">
          <a:extLst>
            <a:ext uri="{FF2B5EF4-FFF2-40B4-BE49-F238E27FC236}">
              <a16:creationId xmlns:a16="http://schemas.microsoft.com/office/drawing/2014/main" id="{00000000-0008-0000-01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171449"/>
          <a:ext cx="10734675" cy="70770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3</xdr:row>
      <xdr:rowOff>47624</xdr:rowOff>
    </xdr:from>
    <xdr:to>
      <xdr:col>9</xdr:col>
      <xdr:colOff>1200150</xdr:colOff>
      <xdr:row>42</xdr:row>
      <xdr:rowOff>81752</xdr:rowOff>
    </xdr:to>
    <xdr:pic>
      <xdr:nvPicPr>
        <xdr:cNvPr id="74" name="Picture 73">
          <a:extLst>
            <a:ext uri="{FF2B5EF4-FFF2-40B4-BE49-F238E27FC236}">
              <a16:creationId xmlns:a16="http://schemas.microsoft.com/office/drawing/2014/main" id="{00000000-0008-0000-0100-00004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8625" y="533399"/>
          <a:ext cx="10410825" cy="63492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742225</xdr:colOff>
      <xdr:row>11</xdr:row>
      <xdr:rowOff>54039</xdr:rowOff>
    </xdr:from>
    <xdr:to>
      <xdr:col>10</xdr:col>
      <xdr:colOff>113596</xdr:colOff>
      <xdr:row>12</xdr:row>
      <xdr:rowOff>137902</xdr:rowOff>
    </xdr:to>
    <xdr:sp macro="" textlink="'Variable Management'!B431">
      <xdr:nvSpPr>
        <xdr:cNvPr id="23" name="Text Box 285">
          <a:extLst>
            <a:ext uri="{FF2B5EF4-FFF2-40B4-BE49-F238E27FC236}">
              <a16:creationId xmlns:a16="http://schemas.microsoft.com/office/drawing/2014/main" id="{00000000-0008-0000-0100-000017000000}"/>
            </a:ext>
          </a:extLst>
        </xdr:cNvPr>
        <xdr:cNvSpPr txBox="1">
          <a:spLocks noChangeArrowheads="1" noTextEdit="1"/>
        </xdr:cNvSpPr>
      </xdr:nvSpPr>
      <xdr:spPr bwMode="auto">
        <a:xfrm>
          <a:off x="10376082" y="1850182"/>
          <a:ext cx="521175" cy="247149"/>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12V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9</xdr:col>
      <xdr:colOff>611176</xdr:colOff>
      <xdr:row>12</xdr:row>
      <xdr:rowOff>116821</xdr:rowOff>
    </xdr:from>
    <xdr:to>
      <xdr:col>9</xdr:col>
      <xdr:colOff>1171576</xdr:colOff>
      <xdr:row>14</xdr:row>
      <xdr:rowOff>29271</xdr:rowOff>
    </xdr:to>
    <xdr:sp macro="" textlink="'Variable Management'!B473">
      <xdr:nvSpPr>
        <xdr:cNvPr id="24" name="Text Box 286">
          <a:extLst>
            <a:ext uri="{FF2B5EF4-FFF2-40B4-BE49-F238E27FC236}">
              <a16:creationId xmlns:a16="http://schemas.microsoft.com/office/drawing/2014/main" id="{00000000-0008-0000-0100-000018000000}"/>
            </a:ext>
          </a:extLst>
        </xdr:cNvPr>
        <xdr:cNvSpPr txBox="1">
          <a:spLocks noChangeArrowheads="1" noTextEdit="1"/>
        </xdr:cNvSpPr>
      </xdr:nvSpPr>
      <xdr:spPr bwMode="auto">
        <a:xfrm>
          <a:off x="10250476" y="2059921"/>
          <a:ext cx="560400" cy="236300"/>
        </a:xfrm>
        <a:prstGeom prst="rect">
          <a:avLst/>
        </a:prstGeom>
        <a:noFill/>
        <a:ln w="9525">
          <a:noFill/>
          <a:miter lim="800000"/>
          <a:headEnd/>
          <a:tailEnd/>
        </a:ln>
      </xdr:spPr>
      <xdr:txBody>
        <a:bodyPr vertOverflow="clip" wrap="square" lIns="27432" tIns="22860" rIns="0" bIns="0" anchor="t" upright="1"/>
        <a:lstStyle/>
        <a:p>
          <a:pPr algn="ctr" rtl="0">
            <a:defRPr sz="1000"/>
          </a:pPr>
          <a:fld id="{E0FB88FA-F39E-4ACF-AB5E-DCB628763AAE}" type="TxLink">
            <a:rPr lang="en-US" sz="1200" b="1" i="0" u="none" strike="noStrike">
              <a:solidFill>
                <a:srgbClr val="FF0000"/>
              </a:solidFill>
              <a:latin typeface="Arial" pitchFamily="34" charset="0"/>
              <a:cs typeface="Arial" pitchFamily="34" charset="0"/>
            </a:rPr>
            <a:pPr algn="ctr"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7</xdr:col>
      <xdr:colOff>215765</xdr:colOff>
      <xdr:row>21</xdr:row>
      <xdr:rowOff>138591</xdr:rowOff>
    </xdr:from>
    <xdr:to>
      <xdr:col>7</xdr:col>
      <xdr:colOff>621919</xdr:colOff>
      <xdr:row>23</xdr:row>
      <xdr:rowOff>25832</xdr:rowOff>
    </xdr:to>
    <xdr:sp macro="" textlink="'Variable Management'!B438">
      <xdr:nvSpPr>
        <xdr:cNvPr id="26" name="Text Box 276">
          <a:extLst>
            <a:ext uri="{FF2B5EF4-FFF2-40B4-BE49-F238E27FC236}">
              <a16:creationId xmlns:a16="http://schemas.microsoft.com/office/drawing/2014/main" id="{00000000-0008-0000-0100-00001A000000}"/>
            </a:ext>
          </a:extLst>
        </xdr:cNvPr>
        <xdr:cNvSpPr txBox="1">
          <a:spLocks noChangeArrowheads="1" noTextEdit="1"/>
        </xdr:cNvSpPr>
      </xdr:nvSpPr>
      <xdr:spPr bwMode="auto">
        <a:xfrm>
          <a:off x="7796351" y="3587298"/>
          <a:ext cx="406154" cy="215689"/>
        </a:xfrm>
        <a:prstGeom prst="rect">
          <a:avLst/>
        </a:prstGeom>
        <a:noFill/>
        <a:ln w="9525">
          <a:noFill/>
          <a:miter lim="800000"/>
          <a:headEnd/>
          <a:tailEnd/>
        </a:ln>
      </xdr:spPr>
      <xdr:txBody>
        <a:bodyPr vertOverflow="clip" wrap="square" lIns="27432" tIns="22860" rIns="0" bIns="0" anchor="ctr" upright="1"/>
        <a:lstStyle/>
        <a:p>
          <a:pPr algn="l" rtl="0">
            <a:defRPr sz="1000"/>
          </a:pPr>
          <a:fld id="{8EC17DC9-9599-436B-83BE-CF5CE4344793}" type="TxLink">
            <a:rPr lang="en-US" sz="1000" b="0" i="0" u="none" strike="noStrike" baseline="0">
              <a:solidFill>
                <a:srgbClr val="000000"/>
              </a:solidFill>
              <a:latin typeface="Arialri"/>
              <a:cs typeface="Arial" pitchFamily="34" charset="0"/>
            </a:rPr>
            <a:pPr algn="l" rtl="0">
              <a:defRPr sz="1000"/>
            </a:pPr>
            <a:t>10µF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365389</xdr:colOff>
      <xdr:row>21</xdr:row>
      <xdr:rowOff>135869</xdr:rowOff>
    </xdr:from>
    <xdr:to>
      <xdr:col>1</xdr:col>
      <xdr:colOff>230978</xdr:colOff>
      <xdr:row>23</xdr:row>
      <xdr:rowOff>26451</xdr:rowOff>
    </xdr:to>
    <xdr:sp macro="" textlink="">
      <xdr:nvSpPr>
        <xdr:cNvPr id="30" name="Text Box 224">
          <a:extLst>
            <a:ext uri="{FF2B5EF4-FFF2-40B4-BE49-F238E27FC236}">
              <a16:creationId xmlns:a16="http://schemas.microsoft.com/office/drawing/2014/main" id="{00000000-0008-0000-0100-00001E000000}"/>
            </a:ext>
          </a:extLst>
        </xdr:cNvPr>
        <xdr:cNvSpPr txBox="1">
          <a:spLocks noChangeArrowheads="1"/>
        </xdr:cNvSpPr>
      </xdr:nvSpPr>
      <xdr:spPr bwMode="auto">
        <a:xfrm>
          <a:off x="365389" y="3614565"/>
          <a:ext cx="503350" cy="22188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SLOPE</a:t>
          </a:r>
        </a:p>
      </xdr:txBody>
    </xdr:sp>
    <xdr:clientData/>
  </xdr:twoCellAnchor>
  <xdr:twoCellAnchor>
    <xdr:from>
      <xdr:col>2</xdr:col>
      <xdr:colOff>159713</xdr:colOff>
      <xdr:row>37</xdr:row>
      <xdr:rowOff>159333</xdr:rowOff>
    </xdr:from>
    <xdr:to>
      <xdr:col>2</xdr:col>
      <xdr:colOff>479651</xdr:colOff>
      <xdr:row>39</xdr:row>
      <xdr:rowOff>38653</xdr:rowOff>
    </xdr:to>
    <xdr:sp macro="" textlink="">
      <xdr:nvSpPr>
        <xdr:cNvPr id="31" name="Text Box 225">
          <a:extLst>
            <a:ext uri="{FF2B5EF4-FFF2-40B4-BE49-F238E27FC236}">
              <a16:creationId xmlns:a16="http://schemas.microsoft.com/office/drawing/2014/main" id="{00000000-0008-0000-0100-00001F000000}"/>
            </a:ext>
          </a:extLst>
        </xdr:cNvPr>
        <xdr:cNvSpPr txBox="1">
          <a:spLocks noChangeArrowheads="1"/>
        </xdr:cNvSpPr>
      </xdr:nvSpPr>
      <xdr:spPr bwMode="auto">
        <a:xfrm>
          <a:off x="2150438" y="6150558"/>
          <a:ext cx="319938" cy="20317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7</xdr:col>
      <xdr:colOff>1034941</xdr:colOff>
      <xdr:row>19</xdr:row>
      <xdr:rowOff>127711</xdr:rowOff>
    </xdr:from>
    <xdr:to>
      <xdr:col>8</xdr:col>
      <xdr:colOff>381857</xdr:colOff>
      <xdr:row>20</xdr:row>
      <xdr:rowOff>159098</xdr:rowOff>
    </xdr:to>
    <xdr:sp macro="" textlink="">
      <xdr:nvSpPr>
        <xdr:cNvPr id="33" name="Text Box 228">
          <a:extLst>
            <a:ext uri="{FF2B5EF4-FFF2-40B4-BE49-F238E27FC236}">
              <a16:creationId xmlns:a16="http://schemas.microsoft.com/office/drawing/2014/main" id="{00000000-0008-0000-0100-000021000000}"/>
            </a:ext>
          </a:extLst>
        </xdr:cNvPr>
        <xdr:cNvSpPr txBox="1">
          <a:spLocks noChangeArrowheads="1"/>
        </xdr:cNvSpPr>
      </xdr:nvSpPr>
      <xdr:spPr bwMode="auto">
        <a:xfrm>
          <a:off x="8615527" y="3247970"/>
          <a:ext cx="424227" cy="19561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9</xdr:col>
      <xdr:colOff>141502</xdr:colOff>
      <xdr:row>11</xdr:row>
      <xdr:rowOff>18316</xdr:rowOff>
    </xdr:from>
    <xdr:to>
      <xdr:col>9</xdr:col>
      <xdr:colOff>606793</xdr:colOff>
      <xdr:row>12</xdr:row>
      <xdr:rowOff>78135</xdr:rowOff>
    </xdr:to>
    <xdr:sp macro="" textlink="">
      <xdr:nvSpPr>
        <xdr:cNvPr id="34" name="Text Box 231">
          <a:extLst>
            <a:ext uri="{FF2B5EF4-FFF2-40B4-BE49-F238E27FC236}">
              <a16:creationId xmlns:a16="http://schemas.microsoft.com/office/drawing/2014/main" id="{00000000-0008-0000-0100-000022000000}"/>
            </a:ext>
          </a:extLst>
        </xdr:cNvPr>
        <xdr:cNvSpPr txBox="1">
          <a:spLocks noChangeArrowheads="1"/>
        </xdr:cNvSpPr>
      </xdr:nvSpPr>
      <xdr:spPr bwMode="auto">
        <a:xfrm>
          <a:off x="9775359" y="1814459"/>
          <a:ext cx="465291" cy="223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CS(out)</a:t>
          </a:r>
        </a:p>
      </xdr:txBody>
    </xdr:sp>
    <xdr:clientData/>
  </xdr:twoCellAnchor>
  <xdr:twoCellAnchor>
    <xdr:from>
      <xdr:col>1</xdr:col>
      <xdr:colOff>575103</xdr:colOff>
      <xdr:row>15</xdr:row>
      <xdr:rowOff>71293</xdr:rowOff>
    </xdr:from>
    <xdr:to>
      <xdr:col>1</xdr:col>
      <xdr:colOff>1033728</xdr:colOff>
      <xdr:row>16</xdr:row>
      <xdr:rowOff>121097</xdr:rowOff>
    </xdr:to>
    <xdr:sp macro="" textlink="">
      <xdr:nvSpPr>
        <xdr:cNvPr id="35" name="Text Box 233">
          <a:extLst>
            <a:ext uri="{FF2B5EF4-FFF2-40B4-BE49-F238E27FC236}">
              <a16:creationId xmlns:a16="http://schemas.microsoft.com/office/drawing/2014/main" id="{00000000-0008-0000-0100-000023000000}"/>
            </a:ext>
          </a:extLst>
        </xdr:cNvPr>
        <xdr:cNvSpPr txBox="1">
          <a:spLocks noChangeArrowheads="1"/>
        </xdr:cNvSpPr>
      </xdr:nvSpPr>
      <xdr:spPr bwMode="auto">
        <a:xfrm>
          <a:off x="1213278" y="2500168"/>
          <a:ext cx="458625" cy="21172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DITH</a:t>
          </a:r>
        </a:p>
      </xdr:txBody>
    </xdr:sp>
    <xdr:clientData/>
  </xdr:twoCellAnchor>
  <xdr:twoCellAnchor>
    <xdr:from>
      <xdr:col>7</xdr:col>
      <xdr:colOff>920230</xdr:colOff>
      <xdr:row>27</xdr:row>
      <xdr:rowOff>76146</xdr:rowOff>
    </xdr:from>
    <xdr:to>
      <xdr:col>8</xdr:col>
      <xdr:colOff>33391</xdr:colOff>
      <xdr:row>28</xdr:row>
      <xdr:rowOff>131403</xdr:rowOff>
    </xdr:to>
    <xdr:sp macro="" textlink="">
      <xdr:nvSpPr>
        <xdr:cNvPr id="36" name="Text Box 234">
          <a:extLst>
            <a:ext uri="{FF2B5EF4-FFF2-40B4-BE49-F238E27FC236}">
              <a16:creationId xmlns:a16="http://schemas.microsoft.com/office/drawing/2014/main" id="{00000000-0008-0000-0100-000024000000}"/>
            </a:ext>
          </a:extLst>
        </xdr:cNvPr>
        <xdr:cNvSpPr txBox="1">
          <a:spLocks noChangeArrowheads="1"/>
        </xdr:cNvSpPr>
      </xdr:nvSpPr>
      <xdr:spPr bwMode="auto">
        <a:xfrm>
          <a:off x="8502130" y="4448121"/>
          <a:ext cx="189486" cy="21718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a:t>
          </a:r>
        </a:p>
      </xdr:txBody>
    </xdr:sp>
    <xdr:clientData/>
  </xdr:twoCellAnchor>
  <xdr:twoCellAnchor>
    <xdr:from>
      <xdr:col>7</xdr:col>
      <xdr:colOff>423180</xdr:colOff>
      <xdr:row>14</xdr:row>
      <xdr:rowOff>151191</xdr:rowOff>
    </xdr:from>
    <xdr:to>
      <xdr:col>7</xdr:col>
      <xdr:colOff>765561</xdr:colOff>
      <xdr:row>16</xdr:row>
      <xdr:rowOff>38470</xdr:rowOff>
    </xdr:to>
    <xdr:sp macro="" textlink="">
      <xdr:nvSpPr>
        <xdr:cNvPr id="37" name="Text Box 235">
          <a:extLst>
            <a:ext uri="{FF2B5EF4-FFF2-40B4-BE49-F238E27FC236}">
              <a16:creationId xmlns:a16="http://schemas.microsoft.com/office/drawing/2014/main" id="{00000000-0008-0000-0100-000025000000}"/>
            </a:ext>
          </a:extLst>
        </xdr:cNvPr>
        <xdr:cNvSpPr txBox="1">
          <a:spLocks noChangeArrowheads="1"/>
        </xdr:cNvSpPr>
      </xdr:nvSpPr>
      <xdr:spPr bwMode="auto">
        <a:xfrm>
          <a:off x="8005080" y="2418141"/>
          <a:ext cx="342381" cy="21112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4</xdr:col>
      <xdr:colOff>120315</xdr:colOff>
      <xdr:row>40</xdr:row>
      <xdr:rowOff>73324</xdr:rowOff>
    </xdr:from>
    <xdr:to>
      <xdr:col>4</xdr:col>
      <xdr:colOff>524058</xdr:colOff>
      <xdr:row>41</xdr:row>
      <xdr:rowOff>126640</xdr:rowOff>
    </xdr:to>
    <xdr:sp macro="" textlink="">
      <xdr:nvSpPr>
        <xdr:cNvPr id="38" name="Text Box 243">
          <a:extLst>
            <a:ext uri="{FF2B5EF4-FFF2-40B4-BE49-F238E27FC236}">
              <a16:creationId xmlns:a16="http://schemas.microsoft.com/office/drawing/2014/main" id="{00000000-0008-0000-0100-000026000000}"/>
            </a:ext>
          </a:extLst>
        </xdr:cNvPr>
        <xdr:cNvSpPr txBox="1">
          <a:spLocks noChangeArrowheads="1"/>
        </xdr:cNvSpPr>
      </xdr:nvSpPr>
      <xdr:spPr bwMode="auto">
        <a:xfrm>
          <a:off x="4530390" y="6550324"/>
          <a:ext cx="403743" cy="2152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100pF</a:t>
          </a:r>
        </a:p>
      </xdr:txBody>
    </xdr:sp>
    <xdr:clientData/>
  </xdr:twoCellAnchor>
  <xdr:twoCellAnchor>
    <xdr:from>
      <xdr:col>7</xdr:col>
      <xdr:colOff>230281</xdr:colOff>
      <xdr:row>19</xdr:row>
      <xdr:rowOff>118899</xdr:rowOff>
    </xdr:from>
    <xdr:to>
      <xdr:col>7</xdr:col>
      <xdr:colOff>481762</xdr:colOff>
      <xdr:row>20</xdr:row>
      <xdr:rowOff>159567</xdr:rowOff>
    </xdr:to>
    <xdr:sp macro="" textlink="">
      <xdr:nvSpPr>
        <xdr:cNvPr id="39" name="Text Box 244">
          <a:extLst>
            <a:ext uri="{FF2B5EF4-FFF2-40B4-BE49-F238E27FC236}">
              <a16:creationId xmlns:a16="http://schemas.microsoft.com/office/drawing/2014/main" id="{00000000-0008-0000-0100-000027000000}"/>
            </a:ext>
          </a:extLst>
        </xdr:cNvPr>
        <xdr:cNvSpPr txBox="1">
          <a:spLocks noChangeArrowheads="1"/>
        </xdr:cNvSpPr>
      </xdr:nvSpPr>
      <xdr:spPr bwMode="auto">
        <a:xfrm>
          <a:off x="7810867" y="3239158"/>
          <a:ext cx="251481" cy="2048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2</xdr:col>
      <xdr:colOff>690613</xdr:colOff>
      <xdr:row>7</xdr:row>
      <xdr:rowOff>112069</xdr:rowOff>
    </xdr:from>
    <xdr:to>
      <xdr:col>2</xdr:col>
      <xdr:colOff>1019019</xdr:colOff>
      <xdr:row>9</xdr:row>
      <xdr:rowOff>13359</xdr:rowOff>
    </xdr:to>
    <xdr:sp macro="" textlink="">
      <xdr:nvSpPr>
        <xdr:cNvPr id="40" name="Text Box 245">
          <a:extLst>
            <a:ext uri="{FF2B5EF4-FFF2-40B4-BE49-F238E27FC236}">
              <a16:creationId xmlns:a16="http://schemas.microsoft.com/office/drawing/2014/main" id="{00000000-0008-0000-0100-000028000000}"/>
            </a:ext>
          </a:extLst>
        </xdr:cNvPr>
        <xdr:cNvSpPr txBox="1">
          <a:spLocks noChangeArrowheads="1"/>
        </xdr:cNvSpPr>
      </xdr:nvSpPr>
      <xdr:spPr bwMode="auto">
        <a:xfrm>
          <a:off x="2681338" y="1245544"/>
          <a:ext cx="328406" cy="22514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2</xdr:col>
      <xdr:colOff>604626</xdr:colOff>
      <xdr:row>4</xdr:row>
      <xdr:rowOff>101811</xdr:rowOff>
    </xdr:from>
    <xdr:to>
      <xdr:col>2</xdr:col>
      <xdr:colOff>930926</xdr:colOff>
      <xdr:row>5</xdr:row>
      <xdr:rowOff>137577</xdr:rowOff>
    </xdr:to>
    <xdr:sp macro="" textlink="">
      <xdr:nvSpPr>
        <xdr:cNvPr id="41" name="Text Box 246">
          <a:extLst>
            <a:ext uri="{FF2B5EF4-FFF2-40B4-BE49-F238E27FC236}">
              <a16:creationId xmlns:a16="http://schemas.microsoft.com/office/drawing/2014/main" id="{00000000-0008-0000-0100-000029000000}"/>
            </a:ext>
          </a:extLst>
        </xdr:cNvPr>
        <xdr:cNvSpPr txBox="1">
          <a:spLocks noChangeArrowheads="1"/>
        </xdr:cNvSpPr>
      </xdr:nvSpPr>
      <xdr:spPr bwMode="auto">
        <a:xfrm>
          <a:off x="2595351" y="749511"/>
          <a:ext cx="326300" cy="197691"/>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4</xdr:col>
      <xdr:colOff>420809</xdr:colOff>
      <xdr:row>5</xdr:row>
      <xdr:rowOff>36340</xdr:rowOff>
    </xdr:from>
    <xdr:to>
      <xdr:col>4</xdr:col>
      <xdr:colOff>941827</xdr:colOff>
      <xdr:row>6</xdr:row>
      <xdr:rowOff>104790</xdr:rowOff>
    </xdr:to>
    <xdr:sp macro="" textlink="">
      <xdr:nvSpPr>
        <xdr:cNvPr id="42" name="Text Box 248">
          <a:extLst>
            <a:ext uri="{FF2B5EF4-FFF2-40B4-BE49-F238E27FC236}">
              <a16:creationId xmlns:a16="http://schemas.microsoft.com/office/drawing/2014/main" id="{00000000-0008-0000-0100-00002A000000}"/>
            </a:ext>
          </a:extLst>
        </xdr:cNvPr>
        <xdr:cNvSpPr txBox="1">
          <a:spLocks noChangeArrowheads="1"/>
        </xdr:cNvSpPr>
      </xdr:nvSpPr>
      <xdr:spPr bwMode="auto">
        <a:xfrm>
          <a:off x="4830884" y="845965"/>
          <a:ext cx="521018" cy="23037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xdr:from>
      <xdr:col>5</xdr:col>
      <xdr:colOff>681590</xdr:colOff>
      <xdr:row>20</xdr:row>
      <xdr:rowOff>92429</xdr:rowOff>
    </xdr:from>
    <xdr:to>
      <xdr:col>5</xdr:col>
      <xdr:colOff>1050728</xdr:colOff>
      <xdr:row>21</xdr:row>
      <xdr:rowOff>132267</xdr:rowOff>
    </xdr:to>
    <xdr:sp macro="" textlink="">
      <xdr:nvSpPr>
        <xdr:cNvPr id="43" name="Text Box 249">
          <a:extLst>
            <a:ext uri="{FF2B5EF4-FFF2-40B4-BE49-F238E27FC236}">
              <a16:creationId xmlns:a16="http://schemas.microsoft.com/office/drawing/2014/main" id="{00000000-0008-0000-0100-00002B000000}"/>
            </a:ext>
          </a:extLst>
        </xdr:cNvPr>
        <xdr:cNvSpPr txBox="1">
          <a:spLocks noChangeArrowheads="1"/>
        </xdr:cNvSpPr>
      </xdr:nvSpPr>
      <xdr:spPr bwMode="auto">
        <a:xfrm>
          <a:off x="6239220" y="3405472"/>
          <a:ext cx="369138" cy="20549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1</xdr:col>
      <xdr:colOff>615609</xdr:colOff>
      <xdr:row>25</xdr:row>
      <xdr:rowOff>16697</xdr:rowOff>
    </xdr:from>
    <xdr:to>
      <xdr:col>1</xdr:col>
      <xdr:colOff>941178</xdr:colOff>
      <xdr:row>26</xdr:row>
      <xdr:rowOff>87108</xdr:rowOff>
    </xdr:to>
    <xdr:sp macro="" textlink="">
      <xdr:nvSpPr>
        <xdr:cNvPr id="45" name="Text Box 251">
          <a:extLst>
            <a:ext uri="{FF2B5EF4-FFF2-40B4-BE49-F238E27FC236}">
              <a16:creationId xmlns:a16="http://schemas.microsoft.com/office/drawing/2014/main" id="{00000000-0008-0000-0100-00002D000000}"/>
            </a:ext>
          </a:extLst>
        </xdr:cNvPr>
        <xdr:cNvSpPr txBox="1">
          <a:spLocks noChangeArrowheads="1"/>
        </xdr:cNvSpPr>
      </xdr:nvSpPr>
      <xdr:spPr bwMode="auto">
        <a:xfrm>
          <a:off x="1253370" y="4158001"/>
          <a:ext cx="325569" cy="2360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1</xdr:col>
      <xdr:colOff>620109</xdr:colOff>
      <xdr:row>35</xdr:row>
      <xdr:rowOff>18502</xdr:rowOff>
    </xdr:from>
    <xdr:to>
      <xdr:col>1</xdr:col>
      <xdr:colOff>975998</xdr:colOff>
      <xdr:row>36</xdr:row>
      <xdr:rowOff>58189</xdr:rowOff>
    </xdr:to>
    <xdr:sp macro="" textlink="">
      <xdr:nvSpPr>
        <xdr:cNvPr id="46" name="Text Box 255">
          <a:extLst>
            <a:ext uri="{FF2B5EF4-FFF2-40B4-BE49-F238E27FC236}">
              <a16:creationId xmlns:a16="http://schemas.microsoft.com/office/drawing/2014/main" id="{00000000-0008-0000-0100-00002E000000}"/>
            </a:ext>
          </a:extLst>
        </xdr:cNvPr>
        <xdr:cNvSpPr txBox="1">
          <a:spLocks noChangeArrowheads="1"/>
        </xdr:cNvSpPr>
      </xdr:nvSpPr>
      <xdr:spPr bwMode="auto">
        <a:xfrm>
          <a:off x="1258284" y="5685877"/>
          <a:ext cx="355889" cy="20161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0</xdr:col>
      <xdr:colOff>248672</xdr:colOff>
      <xdr:row>28</xdr:row>
      <xdr:rowOff>99817</xdr:rowOff>
    </xdr:from>
    <xdr:to>
      <xdr:col>0</xdr:col>
      <xdr:colOff>496177</xdr:colOff>
      <xdr:row>29</xdr:row>
      <xdr:rowOff>147296</xdr:rowOff>
    </xdr:to>
    <xdr:sp macro="" textlink="">
      <xdr:nvSpPr>
        <xdr:cNvPr id="47" name="Text Box 256">
          <a:extLst>
            <a:ext uri="{FF2B5EF4-FFF2-40B4-BE49-F238E27FC236}">
              <a16:creationId xmlns:a16="http://schemas.microsoft.com/office/drawing/2014/main" id="{00000000-0008-0000-0100-00002F000000}"/>
            </a:ext>
          </a:extLst>
        </xdr:cNvPr>
        <xdr:cNvSpPr txBox="1">
          <a:spLocks noChangeArrowheads="1"/>
        </xdr:cNvSpPr>
      </xdr:nvSpPr>
      <xdr:spPr bwMode="auto">
        <a:xfrm>
          <a:off x="248672" y="4633717"/>
          <a:ext cx="247505" cy="20940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xdr:col>
      <xdr:colOff>513058</xdr:colOff>
      <xdr:row>32</xdr:row>
      <xdr:rowOff>14364</xdr:rowOff>
    </xdr:from>
    <xdr:to>
      <xdr:col>1</xdr:col>
      <xdr:colOff>826519</xdr:colOff>
      <xdr:row>33</xdr:row>
      <xdr:rowOff>80087</xdr:rowOff>
    </xdr:to>
    <xdr:sp macro="" textlink="">
      <xdr:nvSpPr>
        <xdr:cNvPr id="48" name="Text Box 257">
          <a:extLst>
            <a:ext uri="{FF2B5EF4-FFF2-40B4-BE49-F238E27FC236}">
              <a16:creationId xmlns:a16="http://schemas.microsoft.com/office/drawing/2014/main" id="{00000000-0008-0000-0100-000030000000}"/>
            </a:ext>
          </a:extLst>
        </xdr:cNvPr>
        <xdr:cNvSpPr txBox="1">
          <a:spLocks noChangeArrowheads="1"/>
        </xdr:cNvSpPr>
      </xdr:nvSpPr>
      <xdr:spPr bwMode="auto">
        <a:xfrm>
          <a:off x="1151233" y="5195964"/>
          <a:ext cx="313461" cy="2276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373551</xdr:colOff>
      <xdr:row>29</xdr:row>
      <xdr:rowOff>70727</xdr:rowOff>
    </xdr:from>
    <xdr:to>
      <xdr:col>1</xdr:col>
      <xdr:colOff>865344</xdr:colOff>
      <xdr:row>30</xdr:row>
      <xdr:rowOff>141637</xdr:rowOff>
    </xdr:to>
    <xdr:sp macro="" textlink="">
      <xdr:nvSpPr>
        <xdr:cNvPr id="49" name="Text Box 258">
          <a:extLst>
            <a:ext uri="{FF2B5EF4-FFF2-40B4-BE49-F238E27FC236}">
              <a16:creationId xmlns:a16="http://schemas.microsoft.com/office/drawing/2014/main" id="{00000000-0008-0000-0100-000031000000}"/>
            </a:ext>
          </a:extLst>
        </xdr:cNvPr>
        <xdr:cNvSpPr txBox="1">
          <a:spLocks noChangeArrowheads="1"/>
        </xdr:cNvSpPr>
      </xdr:nvSpPr>
      <xdr:spPr bwMode="auto">
        <a:xfrm>
          <a:off x="1011726" y="4766552"/>
          <a:ext cx="491793" cy="23283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3</xdr:col>
      <xdr:colOff>995933</xdr:colOff>
      <xdr:row>40</xdr:row>
      <xdr:rowOff>24379</xdr:rowOff>
    </xdr:from>
    <xdr:to>
      <xdr:col>4</xdr:col>
      <xdr:colOff>8382</xdr:colOff>
      <xdr:row>41</xdr:row>
      <xdr:rowOff>74707</xdr:rowOff>
    </xdr:to>
    <xdr:sp macro="" textlink="">
      <xdr:nvSpPr>
        <xdr:cNvPr id="50" name="Text Box 259">
          <a:extLst>
            <a:ext uri="{FF2B5EF4-FFF2-40B4-BE49-F238E27FC236}">
              <a16:creationId xmlns:a16="http://schemas.microsoft.com/office/drawing/2014/main" id="{00000000-0008-0000-0100-000032000000}"/>
            </a:ext>
          </a:extLst>
        </xdr:cNvPr>
        <xdr:cNvSpPr txBox="1">
          <a:spLocks noChangeArrowheads="1"/>
        </xdr:cNvSpPr>
      </xdr:nvSpPr>
      <xdr:spPr bwMode="auto">
        <a:xfrm>
          <a:off x="4062983" y="6501379"/>
          <a:ext cx="355474" cy="21225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CS</a:t>
          </a:r>
        </a:p>
      </xdr:txBody>
    </xdr:sp>
    <xdr:clientData/>
  </xdr:twoCellAnchor>
  <xdr:twoCellAnchor>
    <xdr:from>
      <xdr:col>5</xdr:col>
      <xdr:colOff>680852</xdr:colOff>
      <xdr:row>22</xdr:row>
      <xdr:rowOff>30506</xdr:rowOff>
    </xdr:from>
    <xdr:to>
      <xdr:col>5</xdr:col>
      <xdr:colOff>1092245</xdr:colOff>
      <xdr:row>23</xdr:row>
      <xdr:rowOff>102262</xdr:rowOff>
    </xdr:to>
    <xdr:sp macro="" textlink="">
      <xdr:nvSpPr>
        <xdr:cNvPr id="51" name="Text Box 260">
          <a:extLst>
            <a:ext uri="{FF2B5EF4-FFF2-40B4-BE49-F238E27FC236}">
              <a16:creationId xmlns:a16="http://schemas.microsoft.com/office/drawing/2014/main" id="{00000000-0008-0000-0100-000033000000}"/>
            </a:ext>
          </a:extLst>
        </xdr:cNvPr>
        <xdr:cNvSpPr txBox="1">
          <a:spLocks noChangeArrowheads="1"/>
        </xdr:cNvSpPr>
      </xdr:nvSpPr>
      <xdr:spPr bwMode="auto">
        <a:xfrm>
          <a:off x="6238197" y="3643437"/>
          <a:ext cx="411393" cy="2359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1</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475307</xdr:colOff>
      <xdr:row>33</xdr:row>
      <xdr:rowOff>47050</xdr:rowOff>
    </xdr:from>
    <xdr:to>
      <xdr:col>1</xdr:col>
      <xdr:colOff>976607</xdr:colOff>
      <xdr:row>34</xdr:row>
      <xdr:rowOff>93389</xdr:rowOff>
    </xdr:to>
    <xdr:sp macro="" textlink="'Variable Management'!B442">
      <xdr:nvSpPr>
        <xdr:cNvPr id="52" name="Text Box 261">
          <a:extLst>
            <a:ext uri="{FF2B5EF4-FFF2-40B4-BE49-F238E27FC236}">
              <a16:creationId xmlns:a16="http://schemas.microsoft.com/office/drawing/2014/main" id="{00000000-0008-0000-0100-000034000000}"/>
            </a:ext>
          </a:extLst>
        </xdr:cNvPr>
        <xdr:cNvSpPr txBox="1">
          <a:spLocks noChangeArrowheads="1" noTextEdit="1"/>
        </xdr:cNvSpPr>
      </xdr:nvSpPr>
      <xdr:spPr bwMode="auto">
        <a:xfrm>
          <a:off x="1113482" y="5390575"/>
          <a:ext cx="501300" cy="208264"/>
        </a:xfrm>
        <a:prstGeom prst="rect">
          <a:avLst/>
        </a:prstGeom>
        <a:noFill/>
        <a:ln w="9525">
          <a:noFill/>
          <a:miter lim="800000"/>
          <a:headEnd/>
          <a:tailEnd/>
        </a:ln>
      </xdr:spPr>
      <xdr:txBody>
        <a:bodyPr vertOverflow="clip" wrap="square" lIns="27432" tIns="22860" rIns="0" bIns="0" anchor="t" upright="1"/>
        <a:lstStyle/>
        <a:p>
          <a:pPr algn="l" rtl="0">
            <a:defRPr sz="1000"/>
          </a:pPr>
          <a:fld id="{491934A6-59AB-480F-A883-A2630DEA4784}" type="TxLink">
            <a:rPr lang="en-US" sz="1000" b="0" i="0" u="none" strike="noStrike" baseline="0">
              <a:solidFill>
                <a:srgbClr val="000000"/>
              </a:solidFill>
              <a:latin typeface="Arial" pitchFamily="34" charset="0"/>
              <a:cs typeface="Arial" pitchFamily="34" charset="0"/>
            </a:rPr>
            <a:pPr algn="l" rtl="0">
              <a:defRPr sz="1000"/>
            </a:pPr>
            <a:t>2.7nF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65780</xdr:colOff>
      <xdr:row>29</xdr:row>
      <xdr:rowOff>152907</xdr:rowOff>
    </xdr:from>
    <xdr:to>
      <xdr:col>0</xdr:col>
      <xdr:colOff>493109</xdr:colOff>
      <xdr:row>31</xdr:row>
      <xdr:rowOff>28938</xdr:rowOff>
    </xdr:to>
    <xdr:sp macro="" textlink="'Variable Management'!B443">
      <xdr:nvSpPr>
        <xdr:cNvPr id="53" name="Text Box 262">
          <a:extLst>
            <a:ext uri="{FF2B5EF4-FFF2-40B4-BE49-F238E27FC236}">
              <a16:creationId xmlns:a16="http://schemas.microsoft.com/office/drawing/2014/main" id="{00000000-0008-0000-0100-000035000000}"/>
            </a:ext>
          </a:extLst>
        </xdr:cNvPr>
        <xdr:cNvSpPr txBox="1">
          <a:spLocks noChangeArrowheads="1" noTextEdit="1"/>
        </xdr:cNvSpPr>
      </xdr:nvSpPr>
      <xdr:spPr bwMode="auto">
        <a:xfrm>
          <a:off x="65780" y="4848732"/>
          <a:ext cx="427329" cy="199881"/>
        </a:xfrm>
        <a:prstGeom prst="rect">
          <a:avLst/>
        </a:prstGeom>
        <a:noFill/>
        <a:ln w="9525">
          <a:noFill/>
          <a:miter lim="800000"/>
          <a:headEnd/>
          <a:tailEnd/>
        </a:ln>
      </xdr:spPr>
      <xdr:txBody>
        <a:bodyPr vertOverflow="clip" wrap="square" lIns="27432" tIns="22860" rIns="0" bIns="0" anchor="t"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308705</xdr:colOff>
      <xdr:row>36</xdr:row>
      <xdr:rowOff>59874</xdr:rowOff>
    </xdr:from>
    <xdr:to>
      <xdr:col>1</xdr:col>
      <xdr:colOff>915457</xdr:colOff>
      <xdr:row>37</xdr:row>
      <xdr:rowOff>101302</xdr:rowOff>
    </xdr:to>
    <xdr:sp macro="" textlink="'Variable Management'!B452">
      <xdr:nvSpPr>
        <xdr:cNvPr id="54" name="Text Box 264">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946880" y="5889174"/>
          <a:ext cx="606752" cy="203353"/>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7.15kΩ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331510</xdr:colOff>
      <xdr:row>6</xdr:row>
      <xdr:rowOff>15898</xdr:rowOff>
    </xdr:from>
    <xdr:to>
      <xdr:col>1</xdr:col>
      <xdr:colOff>150224</xdr:colOff>
      <xdr:row>7</xdr:row>
      <xdr:rowOff>105957</xdr:rowOff>
    </xdr:to>
    <xdr:sp macro="" textlink="'Variable Management'!B444">
      <xdr:nvSpPr>
        <xdr:cNvPr id="55" name="Text Box 265">
          <a:extLst>
            <a:ext uri="{FF2B5EF4-FFF2-40B4-BE49-F238E27FC236}">
              <a16:creationId xmlns:a16="http://schemas.microsoft.com/office/drawing/2014/main" id="{00000000-0008-0000-0100-000037000000}"/>
            </a:ext>
          </a:extLst>
        </xdr:cNvPr>
        <xdr:cNvSpPr txBox="1">
          <a:spLocks noChangeArrowheads="1" noTextEdit="1"/>
        </xdr:cNvSpPr>
      </xdr:nvSpPr>
      <xdr:spPr bwMode="auto">
        <a:xfrm>
          <a:off x="331510" y="987448"/>
          <a:ext cx="399739" cy="251984"/>
        </a:xfrm>
        <a:prstGeom prst="rect">
          <a:avLst/>
        </a:prstGeom>
        <a:noFill/>
        <a:ln w="9525">
          <a:noFill/>
          <a:miter lim="800000"/>
          <a:headEnd/>
          <a:tailEnd/>
        </a:ln>
      </xdr:spPr>
      <xdr:txBody>
        <a:bodyPr vertOverflow="clip" wrap="square" lIns="27432" tIns="22860" rIns="0" bIns="0" anchor="t" upright="1"/>
        <a:lstStyle/>
        <a:p>
          <a:pPr algn="ctr" rtl="0">
            <a:defRPr sz="1000"/>
          </a:pPr>
          <a:fld id="{8A5847E3-10F5-4FFF-8A55-57AE8AD8F48A}" type="TxLink">
            <a:rPr lang="el-GR" sz="1000" b="0" i="0" u="none" strike="noStrike" baseline="0">
              <a:solidFill>
                <a:srgbClr val="000000"/>
              </a:solidFill>
              <a:latin typeface="Arial" pitchFamily="34" charset="0"/>
              <a:cs typeface="Arial" pitchFamily="34" charset="0"/>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342427</xdr:colOff>
      <xdr:row>23</xdr:row>
      <xdr:rowOff>11119</xdr:rowOff>
    </xdr:from>
    <xdr:to>
      <xdr:col>1</xdr:col>
      <xdr:colOff>241897</xdr:colOff>
      <xdr:row>24</xdr:row>
      <xdr:rowOff>30597</xdr:rowOff>
    </xdr:to>
    <xdr:sp macro="" textlink="'Variable Management'!B449">
      <xdr:nvSpPr>
        <xdr:cNvPr id="56" name="Text Box 266">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42427" y="3821119"/>
          <a:ext cx="537231" cy="185130"/>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138114</xdr:colOff>
      <xdr:row>39</xdr:row>
      <xdr:rowOff>24182</xdr:rowOff>
    </xdr:from>
    <xdr:to>
      <xdr:col>2</xdr:col>
      <xdr:colOff>737223</xdr:colOff>
      <xdr:row>40</xdr:row>
      <xdr:rowOff>100589</xdr:rowOff>
    </xdr:to>
    <xdr:sp macro="" textlink="'Variable Management'!B451">
      <xdr:nvSpPr>
        <xdr:cNvPr id="58" name="Text Box 268">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2128839" y="6339257"/>
          <a:ext cx="599109" cy="238332"/>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100kΩ</a:t>
          </a:fld>
          <a:endParaRPr lang="el-GR" sz="1000" b="0" i="0" strike="noStrike">
            <a:solidFill>
              <a:srgbClr val="000000"/>
            </a:solidFill>
            <a:latin typeface="Arial" pitchFamily="34" charset="0"/>
            <a:cs typeface="Arial" pitchFamily="34" charset="0"/>
          </a:endParaRPr>
        </a:p>
      </xdr:txBody>
    </xdr:sp>
    <xdr:clientData/>
  </xdr:twoCellAnchor>
  <xdr:twoCellAnchor>
    <xdr:from>
      <xdr:col>7</xdr:col>
      <xdr:colOff>871333</xdr:colOff>
      <xdr:row>28</xdr:row>
      <xdr:rowOff>94989</xdr:rowOff>
    </xdr:from>
    <xdr:to>
      <xdr:col>8</xdr:col>
      <xdr:colOff>238953</xdr:colOff>
      <xdr:row>29</xdr:row>
      <xdr:rowOff>153991</xdr:rowOff>
    </xdr:to>
    <xdr:sp macro="" textlink="'Variable Management'!B428">
      <xdr:nvSpPr>
        <xdr:cNvPr id="59" name="Text Box 269">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8453233" y="4628889"/>
          <a:ext cx="443945" cy="220927"/>
        </a:xfrm>
        <a:prstGeom prst="rect">
          <a:avLst/>
        </a:prstGeom>
        <a:noFill/>
        <a:ln w="9525">
          <a:noFill/>
          <a:miter lim="800000"/>
          <a:headEnd/>
          <a:tailEnd/>
        </a:ln>
      </xdr:spPr>
      <xdr:txBody>
        <a:bodyPr vertOverflow="clip" wrap="square" lIns="27432" tIns="22860" rIns="0" bIns="0" anchor="t" upright="1"/>
        <a:lstStyle/>
        <a:p>
          <a:pPr algn="l" rtl="0">
            <a:defRPr sz="1000"/>
          </a:pPr>
          <a:fld id="{93CAFF9C-D0F9-46B6-B2B7-EF65E2F3688F}" type="TxLink">
            <a:rPr lang="en-US" sz="1000" b="0" i="0" u="none" strike="noStrike" baseline="0">
              <a:solidFill>
                <a:srgbClr val="000000"/>
              </a:solidFill>
              <a:latin typeface="Arialri"/>
              <a:cs typeface="Arial" pitchFamily="34" charset="0"/>
            </a:rPr>
            <a:pPr algn="l" rtl="0">
              <a:defRPr sz="1000"/>
            </a:pPr>
            <a:t>8mΩ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9</xdr:col>
      <xdr:colOff>152402</xdr:colOff>
      <xdr:row>12</xdr:row>
      <xdr:rowOff>50107</xdr:rowOff>
    </xdr:from>
    <xdr:to>
      <xdr:col>9</xdr:col>
      <xdr:colOff>720245</xdr:colOff>
      <xdr:row>13</xdr:row>
      <xdr:rowOff>96840</xdr:rowOff>
    </xdr:to>
    <xdr:sp macro="" textlink="'Variable Management'!B464">
      <xdr:nvSpPr>
        <xdr:cNvPr id="60" name="Text Box 270">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9791702" y="1993207"/>
          <a:ext cx="567843" cy="208658"/>
        </a:xfrm>
        <a:prstGeom prst="rect">
          <a:avLst/>
        </a:prstGeom>
        <a:noFill/>
        <a:ln w="9525">
          <a:noFill/>
          <a:miter lim="800000"/>
          <a:headEnd/>
          <a:tailEnd/>
        </a:ln>
      </xdr:spPr>
      <xdr:txBody>
        <a:bodyPr vertOverflow="clip" wrap="square" lIns="27432" tIns="22860" rIns="0" bIns="0" anchor="t" upright="1"/>
        <a:lstStyle/>
        <a:p>
          <a:pPr algn="l" rtl="0">
            <a:defRPr sz="1000"/>
          </a:pPr>
          <a:fld id="{7B92BB06-DA54-414A-9DCD-8FA61A7BAA13}" type="TxLink">
            <a:rPr lang="en-US" sz="1000" b="0" i="0" u="none" strike="noStrike" baseline="0">
              <a:solidFill>
                <a:srgbClr val="000000"/>
              </a:solidFill>
              <a:latin typeface="Arialri"/>
              <a:cs typeface="Arial" pitchFamily="34" charset="0"/>
            </a:rPr>
            <a:pPr algn="l" rtl="0">
              <a:defRPr sz="1000"/>
            </a:pPr>
            <a:t>0mΩ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429021</xdr:colOff>
      <xdr:row>16</xdr:row>
      <xdr:rowOff>76214</xdr:rowOff>
    </xdr:from>
    <xdr:to>
      <xdr:col>1</xdr:col>
      <xdr:colOff>907105</xdr:colOff>
      <xdr:row>18</xdr:row>
      <xdr:rowOff>1354</xdr:rowOff>
    </xdr:to>
    <xdr:sp macro="" textlink="'Variable Management'!B460">
      <xdr:nvSpPr>
        <xdr:cNvPr id="61" name="Text Box 27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1067196" y="2667014"/>
          <a:ext cx="478084" cy="248990"/>
        </a:xfrm>
        <a:prstGeom prst="rect">
          <a:avLst/>
        </a:prstGeom>
        <a:noFill/>
        <a:ln w="9525">
          <a:noFill/>
          <a:miter lim="800000"/>
          <a:headEnd/>
          <a:tailEnd/>
        </a:ln>
      </xdr:spPr>
      <xdr:txBody>
        <a:bodyPr vertOverflow="clip" wrap="square" lIns="27432" tIns="22860" rIns="0" bIns="0" anchor="ctr" upright="1"/>
        <a:lstStyle/>
        <a:p>
          <a:pPr algn="r" rtl="0">
            <a:defRPr sz="1000"/>
          </a:pPr>
          <a:fld id="{0DC16DAA-59E9-44C1-A2D2-01ECF4509AE4}" type="TxLink">
            <a:rPr lang="en-US" sz="1000" b="0" i="0" u="none" strike="noStrike">
              <a:solidFill>
                <a:srgbClr val="000000"/>
              </a:solidFill>
              <a:latin typeface="Arial" pitchFamily="34" charset="0"/>
              <a:cs typeface="Arial" pitchFamily="34" charset="0"/>
            </a:rPr>
            <a:pPr algn="r" rtl="0">
              <a:defRPr sz="1000"/>
            </a:pPr>
            <a:t>8.2nF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716970</xdr:colOff>
      <xdr:row>14</xdr:row>
      <xdr:rowOff>56268</xdr:rowOff>
    </xdr:from>
    <xdr:to>
      <xdr:col>8</xdr:col>
      <xdr:colOff>89785</xdr:colOff>
      <xdr:row>15</xdr:row>
      <xdr:rowOff>135004</xdr:rowOff>
    </xdr:to>
    <xdr:sp macro="" textlink="'Variable Management'!B426">
      <xdr:nvSpPr>
        <xdr:cNvPr id="62" name="Text Box 275">
          <a:extLst>
            <a:ext uri="{FF2B5EF4-FFF2-40B4-BE49-F238E27FC236}">
              <a16:creationId xmlns:a16="http://schemas.microsoft.com/office/drawing/2014/main" id="{00000000-0008-0000-0100-00003E000000}"/>
            </a:ext>
          </a:extLst>
        </xdr:cNvPr>
        <xdr:cNvSpPr txBox="1">
          <a:spLocks noChangeArrowheads="1" noTextEdit="1"/>
        </xdr:cNvSpPr>
      </xdr:nvSpPr>
      <xdr:spPr bwMode="auto">
        <a:xfrm>
          <a:off x="8298870" y="2323218"/>
          <a:ext cx="449140" cy="240661"/>
        </a:xfrm>
        <a:prstGeom prst="rect">
          <a:avLst/>
        </a:prstGeom>
        <a:noFill/>
        <a:ln w="9525">
          <a:noFill/>
          <a:miter lim="800000"/>
          <a:headEnd/>
          <a:tailEnd/>
        </a:ln>
      </xdr:spPr>
      <xdr:txBody>
        <a:bodyPr vertOverflow="clip" wrap="square" lIns="27432" tIns="22860" rIns="0" bIns="0" anchor="ctr" upright="1"/>
        <a:lstStyle/>
        <a:p>
          <a:pPr algn="l" rtl="0">
            <a:defRPr sz="1000"/>
          </a:pPr>
          <a:fld id="{ED0F9337-3E5A-436B-8905-45EE6C1A24BF}" type="TxLink">
            <a:rPr lang="en-US" sz="1000" b="0" i="0" u="none" strike="noStrike" baseline="0">
              <a:solidFill>
                <a:srgbClr val="000000"/>
              </a:solidFill>
              <a:latin typeface="Arialri"/>
              <a:cs typeface="Arial" pitchFamily="34" charset="0"/>
            </a:rPr>
            <a:pPr algn="l" rtl="0">
              <a:defRPr sz="1000"/>
            </a:pPr>
            <a:t>4.7µH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980756</xdr:colOff>
      <xdr:row>7</xdr:row>
      <xdr:rowOff>136396</xdr:rowOff>
    </xdr:from>
    <xdr:to>
      <xdr:col>3</xdr:col>
      <xdr:colOff>278958</xdr:colOff>
      <xdr:row>9</xdr:row>
      <xdr:rowOff>33148</xdr:rowOff>
    </xdr:to>
    <xdr:sp macro="" textlink="">
      <xdr:nvSpPr>
        <xdr:cNvPr id="64" name="Text Box 277">
          <a:extLst>
            <a:ext uri="{FF2B5EF4-FFF2-40B4-BE49-F238E27FC236}">
              <a16:creationId xmlns:a16="http://schemas.microsoft.com/office/drawing/2014/main" id="{00000000-0008-0000-0100-000040000000}"/>
            </a:ext>
          </a:extLst>
        </xdr:cNvPr>
        <xdr:cNvSpPr txBox="1">
          <a:spLocks noChangeArrowheads="1"/>
        </xdr:cNvSpPr>
      </xdr:nvSpPr>
      <xdr:spPr bwMode="auto">
        <a:xfrm>
          <a:off x="2971481" y="1269871"/>
          <a:ext cx="374527" cy="220602"/>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strike="noStrike">
              <a:solidFill>
                <a:srgbClr val="000000"/>
              </a:solidFill>
              <a:latin typeface="Arial" pitchFamily="34" charset="0"/>
              <a:cs typeface="Arial" pitchFamily="34" charset="0"/>
            </a:rPr>
            <a:t>2.2Ω</a:t>
          </a:r>
        </a:p>
      </xdr:txBody>
    </xdr:sp>
    <xdr:clientData/>
  </xdr:twoCellAnchor>
  <xdr:twoCellAnchor>
    <xdr:from>
      <xdr:col>2</xdr:col>
      <xdr:colOff>997828</xdr:colOff>
      <xdr:row>4</xdr:row>
      <xdr:rowOff>118970</xdr:rowOff>
    </xdr:from>
    <xdr:to>
      <xdr:col>3</xdr:col>
      <xdr:colOff>294718</xdr:colOff>
      <xdr:row>6</xdr:row>
      <xdr:rowOff>1420</xdr:rowOff>
    </xdr:to>
    <xdr:sp macro="" textlink="">
      <xdr:nvSpPr>
        <xdr:cNvPr id="65" name="Text Box 278">
          <a:extLst>
            <a:ext uri="{FF2B5EF4-FFF2-40B4-BE49-F238E27FC236}">
              <a16:creationId xmlns:a16="http://schemas.microsoft.com/office/drawing/2014/main" id="{00000000-0008-0000-0100-000041000000}"/>
            </a:ext>
          </a:extLst>
        </xdr:cNvPr>
        <xdr:cNvSpPr txBox="1">
          <a:spLocks noChangeArrowheads="1"/>
        </xdr:cNvSpPr>
      </xdr:nvSpPr>
      <xdr:spPr bwMode="auto">
        <a:xfrm>
          <a:off x="2988553" y="766670"/>
          <a:ext cx="373215" cy="206300"/>
        </a:xfrm>
        <a:prstGeom prst="rect">
          <a:avLst/>
        </a:prstGeom>
        <a:noFill/>
        <a:ln w="9525">
          <a:noFill/>
          <a:miter lim="800000"/>
          <a:headEnd/>
          <a:tailEnd/>
        </a:ln>
      </xdr:spPr>
      <xdr:txBody>
        <a:bodyPr vertOverflow="clip" wrap="square" lIns="27432" tIns="22860" rIns="0" bIns="0" anchor="ctr" upright="1"/>
        <a:lstStyle/>
        <a:p>
          <a:pPr algn="ctr" rtl="0">
            <a:defRPr sz="1000"/>
          </a:pPr>
          <a:r>
            <a:rPr lang="en-US" sz="1000" b="0" i="0" strike="noStrike">
              <a:solidFill>
                <a:srgbClr val="000000"/>
              </a:solidFill>
              <a:latin typeface="Arial" pitchFamily="34" charset="0"/>
              <a:cs typeface="Arial" pitchFamily="34" charset="0"/>
            </a:rPr>
            <a:t>0.1µF</a:t>
          </a:r>
        </a:p>
      </xdr:txBody>
    </xdr:sp>
    <xdr:clientData/>
  </xdr:twoCellAnchor>
  <xdr:twoCellAnchor>
    <xdr:from>
      <xdr:col>3</xdr:col>
      <xdr:colOff>869838</xdr:colOff>
      <xdr:row>5</xdr:row>
      <xdr:rowOff>157620</xdr:rowOff>
    </xdr:from>
    <xdr:to>
      <xdr:col>3</xdr:col>
      <xdr:colOff>1237172</xdr:colOff>
      <xdr:row>7</xdr:row>
      <xdr:rowOff>51606</xdr:rowOff>
    </xdr:to>
    <xdr:sp macro="" textlink="">
      <xdr:nvSpPr>
        <xdr:cNvPr id="66" name="Text Box 279">
          <a:extLst>
            <a:ext uri="{FF2B5EF4-FFF2-40B4-BE49-F238E27FC236}">
              <a16:creationId xmlns:a16="http://schemas.microsoft.com/office/drawing/2014/main" id="{00000000-0008-0000-0100-000042000000}"/>
            </a:ext>
          </a:extLst>
        </xdr:cNvPr>
        <xdr:cNvSpPr txBox="1">
          <a:spLocks noChangeArrowheads="1"/>
        </xdr:cNvSpPr>
      </xdr:nvSpPr>
      <xdr:spPr bwMode="auto">
        <a:xfrm>
          <a:off x="3936888" y="967245"/>
          <a:ext cx="367334" cy="217836"/>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1</xdr:col>
      <xdr:colOff>554935</xdr:colOff>
      <xdr:row>26</xdr:row>
      <xdr:rowOff>53675</xdr:rowOff>
    </xdr:from>
    <xdr:to>
      <xdr:col>1</xdr:col>
      <xdr:colOff>982330</xdr:colOff>
      <xdr:row>27</xdr:row>
      <xdr:rowOff>107675</xdr:rowOff>
    </xdr:to>
    <xdr:sp macro="" textlink="'Variable Management'!B470">
      <xdr:nvSpPr>
        <xdr:cNvPr id="67" name="Text Box 281">
          <a:extLst>
            <a:ext uri="{FF2B5EF4-FFF2-40B4-BE49-F238E27FC236}">
              <a16:creationId xmlns:a16="http://schemas.microsoft.com/office/drawing/2014/main" id="{00000000-0008-0000-0100-000043000000}"/>
            </a:ext>
          </a:extLst>
        </xdr:cNvPr>
        <xdr:cNvSpPr txBox="1">
          <a:spLocks noChangeArrowheads="1" noTextEdit="1"/>
        </xdr:cNvSpPr>
      </xdr:nvSpPr>
      <xdr:spPr bwMode="auto">
        <a:xfrm>
          <a:off x="1192696" y="4360632"/>
          <a:ext cx="427395" cy="21965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183342</xdr:colOff>
      <xdr:row>11</xdr:row>
      <xdr:rowOff>45280</xdr:rowOff>
    </xdr:from>
    <xdr:to>
      <xdr:col>7</xdr:col>
      <xdr:colOff>1038225</xdr:colOff>
      <xdr:row>12</xdr:row>
      <xdr:rowOff>122378</xdr:rowOff>
    </xdr:to>
    <xdr:sp macro="" textlink="'Variable Management'!B475">
      <xdr:nvSpPr>
        <xdr:cNvPr id="68" name="Text Box 283">
          <a:extLst>
            <a:ext uri="{FF2B5EF4-FFF2-40B4-BE49-F238E27FC236}">
              <a16:creationId xmlns:a16="http://schemas.microsoft.com/office/drawing/2014/main" id="{00000000-0008-0000-0100-000044000000}"/>
            </a:ext>
          </a:extLst>
        </xdr:cNvPr>
        <xdr:cNvSpPr txBox="1">
          <a:spLocks noChangeArrowheads="1" noTextEdit="1"/>
        </xdr:cNvSpPr>
      </xdr:nvSpPr>
      <xdr:spPr bwMode="auto">
        <a:xfrm>
          <a:off x="7765242" y="1826455"/>
          <a:ext cx="854883" cy="239023"/>
        </a:xfrm>
        <a:prstGeom prst="rect">
          <a:avLst/>
        </a:prstGeom>
        <a:noFill/>
        <a:ln w="9525">
          <a:noFill/>
          <a:miter lim="800000"/>
          <a:headEnd/>
          <a:tailEnd/>
        </a:ln>
      </xdr:spPr>
      <xdr:txBody>
        <a:bodyPr vertOverflow="clip" wrap="square" lIns="27432" tIns="22860" rIns="0" bIns="0" anchor="t" upright="1"/>
        <a:lstStyle/>
        <a:p>
          <a:pPr algn="l" rtl="0">
            <a:defRPr sz="1000"/>
          </a:pPr>
          <a:fld id="{CF96CF7C-BD7E-4CCA-B5EE-051D5ECE3C3A}" type="TxLink">
            <a:rPr lang="en-US" sz="1200" b="1" i="0" u="none" strike="noStrike">
              <a:solidFill>
                <a:srgbClr val="FF0000"/>
              </a:solidFill>
              <a:latin typeface="Arial"/>
              <a:cs typeface="Arial"/>
            </a:rPr>
            <a:pPr algn="l" rtl="0">
              <a:defRPr sz="1000"/>
            </a:pPr>
            <a:t>5V...24V</a:t>
          </a:fld>
          <a:endParaRPr lang="en-US" sz="1200" b="1" i="0" strike="noStrike">
            <a:solidFill>
              <a:srgbClr val="FF0000"/>
            </a:solidFill>
            <a:latin typeface="Arial" pitchFamily="34" charset="0"/>
            <a:cs typeface="Arial" pitchFamily="34" charset="0"/>
          </a:endParaRPr>
        </a:p>
      </xdr:txBody>
    </xdr:sp>
    <xdr:clientData/>
  </xdr:twoCellAnchor>
  <xdr:twoCellAnchor>
    <xdr:from>
      <xdr:col>0</xdr:col>
      <xdr:colOff>496011</xdr:colOff>
      <xdr:row>19</xdr:row>
      <xdr:rowOff>38863</xdr:rowOff>
    </xdr:from>
    <xdr:to>
      <xdr:col>1</xdr:col>
      <xdr:colOff>159316</xdr:colOff>
      <xdr:row>20</xdr:row>
      <xdr:rowOff>104749</xdr:rowOff>
    </xdr:to>
    <xdr:sp macro="" textlink="">
      <xdr:nvSpPr>
        <xdr:cNvPr id="69" name="Text Box 251">
          <a:extLst>
            <a:ext uri="{FF2B5EF4-FFF2-40B4-BE49-F238E27FC236}">
              <a16:creationId xmlns:a16="http://schemas.microsoft.com/office/drawing/2014/main" id="{00000000-0008-0000-0100-000045000000}"/>
            </a:ext>
          </a:extLst>
        </xdr:cNvPr>
        <xdr:cNvSpPr txBox="1">
          <a:spLocks noChangeArrowheads="1"/>
        </xdr:cNvSpPr>
      </xdr:nvSpPr>
      <xdr:spPr bwMode="auto">
        <a:xfrm>
          <a:off x="496011" y="3186254"/>
          <a:ext cx="301066" cy="231538"/>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xdr:from>
      <xdr:col>0</xdr:col>
      <xdr:colOff>377770</xdr:colOff>
      <xdr:row>20</xdr:row>
      <xdr:rowOff>80751</xdr:rowOff>
    </xdr:from>
    <xdr:to>
      <xdr:col>1</xdr:col>
      <xdr:colOff>252241</xdr:colOff>
      <xdr:row>21</xdr:row>
      <xdr:rowOff>137042</xdr:rowOff>
    </xdr:to>
    <xdr:sp macro="" textlink="'Variable Management'!B469">
      <xdr:nvSpPr>
        <xdr:cNvPr id="70" name="Text Box 281">
          <a:extLst>
            <a:ext uri="{FF2B5EF4-FFF2-40B4-BE49-F238E27FC236}">
              <a16:creationId xmlns:a16="http://schemas.microsoft.com/office/drawing/2014/main" id="{00000000-0008-0000-0100-000046000000}"/>
            </a:ext>
          </a:extLst>
        </xdr:cNvPr>
        <xdr:cNvSpPr txBox="1">
          <a:spLocks noChangeArrowheads="1" noTextEdit="1"/>
        </xdr:cNvSpPr>
      </xdr:nvSpPr>
      <xdr:spPr bwMode="auto">
        <a:xfrm>
          <a:off x="377770" y="3393794"/>
          <a:ext cx="512232" cy="221944"/>
        </a:xfrm>
        <a:prstGeom prst="rect">
          <a:avLst/>
        </a:prstGeom>
        <a:noFill/>
        <a:ln w="9525">
          <a:noFill/>
          <a:miter lim="800000"/>
          <a:headEnd/>
          <a:tailEnd/>
        </a:ln>
      </xdr:spPr>
      <xdr:txBody>
        <a:bodyPr vertOverflow="clip" wrap="square" lIns="27432" tIns="22860" rIns="0" bIns="0" anchor="t" upright="1"/>
        <a:lstStyle/>
        <a:p>
          <a:pPr algn="r" rtl="0">
            <a:defRPr sz="1000"/>
          </a:pPr>
          <a:fld id="{84EB9262-B954-486D-9975-AAB24967BDAC}" type="TxLink">
            <a:rPr lang="en-US" sz="1000" b="0" i="0" u="none" strike="noStrike">
              <a:solidFill>
                <a:srgbClr val="000000"/>
              </a:solidFill>
              <a:latin typeface="Arial" pitchFamily="34" charset="0"/>
              <a:cs typeface="Arial" pitchFamily="34" charset="0"/>
            </a:rPr>
            <a:pPr algn="r" rtl="0">
              <a:defRPr sz="1000"/>
            </a:pPr>
            <a:t>115kΩ</a:t>
          </a:fld>
          <a:endParaRPr lang="en-US" sz="1000" b="0" i="0" strike="noStrike">
            <a:solidFill>
              <a:srgbClr val="000000"/>
            </a:solidFill>
            <a:latin typeface="Arial" pitchFamily="34" charset="0"/>
            <a:cs typeface="Arial" pitchFamily="34" charset="0"/>
          </a:endParaRPr>
        </a:p>
      </xdr:txBody>
    </xdr:sp>
    <xdr:clientData/>
  </xdr:twoCellAnchor>
  <xdr:twoCellAnchor>
    <xdr:from>
      <xdr:col>3</xdr:col>
      <xdr:colOff>796942</xdr:colOff>
      <xdr:row>4</xdr:row>
      <xdr:rowOff>118318</xdr:rowOff>
    </xdr:from>
    <xdr:to>
      <xdr:col>3</xdr:col>
      <xdr:colOff>1286666</xdr:colOff>
      <xdr:row>6</xdr:row>
      <xdr:rowOff>13165</xdr:rowOff>
    </xdr:to>
    <xdr:sp macro="" textlink="">
      <xdr:nvSpPr>
        <xdr:cNvPr id="71" name="Text Box 247">
          <a:extLst>
            <a:ext uri="{FF2B5EF4-FFF2-40B4-BE49-F238E27FC236}">
              <a16:creationId xmlns:a16="http://schemas.microsoft.com/office/drawing/2014/main" id="{00000000-0008-0000-0100-000047000000}"/>
            </a:ext>
          </a:extLst>
        </xdr:cNvPr>
        <xdr:cNvSpPr txBox="1">
          <a:spLocks noChangeArrowheads="1"/>
        </xdr:cNvSpPr>
      </xdr:nvSpPr>
      <xdr:spPr bwMode="auto">
        <a:xfrm>
          <a:off x="3863992" y="766018"/>
          <a:ext cx="489724" cy="21869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xdr:from>
      <xdr:col>5</xdr:col>
      <xdr:colOff>76508</xdr:colOff>
      <xdr:row>34</xdr:row>
      <xdr:rowOff>63521</xdr:rowOff>
    </xdr:from>
    <xdr:to>
      <xdr:col>5</xdr:col>
      <xdr:colOff>561776</xdr:colOff>
      <xdr:row>35</xdr:row>
      <xdr:rowOff>131086</xdr:rowOff>
    </xdr:to>
    <xdr:sp macro="" textlink="">
      <xdr:nvSpPr>
        <xdr:cNvPr id="72" name="Text Box 251">
          <a:extLst>
            <a:ext uri="{FF2B5EF4-FFF2-40B4-BE49-F238E27FC236}">
              <a16:creationId xmlns:a16="http://schemas.microsoft.com/office/drawing/2014/main" id="{00000000-0008-0000-0100-000048000000}"/>
            </a:ext>
          </a:extLst>
        </xdr:cNvPr>
        <xdr:cNvSpPr txBox="1">
          <a:spLocks noChangeArrowheads="1"/>
        </xdr:cNvSpPr>
      </xdr:nvSpPr>
      <xdr:spPr bwMode="auto">
        <a:xfrm>
          <a:off x="5639108" y="5568971"/>
          <a:ext cx="485268" cy="22949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5</xdr:col>
      <xdr:colOff>138771</xdr:colOff>
      <xdr:row>35</xdr:row>
      <xdr:rowOff>74703</xdr:rowOff>
    </xdr:from>
    <xdr:to>
      <xdr:col>5</xdr:col>
      <xdr:colOff>737568</xdr:colOff>
      <xdr:row>36</xdr:row>
      <xdr:rowOff>137829</xdr:rowOff>
    </xdr:to>
    <xdr:sp macro="" textlink="'Variable Management'!B466">
      <xdr:nvSpPr>
        <xdr:cNvPr id="75" name="Text Box 281">
          <a:extLst>
            <a:ext uri="{FF2B5EF4-FFF2-40B4-BE49-F238E27FC236}">
              <a16:creationId xmlns:a16="http://schemas.microsoft.com/office/drawing/2014/main" id="{00000000-0008-0000-0100-00004B000000}"/>
            </a:ext>
          </a:extLst>
        </xdr:cNvPr>
        <xdr:cNvSpPr txBox="1">
          <a:spLocks noChangeArrowheads="1" noTextEdit="1"/>
        </xdr:cNvSpPr>
      </xdr:nvSpPr>
      <xdr:spPr bwMode="auto">
        <a:xfrm>
          <a:off x="5701371" y="5742078"/>
          <a:ext cx="598797" cy="225051"/>
        </a:xfrm>
        <a:prstGeom prst="rect">
          <a:avLst/>
        </a:prstGeom>
        <a:noFill/>
        <a:ln w="9525">
          <a:noFill/>
          <a:miter lim="800000"/>
          <a:headEnd/>
          <a:tailEnd/>
        </a:ln>
      </xdr:spPr>
      <xdr:txBody>
        <a:bodyPr vertOverflow="clip" wrap="square" lIns="27432" tIns="22860" rIns="0" bIns="0" anchor="ctr" upright="1"/>
        <a:lstStyle/>
        <a:p>
          <a:pPr algn="l" rtl="0">
            <a:defRPr sz="1000"/>
          </a:pPr>
          <a:fld id="{2B60B3D7-A35E-42EC-ADCF-A28C0EEDE92A}"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2</xdr:col>
      <xdr:colOff>660744</xdr:colOff>
      <xdr:row>2</xdr:row>
      <xdr:rowOff>83758</xdr:rowOff>
    </xdr:from>
    <xdr:to>
      <xdr:col>3</xdr:col>
      <xdr:colOff>142704</xdr:colOff>
      <xdr:row>3</xdr:row>
      <xdr:rowOff>137564</xdr:rowOff>
    </xdr:to>
    <xdr:sp macro="" textlink="'Variable Management'!H213">
      <xdr:nvSpPr>
        <xdr:cNvPr id="77" name="Text Box 264">
          <a:extLst>
            <a:ext uri="{FF2B5EF4-FFF2-40B4-BE49-F238E27FC236}">
              <a16:creationId xmlns:a16="http://schemas.microsoft.com/office/drawing/2014/main" id="{00000000-0008-0000-0100-00004D000000}"/>
            </a:ext>
          </a:extLst>
        </xdr:cNvPr>
        <xdr:cNvSpPr txBox="1">
          <a:spLocks noChangeArrowheads="1" noTextEdit="1"/>
        </xdr:cNvSpPr>
      </xdr:nvSpPr>
      <xdr:spPr bwMode="auto">
        <a:xfrm>
          <a:off x="2651469" y="407608"/>
          <a:ext cx="558285" cy="215731"/>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52.3kΩ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742259</xdr:colOff>
      <xdr:row>1</xdr:row>
      <xdr:rowOff>51892</xdr:rowOff>
    </xdr:from>
    <xdr:to>
      <xdr:col>3</xdr:col>
      <xdr:colOff>72733</xdr:colOff>
      <xdr:row>2</xdr:row>
      <xdr:rowOff>84849</xdr:rowOff>
    </xdr:to>
    <xdr:sp macro="" textlink="">
      <xdr:nvSpPr>
        <xdr:cNvPr id="78" name="Text Box 255">
          <a:extLst>
            <a:ext uri="{FF2B5EF4-FFF2-40B4-BE49-F238E27FC236}">
              <a16:creationId xmlns:a16="http://schemas.microsoft.com/office/drawing/2014/main" id="{00000000-0008-0000-0100-00004E000000}"/>
            </a:ext>
          </a:extLst>
        </xdr:cNvPr>
        <xdr:cNvSpPr txBox="1">
          <a:spLocks noChangeArrowheads="1"/>
        </xdr:cNvSpPr>
      </xdr:nvSpPr>
      <xdr:spPr bwMode="auto">
        <a:xfrm>
          <a:off x="2732984" y="213817"/>
          <a:ext cx="406799" cy="1948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767565</xdr:colOff>
      <xdr:row>2</xdr:row>
      <xdr:rowOff>104846</xdr:rowOff>
    </xdr:from>
    <xdr:to>
      <xdr:col>3</xdr:col>
      <xdr:colOff>1320774</xdr:colOff>
      <xdr:row>3</xdr:row>
      <xdr:rowOff>146368</xdr:rowOff>
    </xdr:to>
    <xdr:sp macro="" textlink="'Variable Management'!H212">
      <xdr:nvSpPr>
        <xdr:cNvPr id="79" name="Text Box 264">
          <a:extLst>
            <a:ext uri="{FF2B5EF4-FFF2-40B4-BE49-F238E27FC236}">
              <a16:creationId xmlns:a16="http://schemas.microsoft.com/office/drawing/2014/main" id="{00000000-0008-0000-0100-00004F000000}"/>
            </a:ext>
          </a:extLst>
        </xdr:cNvPr>
        <xdr:cNvSpPr txBox="1">
          <a:spLocks noChangeArrowheads="1" noTextEdit="1"/>
        </xdr:cNvSpPr>
      </xdr:nvSpPr>
      <xdr:spPr bwMode="auto">
        <a:xfrm>
          <a:off x="3834615" y="428696"/>
          <a:ext cx="553209" cy="203447"/>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200kΩ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907336</xdr:colOff>
      <xdr:row>1</xdr:row>
      <xdr:rowOff>55949</xdr:rowOff>
    </xdr:from>
    <xdr:to>
      <xdr:col>3</xdr:col>
      <xdr:colOff>1310539</xdr:colOff>
      <xdr:row>2</xdr:row>
      <xdr:rowOff>90786</xdr:rowOff>
    </xdr:to>
    <xdr:sp macro="" textlink="">
      <xdr:nvSpPr>
        <xdr:cNvPr id="80" name="Text Box 255">
          <a:extLst>
            <a:ext uri="{FF2B5EF4-FFF2-40B4-BE49-F238E27FC236}">
              <a16:creationId xmlns:a16="http://schemas.microsoft.com/office/drawing/2014/main" id="{00000000-0008-0000-0100-000050000000}"/>
            </a:ext>
          </a:extLst>
        </xdr:cNvPr>
        <xdr:cNvSpPr txBox="1">
          <a:spLocks noChangeArrowheads="1"/>
        </xdr:cNvSpPr>
      </xdr:nvSpPr>
      <xdr:spPr bwMode="auto">
        <a:xfrm>
          <a:off x="3974386" y="217874"/>
          <a:ext cx="403203" cy="19676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736760</xdr:colOff>
      <xdr:row>15</xdr:row>
      <xdr:rowOff>71843</xdr:rowOff>
    </xdr:from>
    <xdr:to>
      <xdr:col>8</xdr:col>
      <xdr:colOff>170918</xdr:colOff>
      <xdr:row>16</xdr:row>
      <xdr:rowOff>150126</xdr:rowOff>
    </xdr:to>
    <xdr:sp macro="" textlink="'Variable Management'!B427">
      <xdr:nvSpPr>
        <xdr:cNvPr id="81" name="Text Box 275">
          <a:extLst>
            <a:ext uri="{FF2B5EF4-FFF2-40B4-BE49-F238E27FC236}">
              <a16:creationId xmlns:a16="http://schemas.microsoft.com/office/drawing/2014/main" id="{00000000-0008-0000-0100-000051000000}"/>
            </a:ext>
          </a:extLst>
        </xdr:cNvPr>
        <xdr:cNvSpPr txBox="1">
          <a:spLocks noChangeArrowheads="1" noTextEdit="1"/>
        </xdr:cNvSpPr>
      </xdr:nvSpPr>
      <xdr:spPr bwMode="auto">
        <a:xfrm>
          <a:off x="8318660" y="2500718"/>
          <a:ext cx="510483" cy="240208"/>
        </a:xfrm>
        <a:prstGeom prst="rect">
          <a:avLst/>
        </a:prstGeom>
        <a:noFill/>
        <a:ln w="9525">
          <a:noFill/>
          <a:miter lim="800000"/>
          <a:headEnd/>
          <a:tailEnd/>
        </a:ln>
      </xdr:spPr>
      <xdr:txBody>
        <a:bodyPr vertOverflow="clip" wrap="square" lIns="27432" tIns="22860" rIns="0" bIns="0" anchor="ctr" upright="1"/>
        <a:lstStyle/>
        <a:p>
          <a:pPr algn="l" rtl="0">
            <a:defRPr sz="1000"/>
          </a:pPr>
          <a:fld id="{8F944446-DDAD-4884-A5E8-09BF985C0BDC}" type="TxLink">
            <a:rPr lang="en-US" sz="1000" b="0" i="0" u="none" strike="noStrike" baseline="0">
              <a:solidFill>
                <a:srgbClr val="000000"/>
              </a:solidFill>
              <a:latin typeface="Arialri"/>
              <a:cs typeface="Arial" pitchFamily="34" charset="0"/>
            </a:rPr>
            <a:pPr algn="l" rtl="0">
              <a:defRPr sz="1000"/>
            </a:pPr>
            <a:t>6mΩ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955380</xdr:colOff>
      <xdr:row>37</xdr:row>
      <xdr:rowOff>90714</xdr:rowOff>
    </xdr:from>
    <xdr:to>
      <xdr:col>5</xdr:col>
      <xdr:colOff>134259</xdr:colOff>
      <xdr:row>38</xdr:row>
      <xdr:rowOff>146676</xdr:rowOff>
    </xdr:to>
    <xdr:sp macro="" textlink="">
      <xdr:nvSpPr>
        <xdr:cNvPr id="82" name="Text Box 245">
          <a:extLst>
            <a:ext uri="{FF2B5EF4-FFF2-40B4-BE49-F238E27FC236}">
              <a16:creationId xmlns:a16="http://schemas.microsoft.com/office/drawing/2014/main" id="{00000000-0008-0000-0100-000052000000}"/>
            </a:ext>
          </a:extLst>
        </xdr:cNvPr>
        <xdr:cNvSpPr txBox="1">
          <a:spLocks noChangeArrowheads="1"/>
        </xdr:cNvSpPr>
      </xdr:nvSpPr>
      <xdr:spPr bwMode="auto">
        <a:xfrm>
          <a:off x="5365455" y="6081939"/>
          <a:ext cx="331404" cy="21788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a:t>
          </a:r>
        </a:p>
      </xdr:txBody>
    </xdr:sp>
    <xdr:clientData/>
  </xdr:twoCellAnchor>
  <xdr:twoCellAnchor>
    <xdr:from>
      <xdr:col>1</xdr:col>
      <xdr:colOff>379931</xdr:colOff>
      <xdr:row>30</xdr:row>
      <xdr:rowOff>84193</xdr:rowOff>
    </xdr:from>
    <xdr:to>
      <xdr:col>1</xdr:col>
      <xdr:colOff>939469</xdr:colOff>
      <xdr:row>31</xdr:row>
      <xdr:rowOff>120656</xdr:rowOff>
    </xdr:to>
    <xdr:sp macro="" textlink="'Variable Management'!B441">
      <xdr:nvSpPr>
        <xdr:cNvPr id="85" name="Text Box 268">
          <a:extLst>
            <a:ext uri="{FF2B5EF4-FFF2-40B4-BE49-F238E27FC236}">
              <a16:creationId xmlns:a16="http://schemas.microsoft.com/office/drawing/2014/main" id="{00000000-0008-0000-0100-000055000000}"/>
            </a:ext>
          </a:extLst>
        </xdr:cNvPr>
        <xdr:cNvSpPr txBox="1">
          <a:spLocks noChangeArrowheads="1" noTextEdit="1"/>
        </xdr:cNvSpPr>
      </xdr:nvSpPr>
      <xdr:spPr bwMode="auto">
        <a:xfrm>
          <a:off x="1018106" y="4941943"/>
          <a:ext cx="559538" cy="198388"/>
        </a:xfrm>
        <a:prstGeom prst="rect">
          <a:avLst/>
        </a:prstGeom>
        <a:noFill/>
        <a:ln w="9525">
          <a:noFill/>
          <a:miter lim="800000"/>
          <a:headEnd/>
          <a:tailEnd/>
        </a:ln>
      </xdr:spPr>
      <xdr:txBody>
        <a:bodyPr vertOverflow="clip" wrap="square" lIns="27432" tIns="22860" rIns="0" bIns="0" anchor="ctr" upright="1"/>
        <a:lstStyle/>
        <a:p>
          <a:pPr algn="ctr" rtl="0">
            <a:defRPr sz="1000"/>
          </a:pPr>
          <a:fld id="{4B33C4C3-0115-4071-92DE-EA7C9B86DB41}" type="TxLink">
            <a:rPr lang="en-US" sz="1000" b="0" i="0" u="none" strike="noStrike">
              <a:solidFill>
                <a:srgbClr val="000000"/>
              </a:solidFill>
              <a:latin typeface="Arialri"/>
              <a:cs typeface="Arial" pitchFamily="34" charset="0"/>
            </a:rPr>
            <a:pPr algn="ctr" rtl="0">
              <a:defRPr sz="1000"/>
            </a:pPr>
            <a:t>12.1kΩ</a:t>
          </a:fld>
          <a:endParaRPr lang="el-GR" sz="1000" b="0" i="0" strike="noStrike">
            <a:solidFill>
              <a:srgbClr val="000000"/>
            </a:solidFill>
            <a:latin typeface="Arial" pitchFamily="34" charset="0"/>
            <a:cs typeface="Arial" pitchFamily="34" charset="0"/>
          </a:endParaRPr>
        </a:p>
      </xdr:txBody>
    </xdr:sp>
    <xdr:clientData/>
  </xdr:twoCellAnchor>
  <xdr:twoCellAnchor>
    <xdr:from>
      <xdr:col>6</xdr:col>
      <xdr:colOff>398601</xdr:colOff>
      <xdr:row>14</xdr:row>
      <xdr:rowOff>62329</xdr:rowOff>
    </xdr:from>
    <xdr:to>
      <xdr:col>6</xdr:col>
      <xdr:colOff>586155</xdr:colOff>
      <xdr:row>15</xdr:row>
      <xdr:rowOff>117096</xdr:rowOff>
    </xdr:to>
    <xdr:sp macro="" textlink="">
      <xdr:nvSpPr>
        <xdr:cNvPr id="87" name="Text Box 234">
          <a:extLst>
            <a:ext uri="{FF2B5EF4-FFF2-40B4-BE49-F238E27FC236}">
              <a16:creationId xmlns:a16="http://schemas.microsoft.com/office/drawing/2014/main" id="{00000000-0008-0000-0100-000057000000}"/>
            </a:ext>
          </a:extLst>
        </xdr:cNvPr>
        <xdr:cNvSpPr txBox="1">
          <a:spLocks noChangeArrowheads="1"/>
        </xdr:cNvSpPr>
      </xdr:nvSpPr>
      <xdr:spPr bwMode="auto">
        <a:xfrm>
          <a:off x="7328860" y="2361467"/>
          <a:ext cx="187554" cy="2189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6</xdr:col>
      <xdr:colOff>382198</xdr:colOff>
      <xdr:row>21</xdr:row>
      <xdr:rowOff>60849</xdr:rowOff>
    </xdr:from>
    <xdr:to>
      <xdr:col>6</xdr:col>
      <xdr:colOff>569752</xdr:colOff>
      <xdr:row>22</xdr:row>
      <xdr:rowOff>118648</xdr:rowOff>
    </xdr:to>
    <xdr:sp macro="" textlink="">
      <xdr:nvSpPr>
        <xdr:cNvPr id="88" name="Text Box 234">
          <a:extLst>
            <a:ext uri="{FF2B5EF4-FFF2-40B4-BE49-F238E27FC236}">
              <a16:creationId xmlns:a16="http://schemas.microsoft.com/office/drawing/2014/main" id="{00000000-0008-0000-0100-000058000000}"/>
            </a:ext>
          </a:extLst>
        </xdr:cNvPr>
        <xdr:cNvSpPr txBox="1">
          <a:spLocks noChangeArrowheads="1"/>
        </xdr:cNvSpPr>
      </xdr:nvSpPr>
      <xdr:spPr bwMode="auto">
        <a:xfrm>
          <a:off x="7312457" y="3509556"/>
          <a:ext cx="187554" cy="2220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7</xdr:col>
      <xdr:colOff>236598</xdr:colOff>
      <xdr:row>20</xdr:row>
      <xdr:rowOff>126296</xdr:rowOff>
    </xdr:from>
    <xdr:to>
      <xdr:col>7</xdr:col>
      <xdr:colOff>642752</xdr:colOff>
      <xdr:row>22</xdr:row>
      <xdr:rowOff>11441</xdr:rowOff>
    </xdr:to>
    <xdr:sp macro="" textlink="'Variable Management'!B439">
      <xdr:nvSpPr>
        <xdr:cNvPr id="92" name="Text Box 276">
          <a:extLst>
            <a:ext uri="{FF2B5EF4-FFF2-40B4-BE49-F238E27FC236}">
              <a16:creationId xmlns:a16="http://schemas.microsoft.com/office/drawing/2014/main" id="{00000000-0008-0000-0100-00005C000000}"/>
            </a:ext>
          </a:extLst>
        </xdr:cNvPr>
        <xdr:cNvSpPr txBox="1">
          <a:spLocks noChangeArrowheads="1" noTextEdit="1"/>
        </xdr:cNvSpPr>
      </xdr:nvSpPr>
      <xdr:spPr bwMode="auto">
        <a:xfrm>
          <a:off x="7817184" y="3410779"/>
          <a:ext cx="406154" cy="213593"/>
        </a:xfrm>
        <a:prstGeom prst="rect">
          <a:avLst/>
        </a:prstGeom>
        <a:noFill/>
        <a:ln w="9525">
          <a:noFill/>
          <a:miter lim="800000"/>
          <a:headEnd/>
          <a:tailEnd/>
        </a:ln>
      </xdr:spPr>
      <xdr:txBody>
        <a:bodyPr vertOverflow="clip" wrap="square" lIns="27432" tIns="22860" rIns="0" bIns="0" anchor="ctr" upright="1"/>
        <a:lstStyle/>
        <a:p>
          <a:pPr algn="l" rtl="0">
            <a:defRPr sz="1000"/>
          </a:pPr>
          <a:fld id="{F7819C42-9D73-4A1D-B514-80CDFD54256D}" type="TxLink">
            <a:rPr lang="en-US" sz="1000" b="0" i="0" u="none" strike="noStrike" baseline="0">
              <a:solidFill>
                <a:srgbClr val="000000"/>
              </a:solidFill>
              <a:latin typeface="Arialri"/>
              <a:cs typeface="Arial" pitchFamily="34" charset="0"/>
            </a:rPr>
            <a:pPr algn="l" rtl="0">
              <a:defRPr sz="1000"/>
            </a:pPr>
            <a:t>10 x</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1246665</xdr:colOff>
      <xdr:row>12</xdr:row>
      <xdr:rowOff>149462</xdr:rowOff>
    </xdr:from>
    <xdr:to>
      <xdr:col>2</xdr:col>
      <xdr:colOff>157529</xdr:colOff>
      <xdr:row>14</xdr:row>
      <xdr:rowOff>35568</xdr:rowOff>
    </xdr:to>
    <xdr:sp macro="" textlink="">
      <xdr:nvSpPr>
        <xdr:cNvPr id="94" name="Text Box 259">
          <a:extLst>
            <a:ext uri="{FF2B5EF4-FFF2-40B4-BE49-F238E27FC236}">
              <a16:creationId xmlns:a16="http://schemas.microsoft.com/office/drawing/2014/main" id="{00000000-0008-0000-0100-00005E000000}"/>
            </a:ext>
          </a:extLst>
        </xdr:cNvPr>
        <xdr:cNvSpPr txBox="1">
          <a:spLocks noChangeArrowheads="1"/>
        </xdr:cNvSpPr>
      </xdr:nvSpPr>
      <xdr:spPr bwMode="auto">
        <a:xfrm>
          <a:off x="1884840" y="2092562"/>
          <a:ext cx="263414" cy="209956"/>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U</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7</xdr:col>
      <xdr:colOff>1063737</xdr:colOff>
      <xdr:row>21</xdr:row>
      <xdr:rowOff>145566</xdr:rowOff>
    </xdr:from>
    <xdr:to>
      <xdr:col>8</xdr:col>
      <xdr:colOff>391049</xdr:colOff>
      <xdr:row>23</xdr:row>
      <xdr:rowOff>33474</xdr:rowOff>
    </xdr:to>
    <xdr:sp macro="" textlink="'Variable Management'!B434">
      <xdr:nvSpPr>
        <xdr:cNvPr id="95" name="Text Box 276">
          <a:extLst>
            <a:ext uri="{FF2B5EF4-FFF2-40B4-BE49-F238E27FC236}">
              <a16:creationId xmlns:a16="http://schemas.microsoft.com/office/drawing/2014/main" id="{00000000-0008-0000-0100-00005F000000}"/>
            </a:ext>
          </a:extLst>
        </xdr:cNvPr>
        <xdr:cNvSpPr txBox="1">
          <a:spLocks noChangeArrowheads="1" noTextEdit="1"/>
        </xdr:cNvSpPr>
      </xdr:nvSpPr>
      <xdr:spPr bwMode="auto">
        <a:xfrm>
          <a:off x="8644323" y="3594273"/>
          <a:ext cx="404623" cy="216356"/>
        </a:xfrm>
        <a:prstGeom prst="rect">
          <a:avLst/>
        </a:prstGeom>
        <a:noFill/>
        <a:ln w="9525">
          <a:noFill/>
          <a:miter lim="800000"/>
          <a:headEnd/>
          <a:tailEnd/>
        </a:ln>
      </xdr:spPr>
      <xdr:txBody>
        <a:bodyPr vertOverflow="clip" wrap="square" lIns="27432" tIns="22860" rIns="0" bIns="0" anchor="ctr" upright="1"/>
        <a:lstStyle/>
        <a:p>
          <a:pPr algn="l" rtl="0">
            <a:defRPr sz="1000"/>
          </a:pPr>
          <a:fld id="{685D3738-5ABE-4B4E-B06A-00C3820FCB43}" type="TxLink">
            <a:rPr lang="en-US" sz="1000" b="0" i="0" u="none" strike="noStrike" baseline="0">
              <a:solidFill>
                <a:srgbClr val="000000"/>
              </a:solidFill>
              <a:latin typeface="Arialri"/>
              <a:cs typeface="Arial" pitchFamily="34" charset="0"/>
            </a:rPr>
            <a:pPr algn="l" rtl="0">
              <a:defRPr sz="1000"/>
            </a:pPr>
            <a:t>22µF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1055995</xdr:colOff>
      <xdr:row>20</xdr:row>
      <xdr:rowOff>136150</xdr:rowOff>
    </xdr:from>
    <xdr:to>
      <xdr:col>8</xdr:col>
      <xdr:colOff>383307</xdr:colOff>
      <xdr:row>22</xdr:row>
      <xdr:rowOff>22694</xdr:rowOff>
    </xdr:to>
    <xdr:sp macro="" textlink="'Variable Management'!B435">
      <xdr:nvSpPr>
        <xdr:cNvPr id="96" name="Text Box 276">
          <a:extLst>
            <a:ext uri="{FF2B5EF4-FFF2-40B4-BE49-F238E27FC236}">
              <a16:creationId xmlns:a16="http://schemas.microsoft.com/office/drawing/2014/main" id="{00000000-0008-0000-0100-000060000000}"/>
            </a:ext>
          </a:extLst>
        </xdr:cNvPr>
        <xdr:cNvSpPr txBox="1">
          <a:spLocks noChangeArrowheads="1" noTextEdit="1"/>
        </xdr:cNvSpPr>
      </xdr:nvSpPr>
      <xdr:spPr bwMode="auto">
        <a:xfrm>
          <a:off x="8636581" y="3420633"/>
          <a:ext cx="404623" cy="214992"/>
        </a:xfrm>
        <a:prstGeom prst="rect">
          <a:avLst/>
        </a:prstGeom>
        <a:noFill/>
        <a:ln w="9525">
          <a:noFill/>
          <a:miter lim="800000"/>
          <a:headEnd/>
          <a:tailEnd/>
        </a:ln>
      </xdr:spPr>
      <xdr:txBody>
        <a:bodyPr vertOverflow="clip" wrap="square" lIns="27432" tIns="22860" rIns="0" bIns="0" anchor="ctr" upright="1"/>
        <a:lstStyle/>
        <a:p>
          <a:pPr algn="l" rtl="0">
            <a:defRPr sz="1000"/>
          </a:pPr>
          <a:fld id="{55A5E480-A149-4617-A245-D5E398CDA407}" type="TxLink">
            <a:rPr lang="en-US" sz="1000" b="0" i="0" u="none" strike="noStrike" baseline="0">
              <a:solidFill>
                <a:srgbClr val="000000"/>
              </a:solidFill>
              <a:latin typeface="Arialri"/>
              <a:cs typeface="Arial" pitchFamily="34" charset="0"/>
            </a:rPr>
            <a:pPr algn="l" rtl="0">
              <a:defRPr sz="1000"/>
            </a:pPr>
            <a:t>13 x</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714753</xdr:colOff>
      <xdr:row>24</xdr:row>
      <xdr:rowOff>130910</xdr:rowOff>
    </xdr:from>
    <xdr:to>
      <xdr:col>5</xdr:col>
      <xdr:colOff>1237179</xdr:colOff>
      <xdr:row>26</xdr:row>
      <xdr:rowOff>38166</xdr:rowOff>
    </xdr:to>
    <xdr:sp macro="" textlink="">
      <xdr:nvSpPr>
        <xdr:cNvPr id="93" name="Text Box 248">
          <a:extLst>
            <a:ext uri="{FF2B5EF4-FFF2-40B4-BE49-F238E27FC236}">
              <a16:creationId xmlns:a16="http://schemas.microsoft.com/office/drawing/2014/main" id="{00000000-0008-0000-0100-00005D000000}"/>
            </a:ext>
          </a:extLst>
        </xdr:cNvPr>
        <xdr:cNvSpPr txBox="1">
          <a:spLocks noChangeArrowheads="1"/>
        </xdr:cNvSpPr>
      </xdr:nvSpPr>
      <xdr:spPr bwMode="auto">
        <a:xfrm>
          <a:off x="6273271" y="4049767"/>
          <a:ext cx="522426" cy="23382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xdr:from>
      <xdr:col>8</xdr:col>
      <xdr:colOff>534347</xdr:colOff>
      <xdr:row>14</xdr:row>
      <xdr:rowOff>72993</xdr:rowOff>
    </xdr:from>
    <xdr:to>
      <xdr:col>8</xdr:col>
      <xdr:colOff>721901</xdr:colOff>
      <xdr:row>15</xdr:row>
      <xdr:rowOff>127760</xdr:rowOff>
    </xdr:to>
    <xdr:sp macro="" textlink="">
      <xdr:nvSpPr>
        <xdr:cNvPr id="97" name="Text Box 234">
          <a:extLst>
            <a:ext uri="{FF2B5EF4-FFF2-40B4-BE49-F238E27FC236}">
              <a16:creationId xmlns:a16="http://schemas.microsoft.com/office/drawing/2014/main" id="{00000000-0008-0000-0100-000061000000}"/>
            </a:ext>
          </a:extLst>
        </xdr:cNvPr>
        <xdr:cNvSpPr txBox="1">
          <a:spLocks noChangeArrowheads="1"/>
        </xdr:cNvSpPr>
      </xdr:nvSpPr>
      <xdr:spPr bwMode="auto">
        <a:xfrm>
          <a:off x="9192244" y="2372131"/>
          <a:ext cx="187554" cy="2189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xdr:from>
      <xdr:col>8</xdr:col>
      <xdr:colOff>545862</xdr:colOff>
      <xdr:row>21</xdr:row>
      <xdr:rowOff>55234</xdr:rowOff>
    </xdr:from>
    <xdr:to>
      <xdr:col>8</xdr:col>
      <xdr:colOff>733416</xdr:colOff>
      <xdr:row>22</xdr:row>
      <xdr:rowOff>113033</xdr:rowOff>
    </xdr:to>
    <xdr:sp macro="" textlink="">
      <xdr:nvSpPr>
        <xdr:cNvPr id="98" name="Text Box 234">
          <a:extLst>
            <a:ext uri="{FF2B5EF4-FFF2-40B4-BE49-F238E27FC236}">
              <a16:creationId xmlns:a16="http://schemas.microsoft.com/office/drawing/2014/main" id="{00000000-0008-0000-0100-000062000000}"/>
            </a:ext>
          </a:extLst>
        </xdr:cNvPr>
        <xdr:cNvSpPr txBox="1">
          <a:spLocks noChangeArrowheads="1"/>
        </xdr:cNvSpPr>
      </xdr:nvSpPr>
      <xdr:spPr bwMode="auto">
        <a:xfrm>
          <a:off x="9201188" y="3533930"/>
          <a:ext cx="187554" cy="2234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xdr:from>
      <xdr:col>5</xdr:col>
      <xdr:colOff>770091</xdr:colOff>
      <xdr:row>29</xdr:row>
      <xdr:rowOff>48773</xdr:rowOff>
    </xdr:from>
    <xdr:to>
      <xdr:col>5</xdr:col>
      <xdr:colOff>1136667</xdr:colOff>
      <xdr:row>30</xdr:row>
      <xdr:rowOff>110312</xdr:rowOff>
    </xdr:to>
    <xdr:sp macro="" textlink="">
      <xdr:nvSpPr>
        <xdr:cNvPr id="99" name="Text Box 279">
          <a:extLst>
            <a:ext uri="{FF2B5EF4-FFF2-40B4-BE49-F238E27FC236}">
              <a16:creationId xmlns:a16="http://schemas.microsoft.com/office/drawing/2014/main" id="{00000000-0008-0000-0100-000063000000}"/>
            </a:ext>
          </a:extLst>
        </xdr:cNvPr>
        <xdr:cNvSpPr txBox="1">
          <a:spLocks noChangeArrowheads="1"/>
        </xdr:cNvSpPr>
      </xdr:nvSpPr>
      <xdr:spPr bwMode="auto">
        <a:xfrm>
          <a:off x="6332691" y="4744598"/>
          <a:ext cx="366576" cy="22346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5</xdr:col>
      <xdr:colOff>739057</xdr:colOff>
      <xdr:row>28</xdr:row>
      <xdr:rowOff>10125</xdr:rowOff>
    </xdr:from>
    <xdr:to>
      <xdr:col>5</xdr:col>
      <xdr:colOff>1228023</xdr:colOff>
      <xdr:row>29</xdr:row>
      <xdr:rowOff>64929</xdr:rowOff>
    </xdr:to>
    <xdr:sp macro="" textlink="">
      <xdr:nvSpPr>
        <xdr:cNvPr id="100" name="Text Box 247">
          <a:extLst>
            <a:ext uri="{FF2B5EF4-FFF2-40B4-BE49-F238E27FC236}">
              <a16:creationId xmlns:a16="http://schemas.microsoft.com/office/drawing/2014/main" id="{00000000-0008-0000-0100-000064000000}"/>
            </a:ext>
          </a:extLst>
        </xdr:cNvPr>
        <xdr:cNvSpPr txBox="1">
          <a:spLocks noChangeArrowheads="1"/>
        </xdr:cNvSpPr>
      </xdr:nvSpPr>
      <xdr:spPr bwMode="auto">
        <a:xfrm>
          <a:off x="6301657" y="4544025"/>
          <a:ext cx="488966" cy="21672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xdr:from>
      <xdr:col>4</xdr:col>
      <xdr:colOff>956346</xdr:colOff>
      <xdr:row>42</xdr:row>
      <xdr:rowOff>10652</xdr:rowOff>
    </xdr:from>
    <xdr:to>
      <xdr:col>5</xdr:col>
      <xdr:colOff>168728</xdr:colOff>
      <xdr:row>43</xdr:row>
      <xdr:rowOff>69644</xdr:rowOff>
    </xdr:to>
    <xdr:sp macro="" textlink="">
      <xdr:nvSpPr>
        <xdr:cNvPr id="101" name="Text Box 245">
          <a:extLst>
            <a:ext uri="{FF2B5EF4-FFF2-40B4-BE49-F238E27FC236}">
              <a16:creationId xmlns:a16="http://schemas.microsoft.com/office/drawing/2014/main" id="{00000000-0008-0000-0100-000065000000}"/>
            </a:ext>
          </a:extLst>
        </xdr:cNvPr>
        <xdr:cNvSpPr txBox="1">
          <a:spLocks noChangeArrowheads="1"/>
        </xdr:cNvSpPr>
      </xdr:nvSpPr>
      <xdr:spPr bwMode="auto">
        <a:xfrm>
          <a:off x="5366421" y="6811502"/>
          <a:ext cx="364907" cy="2209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CSG</a:t>
          </a:r>
        </a:p>
      </xdr:txBody>
    </xdr:sp>
    <xdr:clientData/>
  </xdr:twoCellAnchor>
  <xdr:twoCellAnchor>
    <xdr:from>
      <xdr:col>4</xdr:col>
      <xdr:colOff>938047</xdr:colOff>
      <xdr:row>43</xdr:row>
      <xdr:rowOff>43495</xdr:rowOff>
    </xdr:from>
    <xdr:to>
      <xdr:col>5</xdr:col>
      <xdr:colOff>158314</xdr:colOff>
      <xdr:row>44</xdr:row>
      <xdr:rowOff>66371</xdr:rowOff>
    </xdr:to>
    <xdr:sp macro="" textlink="">
      <xdr:nvSpPr>
        <xdr:cNvPr id="103" name="Text Box 277">
          <a:extLst>
            <a:ext uri="{FF2B5EF4-FFF2-40B4-BE49-F238E27FC236}">
              <a16:creationId xmlns:a16="http://schemas.microsoft.com/office/drawing/2014/main" id="{00000000-0008-0000-0100-000067000000}"/>
            </a:ext>
          </a:extLst>
        </xdr:cNvPr>
        <xdr:cNvSpPr txBox="1">
          <a:spLocks noChangeArrowheads="1"/>
        </xdr:cNvSpPr>
      </xdr:nvSpPr>
      <xdr:spPr bwMode="auto">
        <a:xfrm>
          <a:off x="5348122" y="7006270"/>
          <a:ext cx="372792" cy="222901"/>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pitchFamily="34" charset="0"/>
              <a:cs typeface="Arial" pitchFamily="34" charset="0"/>
            </a:rPr>
            <a:t>100</a:t>
          </a:r>
          <a:r>
            <a:rPr lang="el-GR" sz="1000" b="0" i="0" strike="noStrike">
              <a:solidFill>
                <a:srgbClr val="000000"/>
              </a:solidFill>
              <a:latin typeface="Arial" pitchFamily="34" charset="0"/>
              <a:cs typeface="Arial" pitchFamily="34" charset="0"/>
            </a:rPr>
            <a:t>Ω</a:t>
          </a:r>
        </a:p>
      </xdr:txBody>
    </xdr:sp>
    <xdr:clientData/>
  </xdr:twoCellAnchor>
  <xdr:twoCellAnchor>
    <xdr:from>
      <xdr:col>2</xdr:col>
      <xdr:colOff>127802</xdr:colOff>
      <xdr:row>7</xdr:row>
      <xdr:rowOff>69925</xdr:rowOff>
    </xdr:from>
    <xdr:to>
      <xdr:col>2</xdr:col>
      <xdr:colOff>561808</xdr:colOff>
      <xdr:row>8</xdr:row>
      <xdr:rowOff>143499</xdr:rowOff>
    </xdr:to>
    <xdr:sp macro="" textlink="">
      <xdr:nvSpPr>
        <xdr:cNvPr id="104" name="Text Box 248">
          <a:extLst>
            <a:ext uri="{FF2B5EF4-FFF2-40B4-BE49-F238E27FC236}">
              <a16:creationId xmlns:a16="http://schemas.microsoft.com/office/drawing/2014/main" id="{00000000-0008-0000-0100-000068000000}"/>
            </a:ext>
          </a:extLst>
        </xdr:cNvPr>
        <xdr:cNvSpPr txBox="1">
          <a:spLocks noChangeArrowheads="1"/>
        </xdr:cNvSpPr>
      </xdr:nvSpPr>
      <xdr:spPr bwMode="auto">
        <a:xfrm>
          <a:off x="2118527" y="1203400"/>
          <a:ext cx="434006" cy="23549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4</xdr:col>
      <xdr:colOff>903979</xdr:colOff>
      <xdr:row>39</xdr:row>
      <xdr:rowOff>8956</xdr:rowOff>
    </xdr:from>
    <xdr:to>
      <xdr:col>5</xdr:col>
      <xdr:colOff>123188</xdr:colOff>
      <xdr:row>40</xdr:row>
      <xdr:rowOff>72374</xdr:rowOff>
    </xdr:to>
    <xdr:sp macro="" textlink="">
      <xdr:nvSpPr>
        <xdr:cNvPr id="73" name="Text Box 277">
          <a:extLst>
            <a:ext uri="{FF2B5EF4-FFF2-40B4-BE49-F238E27FC236}">
              <a16:creationId xmlns:a16="http://schemas.microsoft.com/office/drawing/2014/main" id="{00000000-0008-0000-0100-000049000000}"/>
            </a:ext>
          </a:extLst>
        </xdr:cNvPr>
        <xdr:cNvSpPr txBox="1">
          <a:spLocks noChangeArrowheads="1"/>
        </xdr:cNvSpPr>
      </xdr:nvSpPr>
      <xdr:spPr bwMode="auto">
        <a:xfrm>
          <a:off x="5314054" y="6324031"/>
          <a:ext cx="371734" cy="225343"/>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pitchFamily="34" charset="0"/>
              <a:cs typeface="Arial" pitchFamily="34" charset="0"/>
            </a:rPr>
            <a:t>100</a:t>
          </a:r>
          <a:r>
            <a:rPr lang="el-GR" sz="1000" b="0" i="0" strike="noStrike">
              <a:solidFill>
                <a:srgbClr val="000000"/>
              </a:solidFill>
              <a:latin typeface="Arial" pitchFamily="34" charset="0"/>
              <a:cs typeface="Arial" pitchFamily="34" charset="0"/>
            </a:rPr>
            <a:t>Ω</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564696</xdr:colOff>
      <xdr:row>107</xdr:row>
      <xdr:rowOff>123652</xdr:rowOff>
    </xdr:from>
    <xdr:to>
      <xdr:col>9</xdr:col>
      <xdr:colOff>564696</xdr:colOff>
      <xdr:row>136</xdr:row>
      <xdr:rowOff>141527</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4696" y="18125902"/>
          <a:ext cx="5510893" cy="475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564696</xdr:colOff>
      <xdr:row>137</xdr:row>
      <xdr:rowOff>138794</xdr:rowOff>
    </xdr:from>
    <xdr:to>
      <xdr:col>9</xdr:col>
      <xdr:colOff>564696</xdr:colOff>
      <xdr:row>166</xdr:row>
      <xdr:rowOff>136279</xdr:rowOff>
    </xdr:to>
    <xdr:pic>
      <xdr:nvPicPr>
        <xdr:cNvPr id="11" name="Picture 10">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696" y="23039615"/>
          <a:ext cx="5510893" cy="4732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564696</xdr:colOff>
      <xdr:row>34</xdr:row>
      <xdr:rowOff>51297</xdr:rowOff>
    </xdr:from>
    <xdr:to>
      <xdr:col>9</xdr:col>
      <xdr:colOff>540203</xdr:colOff>
      <xdr:row>56</xdr:row>
      <xdr:rowOff>136448</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64696" y="6133690"/>
          <a:ext cx="5486400" cy="3677437"/>
        </a:xfrm>
        <a:prstGeom prst="rect">
          <a:avLst/>
        </a:prstGeom>
      </xdr:spPr>
    </xdr:pic>
    <xdr:clientData/>
  </xdr:twoCellAnchor>
  <xdr:twoCellAnchor editAs="oneCell">
    <xdr:from>
      <xdr:col>0</xdr:col>
      <xdr:colOff>564696</xdr:colOff>
      <xdr:row>82</xdr:row>
      <xdr:rowOff>128683</xdr:rowOff>
    </xdr:from>
    <xdr:to>
      <xdr:col>9</xdr:col>
      <xdr:colOff>540203</xdr:colOff>
      <xdr:row>106</xdr:row>
      <xdr:rowOff>126387</xdr:rowOff>
    </xdr:to>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4696" y="14048790"/>
          <a:ext cx="5486400" cy="3916561"/>
        </a:xfrm>
        <a:prstGeom prst="rect">
          <a:avLst/>
        </a:prstGeom>
      </xdr:spPr>
    </xdr:pic>
    <xdr:clientData/>
  </xdr:twoCellAnchor>
  <xdr:twoCellAnchor editAs="oneCell">
    <xdr:from>
      <xdr:col>12</xdr:col>
      <xdr:colOff>63500</xdr:colOff>
      <xdr:row>9</xdr:row>
      <xdr:rowOff>12307</xdr:rowOff>
    </xdr:from>
    <xdr:to>
      <xdr:col>20</xdr:col>
      <xdr:colOff>88900</xdr:colOff>
      <xdr:row>34</xdr:row>
      <xdr:rowOff>139706</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6384" t="7673" r="5497" b="7948"/>
        <a:stretch/>
      </xdr:blipFill>
      <xdr:spPr>
        <a:xfrm>
          <a:off x="7302500" y="1980807"/>
          <a:ext cx="5486400" cy="4096149"/>
        </a:xfrm>
        <a:prstGeom prst="rect">
          <a:avLst/>
        </a:prstGeom>
      </xdr:spPr>
    </xdr:pic>
    <xdr:clientData/>
  </xdr:twoCellAnchor>
  <xdr:twoCellAnchor editAs="oneCell">
    <xdr:from>
      <xdr:col>12</xdr:col>
      <xdr:colOff>57150</xdr:colOff>
      <xdr:row>35</xdr:row>
      <xdr:rowOff>153607</xdr:rowOff>
    </xdr:from>
    <xdr:to>
      <xdr:col>20</xdr:col>
      <xdr:colOff>63873</xdr:colOff>
      <xdr:row>68</xdr:row>
      <xdr:rowOff>64167</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3204" t="3892" r="994" b="4124"/>
        <a:stretch/>
      </xdr:blipFill>
      <xdr:spPr>
        <a:xfrm>
          <a:off x="7296150" y="6249607"/>
          <a:ext cx="5467723" cy="5149310"/>
        </a:xfrm>
        <a:prstGeom prst="rect">
          <a:avLst/>
        </a:prstGeom>
      </xdr:spPr>
    </xdr:pic>
    <xdr:clientData/>
  </xdr:twoCellAnchor>
  <xdr:twoCellAnchor editAs="oneCell">
    <xdr:from>
      <xdr:col>12</xdr:col>
      <xdr:colOff>57150</xdr:colOff>
      <xdr:row>69</xdr:row>
      <xdr:rowOff>78068</xdr:rowOff>
    </xdr:from>
    <xdr:to>
      <xdr:col>20</xdr:col>
      <xdr:colOff>63873</xdr:colOff>
      <xdr:row>100</xdr:row>
      <xdr:rowOff>62923</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658" t="6200" r="277" b="3403"/>
        <a:stretch/>
      </xdr:blipFill>
      <xdr:spPr>
        <a:xfrm>
          <a:off x="7296150" y="11571568"/>
          <a:ext cx="5467723" cy="4906105"/>
        </a:xfrm>
        <a:prstGeom prst="rect">
          <a:avLst/>
        </a:prstGeom>
      </xdr:spPr>
    </xdr:pic>
    <xdr:clientData/>
  </xdr:twoCellAnchor>
  <xdr:twoCellAnchor editAs="oneCell">
    <xdr:from>
      <xdr:col>22</xdr:col>
      <xdr:colOff>69271</xdr:colOff>
      <xdr:row>9</xdr:row>
      <xdr:rowOff>10102</xdr:rowOff>
    </xdr:from>
    <xdr:to>
      <xdr:col>33</xdr:col>
      <xdr:colOff>259771</xdr:colOff>
      <xdr:row>38</xdr:row>
      <xdr:rowOff>14251</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3951" t="3176" r="2120" b="4976"/>
        <a:stretch/>
      </xdr:blipFill>
      <xdr:spPr>
        <a:xfrm>
          <a:off x="13975771" y="1978602"/>
          <a:ext cx="6826250" cy="4607899"/>
        </a:xfrm>
        <a:prstGeom prst="rect">
          <a:avLst/>
        </a:prstGeom>
      </xdr:spPr>
    </xdr:pic>
    <xdr:clientData/>
  </xdr:twoCellAnchor>
  <xdr:twoCellAnchor editAs="oneCell">
    <xdr:from>
      <xdr:col>22</xdr:col>
      <xdr:colOff>69271</xdr:colOff>
      <xdr:row>38</xdr:row>
      <xdr:rowOff>153610</xdr:rowOff>
    </xdr:from>
    <xdr:to>
      <xdr:col>33</xdr:col>
      <xdr:colOff>252695</xdr:colOff>
      <xdr:row>68</xdr:row>
      <xdr:rowOff>49701</xdr:rowOff>
    </xdr:to>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4667" t="10113" r="4940" b="8223"/>
        <a:stretch/>
      </xdr:blipFill>
      <xdr:spPr>
        <a:xfrm>
          <a:off x="13975771" y="6725860"/>
          <a:ext cx="6819174" cy="4658591"/>
        </a:xfrm>
        <a:prstGeom prst="rect">
          <a:avLst/>
        </a:prstGeom>
      </xdr:spPr>
    </xdr:pic>
    <xdr:clientData/>
  </xdr:twoCellAnchor>
  <xdr:twoCellAnchor editAs="oneCell">
    <xdr:from>
      <xdr:col>22</xdr:col>
      <xdr:colOff>69271</xdr:colOff>
      <xdr:row>69</xdr:row>
      <xdr:rowOff>27423</xdr:rowOff>
    </xdr:from>
    <xdr:to>
      <xdr:col>33</xdr:col>
      <xdr:colOff>259771</xdr:colOff>
      <xdr:row>98</xdr:row>
      <xdr:rowOff>109158</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l="2042" t="8673" r="3293" b="4723"/>
        <a:stretch/>
      </xdr:blipFill>
      <xdr:spPr>
        <a:xfrm>
          <a:off x="13975771" y="11520923"/>
          <a:ext cx="6826250" cy="4685485"/>
        </a:xfrm>
        <a:prstGeom prst="rect">
          <a:avLst/>
        </a:prstGeom>
      </xdr:spPr>
    </xdr:pic>
    <xdr:clientData/>
  </xdr:twoCellAnchor>
  <xdr:twoCellAnchor editAs="oneCell">
    <xdr:from>
      <xdr:col>0</xdr:col>
      <xdr:colOff>559596</xdr:colOff>
      <xdr:row>9</xdr:row>
      <xdr:rowOff>83343</xdr:rowOff>
    </xdr:from>
    <xdr:to>
      <xdr:col>9</xdr:col>
      <xdr:colOff>500062</xdr:colOff>
      <xdr:row>33</xdr:row>
      <xdr:rowOff>35718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l="3258" t="7197" r="4310" b="7455"/>
        <a:stretch/>
      </xdr:blipFill>
      <xdr:spPr>
        <a:xfrm>
          <a:off x="559596" y="2107406"/>
          <a:ext cx="5405435" cy="3952875"/>
        </a:xfrm>
        <a:prstGeom prst="rect">
          <a:avLst/>
        </a:prstGeom>
      </xdr:spPr>
    </xdr:pic>
    <xdr:clientData/>
  </xdr:twoCellAnchor>
  <xdr:twoCellAnchor editAs="oneCell">
    <xdr:from>
      <xdr:col>0</xdr:col>
      <xdr:colOff>567877</xdr:colOff>
      <xdr:row>58</xdr:row>
      <xdr:rowOff>59530</xdr:rowOff>
    </xdr:from>
    <xdr:to>
      <xdr:col>9</xdr:col>
      <xdr:colOff>521805</xdr:colOff>
      <xdr:row>81</xdr:row>
      <xdr:rowOff>113822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7016" t="10975" r="8251" b="10033"/>
        <a:stretch/>
      </xdr:blipFill>
      <xdr:spPr>
        <a:xfrm>
          <a:off x="567877" y="10189160"/>
          <a:ext cx="5470145" cy="38642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809625</xdr:colOff>
      <xdr:row>24</xdr:row>
      <xdr:rowOff>66675</xdr:rowOff>
    </xdr:from>
    <xdr:to>
      <xdr:col>19</xdr:col>
      <xdr:colOff>190500</xdr:colOff>
      <xdr:row>55</xdr:row>
      <xdr:rowOff>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0896600" y="4181475"/>
          <a:ext cx="6229350" cy="50101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42">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2.7nF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451">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100kΩ</a:t>
            </a:fld>
            <a:endParaRPr lang="el-GR" sz="1000" b="1" i="0" u="none" strike="noStrike" baseline="0">
              <a:solidFill>
                <a:srgbClr val="000000"/>
              </a:solidFill>
              <a:latin typeface="Arial"/>
              <a:cs typeface="Arial"/>
            </a:endParaRPr>
          </a:p>
        </xdr:txBody>
      </xdr:sp>
      <xdr:sp macro="" textlink="$A$452">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7.15kΩ</a:t>
            </a:fld>
            <a:endParaRPr lang="el-GR" sz="1000" b="1" i="0" u="none" strike="noStrike" baseline="0">
              <a:solidFill>
                <a:srgbClr val="000000"/>
              </a:solidFill>
              <a:latin typeface="Arial"/>
              <a:cs typeface="Arial"/>
            </a:endParaRPr>
          </a:p>
        </xdr:txBody>
      </xdr:sp>
      <xdr:sp macro="" textlink="$A$441">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12.1kΩ</a:t>
            </a:fld>
            <a:endParaRPr lang="el-GR" sz="1000" b="1" i="0" u="none" strike="noStrike" baseline="0">
              <a:solidFill>
                <a:srgbClr val="000000"/>
              </a:solidFill>
              <a:latin typeface="Arial"/>
              <a:cs typeface="Arial"/>
            </a:endParaRPr>
          </a:p>
        </xdr:txBody>
      </xdr:sp>
      <xdr:sp macro="" textlink="$A$431">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12V</a:t>
            </a:fld>
            <a:endParaRPr lang="el-GR" sz="1000" b="1" i="0" u="none" strike="noStrike" baseline="0">
              <a:solidFill>
                <a:srgbClr val="000000"/>
              </a:solidFill>
              <a:latin typeface="Arial"/>
              <a:cs typeface="Arial"/>
            </a:endParaRPr>
          </a:p>
        </xdr:txBody>
      </xdr:sp>
    </xdr:grpSp>
    <xdr:clientData/>
  </xdr:twoCellAnchor>
  <xdr:twoCellAnchor>
    <xdr:from>
      <xdr:col>13</xdr:col>
      <xdr:colOff>66675</xdr:colOff>
      <xdr:row>16</xdr:row>
      <xdr:rowOff>152401</xdr:rowOff>
    </xdr:from>
    <xdr:to>
      <xdr:col>14</xdr:col>
      <xdr:colOff>504825</xdr:colOff>
      <xdr:row>18</xdr:row>
      <xdr:rowOff>95251</xdr:rowOff>
    </xdr:to>
    <xdr:sp macro="" textlink="$A$445">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3173075" y="2647951"/>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1.27mS</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21</xdr:row>
      <xdr:rowOff>0</xdr:rowOff>
    </xdr:from>
    <xdr:to>
      <xdr:col>14</xdr:col>
      <xdr:colOff>533400</xdr:colOff>
      <xdr:row>23</xdr:row>
      <xdr:rowOff>104775</xdr:rowOff>
    </xdr:to>
    <xdr:sp macro="" textlink="$A$446">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3201650" y="326707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20MΩ</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19</xdr:row>
      <xdr:rowOff>0</xdr:rowOff>
    </xdr:from>
    <xdr:to>
      <xdr:col>14</xdr:col>
      <xdr:colOff>533400</xdr:colOff>
      <xdr:row>20</xdr:row>
      <xdr:rowOff>104775</xdr:rowOff>
    </xdr:to>
    <xdr:sp macro="" textlink="$A$447">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3201650" y="298132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8MHz</a:t>
          </a:fld>
          <a:endParaRPr lang="el-GR" sz="1000" b="1" i="0" u="none" strike="noStrike" baseline="0">
            <a:solidFill>
              <a:srgbClr val="000000"/>
            </a:solidFill>
            <a:latin typeface="Arial"/>
            <a:cs typeface="Arial"/>
          </a:endParaRPr>
        </a:p>
      </xdr:txBody>
    </xdr:sp>
    <xdr:clientData/>
  </xdr:twoCellAnchor>
  <xdr:twoCellAnchor editAs="oneCell">
    <xdr:from>
      <xdr:col>2</xdr:col>
      <xdr:colOff>352425</xdr:colOff>
      <xdr:row>35</xdr:row>
      <xdr:rowOff>123825</xdr:rowOff>
    </xdr:from>
    <xdr:to>
      <xdr:col>5</xdr:col>
      <xdr:colOff>361657</xdr:colOff>
      <xdr:row>39</xdr:row>
      <xdr:rowOff>18982</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a:stretch>
          <a:fillRect/>
        </a:stretch>
      </xdr:blipFill>
      <xdr:spPr>
        <a:xfrm>
          <a:off x="3743325" y="5857875"/>
          <a:ext cx="2342857" cy="542857"/>
        </a:xfrm>
        <a:prstGeom prst="rect">
          <a:avLst/>
        </a:prstGeom>
      </xdr:spPr>
    </xdr:pic>
    <xdr:clientData/>
  </xdr:twoCellAnchor>
  <xdr:twoCellAnchor editAs="oneCell">
    <xdr:from>
      <xdr:col>6</xdr:col>
      <xdr:colOff>28575</xdr:colOff>
      <xdr:row>35</xdr:row>
      <xdr:rowOff>28575</xdr:rowOff>
    </xdr:from>
    <xdr:to>
      <xdr:col>7</xdr:col>
      <xdr:colOff>704662</xdr:colOff>
      <xdr:row>39</xdr:row>
      <xdr:rowOff>18970</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6362700" y="5762625"/>
          <a:ext cx="1504762" cy="638095"/>
        </a:xfrm>
        <a:prstGeom prst="rect">
          <a:avLst/>
        </a:prstGeom>
      </xdr:spPr>
    </xdr:pic>
    <xdr:clientData/>
  </xdr:twoCellAnchor>
  <xdr:twoCellAnchor editAs="oneCell">
    <xdr:from>
      <xdr:col>2</xdr:col>
      <xdr:colOff>361950</xdr:colOff>
      <xdr:row>39</xdr:row>
      <xdr:rowOff>114300</xdr:rowOff>
    </xdr:from>
    <xdr:to>
      <xdr:col>4</xdr:col>
      <xdr:colOff>409374</xdr:colOff>
      <xdr:row>43</xdr:row>
      <xdr:rowOff>9457</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3752850" y="6496050"/>
          <a:ext cx="1609524" cy="542857"/>
        </a:xfrm>
        <a:prstGeom prst="rect">
          <a:avLst/>
        </a:prstGeom>
      </xdr:spPr>
    </xdr:pic>
    <xdr:clientData/>
  </xdr:twoCellAnchor>
  <xdr:twoCellAnchor editAs="oneCell">
    <xdr:from>
      <xdr:col>4</xdr:col>
      <xdr:colOff>752475</xdr:colOff>
      <xdr:row>39</xdr:row>
      <xdr:rowOff>85725</xdr:rowOff>
    </xdr:from>
    <xdr:to>
      <xdr:col>7</xdr:col>
      <xdr:colOff>1056961</xdr:colOff>
      <xdr:row>42</xdr:row>
      <xdr:rowOff>142807</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5"/>
        <a:stretch>
          <a:fillRect/>
        </a:stretch>
      </xdr:blipFill>
      <xdr:spPr>
        <a:xfrm>
          <a:off x="5705475" y="6467475"/>
          <a:ext cx="2514286" cy="5428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8839200</xdr:colOff>
      <xdr:row>5</xdr:row>
      <xdr:rowOff>9525</xdr:rowOff>
    </xdr:to>
    <xdr:pic>
      <xdr:nvPicPr>
        <xdr:cNvPr id="117" name="Picture 116">
          <a:extLst>
            <a:ext uri="{FF2B5EF4-FFF2-40B4-BE49-F238E27FC236}">
              <a16:creationId xmlns:a16="http://schemas.microsoft.com/office/drawing/2014/main" id="{00000000-0008-0000-04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647700"/>
          <a:ext cx="8839200" cy="500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xdr:row>
      <xdr:rowOff>0</xdr:rowOff>
    </xdr:from>
    <xdr:to>
      <xdr:col>1</xdr:col>
      <xdr:colOff>8839200</xdr:colOff>
      <xdr:row>8</xdr:row>
      <xdr:rowOff>9525</xdr:rowOff>
    </xdr:to>
    <xdr:pic>
      <xdr:nvPicPr>
        <xdr:cNvPr id="116" name="Picture 115">
          <a:extLst>
            <a:ext uri="{FF2B5EF4-FFF2-40B4-BE49-F238E27FC236}">
              <a16:creationId xmlns:a16="http://schemas.microsoft.com/office/drawing/2014/main" id="{00000000-0008-0000-0400-00007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6229350"/>
          <a:ext cx="8839200" cy="500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1741435</xdr:colOff>
      <xdr:row>4</xdr:row>
      <xdr:rowOff>4449692</xdr:rowOff>
    </xdr:from>
    <xdr:to>
      <xdr:col>1</xdr:col>
      <xdr:colOff>2083824</xdr:colOff>
      <xdr:row>4</xdr:row>
      <xdr:rowOff>4711252</xdr:rowOff>
    </xdr:to>
    <xdr:sp macro="" textlink="">
      <xdr:nvSpPr>
        <xdr:cNvPr id="6" name="Text Box 225">
          <a:extLst>
            <a:ext uri="{FF2B5EF4-FFF2-40B4-BE49-F238E27FC236}">
              <a16:creationId xmlns:a16="http://schemas.microsoft.com/office/drawing/2014/main" id="{00000000-0008-0000-0400-000006000000}"/>
            </a:ext>
          </a:extLst>
        </xdr:cNvPr>
        <xdr:cNvSpPr txBox="1">
          <a:spLocks noChangeArrowheads="1"/>
        </xdr:cNvSpPr>
      </xdr:nvSpPr>
      <xdr:spPr bwMode="auto">
        <a:xfrm>
          <a:off x="2446285" y="5097392"/>
          <a:ext cx="342389" cy="26156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6856439</xdr:colOff>
      <xdr:row>4</xdr:row>
      <xdr:rowOff>2095432</xdr:rowOff>
    </xdr:from>
    <xdr:to>
      <xdr:col>1</xdr:col>
      <xdr:colOff>7240372</xdr:colOff>
      <xdr:row>4</xdr:row>
      <xdr:rowOff>2323782</xdr:rowOff>
    </xdr:to>
    <xdr:sp macro="" textlink="">
      <xdr:nvSpPr>
        <xdr:cNvPr id="7" name="Text Box 228">
          <a:extLst>
            <a:ext uri="{FF2B5EF4-FFF2-40B4-BE49-F238E27FC236}">
              <a16:creationId xmlns:a16="http://schemas.microsoft.com/office/drawing/2014/main" id="{00000000-0008-0000-0400-000007000000}"/>
            </a:ext>
          </a:extLst>
        </xdr:cNvPr>
        <xdr:cNvSpPr txBox="1">
          <a:spLocks noChangeArrowheads="1"/>
        </xdr:cNvSpPr>
      </xdr:nvSpPr>
      <xdr:spPr bwMode="auto">
        <a:xfrm>
          <a:off x="7561289" y="2743132"/>
          <a:ext cx="383933" cy="22835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editAs="absolute">
    <xdr:from>
      <xdr:col>1</xdr:col>
      <xdr:colOff>7914727</xdr:colOff>
      <xdr:row>4</xdr:row>
      <xdr:rowOff>985582</xdr:rowOff>
    </xdr:from>
    <xdr:to>
      <xdr:col>1</xdr:col>
      <xdr:colOff>8390563</xdr:colOff>
      <xdr:row>4</xdr:row>
      <xdr:rowOff>1229566</xdr:rowOff>
    </xdr:to>
    <xdr:sp macro="" textlink="">
      <xdr:nvSpPr>
        <xdr:cNvPr id="8" name="Text Box 231">
          <a:extLst>
            <a:ext uri="{FF2B5EF4-FFF2-40B4-BE49-F238E27FC236}">
              <a16:creationId xmlns:a16="http://schemas.microsoft.com/office/drawing/2014/main" id="{00000000-0008-0000-0400-000008000000}"/>
            </a:ext>
          </a:extLst>
        </xdr:cNvPr>
        <xdr:cNvSpPr txBox="1">
          <a:spLocks noChangeArrowheads="1"/>
        </xdr:cNvSpPr>
      </xdr:nvSpPr>
      <xdr:spPr bwMode="auto">
        <a:xfrm>
          <a:off x="8619577" y="1633282"/>
          <a:ext cx="475836" cy="24398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CS(out)</a:t>
          </a:r>
        </a:p>
      </xdr:txBody>
    </xdr:sp>
    <xdr:clientData/>
  </xdr:twoCellAnchor>
  <xdr:twoCellAnchor editAs="absolute">
    <xdr:from>
      <xdr:col>1</xdr:col>
      <xdr:colOff>3248284</xdr:colOff>
      <xdr:row>4</xdr:row>
      <xdr:rowOff>4341824</xdr:rowOff>
    </xdr:from>
    <xdr:to>
      <xdr:col>1</xdr:col>
      <xdr:colOff>3522445</xdr:colOff>
      <xdr:row>4</xdr:row>
      <xdr:rowOff>4590206</xdr:rowOff>
    </xdr:to>
    <xdr:sp macro="" textlink="">
      <xdr:nvSpPr>
        <xdr:cNvPr id="9" name="Text Box 233">
          <a:extLst>
            <a:ext uri="{FF2B5EF4-FFF2-40B4-BE49-F238E27FC236}">
              <a16:creationId xmlns:a16="http://schemas.microsoft.com/office/drawing/2014/main" id="{00000000-0008-0000-0400-000009000000}"/>
            </a:ext>
          </a:extLst>
        </xdr:cNvPr>
        <xdr:cNvSpPr txBox="1">
          <a:spLocks noChangeArrowheads="1"/>
        </xdr:cNvSpPr>
      </xdr:nvSpPr>
      <xdr:spPr bwMode="auto">
        <a:xfrm>
          <a:off x="3953134" y="4989524"/>
          <a:ext cx="274161" cy="248382"/>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CS</a:t>
          </a:r>
        </a:p>
      </xdr:txBody>
    </xdr:sp>
    <xdr:clientData/>
  </xdr:twoCellAnchor>
  <xdr:twoCellAnchor editAs="absolute">
    <xdr:from>
      <xdr:col>1</xdr:col>
      <xdr:colOff>6888908</xdr:colOff>
      <xdr:row>4</xdr:row>
      <xdr:rowOff>2971350</xdr:rowOff>
    </xdr:from>
    <xdr:to>
      <xdr:col>1</xdr:col>
      <xdr:colOff>7132769</xdr:colOff>
      <xdr:row>4</xdr:row>
      <xdr:rowOff>3192646</xdr:rowOff>
    </xdr:to>
    <xdr:sp macro="" textlink="">
      <xdr:nvSpPr>
        <xdr:cNvPr id="10" name="Text Box 234">
          <a:extLst>
            <a:ext uri="{FF2B5EF4-FFF2-40B4-BE49-F238E27FC236}">
              <a16:creationId xmlns:a16="http://schemas.microsoft.com/office/drawing/2014/main" id="{00000000-0008-0000-0400-00000A000000}"/>
            </a:ext>
          </a:extLst>
        </xdr:cNvPr>
        <xdr:cNvSpPr txBox="1">
          <a:spLocks noChangeArrowheads="1"/>
        </xdr:cNvSpPr>
      </xdr:nvSpPr>
      <xdr:spPr bwMode="auto">
        <a:xfrm>
          <a:off x="7593758" y="3619050"/>
          <a:ext cx="243861" cy="22129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a:t>
          </a:r>
        </a:p>
      </xdr:txBody>
    </xdr:sp>
    <xdr:clientData/>
  </xdr:twoCellAnchor>
  <xdr:twoCellAnchor editAs="absolute">
    <xdr:from>
      <xdr:col>1</xdr:col>
      <xdr:colOff>6587606</xdr:colOff>
      <xdr:row>4</xdr:row>
      <xdr:rowOff>1269925</xdr:rowOff>
    </xdr:from>
    <xdr:to>
      <xdr:col>1</xdr:col>
      <xdr:colOff>6927606</xdr:colOff>
      <xdr:row>4</xdr:row>
      <xdr:rowOff>1547630</xdr:rowOff>
    </xdr:to>
    <xdr:sp macro="" textlink="">
      <xdr:nvSpPr>
        <xdr:cNvPr id="11" name="Text Box 235">
          <a:extLst>
            <a:ext uri="{FF2B5EF4-FFF2-40B4-BE49-F238E27FC236}">
              <a16:creationId xmlns:a16="http://schemas.microsoft.com/office/drawing/2014/main" id="{00000000-0008-0000-0400-00000B000000}"/>
            </a:ext>
          </a:extLst>
        </xdr:cNvPr>
        <xdr:cNvSpPr txBox="1">
          <a:spLocks noChangeArrowheads="1"/>
        </xdr:cNvSpPr>
      </xdr:nvSpPr>
      <xdr:spPr bwMode="auto">
        <a:xfrm>
          <a:off x="7292456" y="1917625"/>
          <a:ext cx="340000" cy="27770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editAs="absolute">
    <xdr:from>
      <xdr:col>1</xdr:col>
      <xdr:colOff>3618738</xdr:colOff>
      <xdr:row>4</xdr:row>
      <xdr:rowOff>4540413</xdr:rowOff>
    </xdr:from>
    <xdr:to>
      <xdr:col>1</xdr:col>
      <xdr:colOff>4025437</xdr:colOff>
      <xdr:row>4</xdr:row>
      <xdr:rowOff>4788337</xdr:rowOff>
    </xdr:to>
    <xdr:sp macro="" textlink="">
      <xdr:nvSpPr>
        <xdr:cNvPr id="12" name="Text Box 243">
          <a:extLst>
            <a:ext uri="{FF2B5EF4-FFF2-40B4-BE49-F238E27FC236}">
              <a16:creationId xmlns:a16="http://schemas.microsoft.com/office/drawing/2014/main" id="{00000000-0008-0000-0400-00000C000000}"/>
            </a:ext>
          </a:extLst>
        </xdr:cNvPr>
        <xdr:cNvSpPr txBox="1">
          <a:spLocks noChangeArrowheads="1"/>
        </xdr:cNvSpPr>
      </xdr:nvSpPr>
      <xdr:spPr bwMode="auto">
        <a:xfrm>
          <a:off x="4323588" y="5188113"/>
          <a:ext cx="406699" cy="247924"/>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100pF</a:t>
          </a:r>
        </a:p>
      </xdr:txBody>
    </xdr:sp>
    <xdr:clientData/>
  </xdr:twoCellAnchor>
  <xdr:twoCellAnchor editAs="absolute">
    <xdr:from>
      <xdr:col>1</xdr:col>
      <xdr:colOff>6345478</xdr:colOff>
      <xdr:row>4</xdr:row>
      <xdr:rowOff>2121792</xdr:rowOff>
    </xdr:from>
    <xdr:to>
      <xdr:col>1</xdr:col>
      <xdr:colOff>6670916</xdr:colOff>
      <xdr:row>4</xdr:row>
      <xdr:rowOff>2348038</xdr:rowOff>
    </xdr:to>
    <xdr:sp macro="" textlink="">
      <xdr:nvSpPr>
        <xdr:cNvPr id="13" name="Text Box 244">
          <a:extLst>
            <a:ext uri="{FF2B5EF4-FFF2-40B4-BE49-F238E27FC236}">
              <a16:creationId xmlns:a16="http://schemas.microsoft.com/office/drawing/2014/main" id="{00000000-0008-0000-0400-00000D000000}"/>
            </a:ext>
          </a:extLst>
        </xdr:cNvPr>
        <xdr:cNvSpPr txBox="1">
          <a:spLocks noChangeArrowheads="1"/>
        </xdr:cNvSpPr>
      </xdr:nvSpPr>
      <xdr:spPr bwMode="auto">
        <a:xfrm>
          <a:off x="7050328" y="2769492"/>
          <a:ext cx="325438"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3985001</xdr:colOff>
      <xdr:row>4</xdr:row>
      <xdr:rowOff>69606</xdr:rowOff>
    </xdr:from>
    <xdr:to>
      <xdr:col>1</xdr:col>
      <xdr:colOff>4393844</xdr:colOff>
      <xdr:row>4</xdr:row>
      <xdr:rowOff>311250</xdr:rowOff>
    </xdr:to>
    <xdr:sp macro="" textlink="">
      <xdr:nvSpPr>
        <xdr:cNvPr id="14" name="Text Box 248">
          <a:extLst>
            <a:ext uri="{FF2B5EF4-FFF2-40B4-BE49-F238E27FC236}">
              <a16:creationId xmlns:a16="http://schemas.microsoft.com/office/drawing/2014/main" id="{00000000-0008-0000-0400-00000E000000}"/>
            </a:ext>
          </a:extLst>
        </xdr:cNvPr>
        <xdr:cNvSpPr txBox="1">
          <a:spLocks noChangeArrowheads="1"/>
        </xdr:cNvSpPr>
      </xdr:nvSpPr>
      <xdr:spPr bwMode="auto">
        <a:xfrm>
          <a:off x="4689851" y="717306"/>
          <a:ext cx="408843"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xdr:col>
      <xdr:colOff>5069341</xdr:colOff>
      <xdr:row>4</xdr:row>
      <xdr:rowOff>2108325</xdr:rowOff>
    </xdr:from>
    <xdr:to>
      <xdr:col>1</xdr:col>
      <xdr:colOff>5444036</xdr:colOff>
      <xdr:row>4</xdr:row>
      <xdr:rowOff>2358596</xdr:rowOff>
    </xdr:to>
    <xdr:sp macro="" textlink="">
      <xdr:nvSpPr>
        <xdr:cNvPr id="15" name="Text Box 249">
          <a:extLst>
            <a:ext uri="{FF2B5EF4-FFF2-40B4-BE49-F238E27FC236}">
              <a16:creationId xmlns:a16="http://schemas.microsoft.com/office/drawing/2014/main" id="{00000000-0008-0000-0400-00000F000000}"/>
            </a:ext>
          </a:extLst>
        </xdr:cNvPr>
        <xdr:cNvSpPr txBox="1">
          <a:spLocks noChangeArrowheads="1"/>
        </xdr:cNvSpPr>
      </xdr:nvSpPr>
      <xdr:spPr bwMode="auto">
        <a:xfrm>
          <a:off x="5774191" y="2756025"/>
          <a:ext cx="374695" cy="2502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editAs="absolute">
    <xdr:from>
      <xdr:col>1</xdr:col>
      <xdr:colOff>4599220</xdr:colOff>
      <xdr:row>4</xdr:row>
      <xdr:rowOff>4171631</xdr:rowOff>
    </xdr:from>
    <xdr:to>
      <xdr:col>1</xdr:col>
      <xdr:colOff>4910059</xdr:colOff>
      <xdr:row>4</xdr:row>
      <xdr:rowOff>4403721</xdr:rowOff>
    </xdr:to>
    <xdr:sp macro="" textlink="">
      <xdr:nvSpPr>
        <xdr:cNvPr id="16" name="Text Box 250">
          <a:extLst>
            <a:ext uri="{FF2B5EF4-FFF2-40B4-BE49-F238E27FC236}">
              <a16:creationId xmlns:a16="http://schemas.microsoft.com/office/drawing/2014/main" id="{00000000-0008-0000-0400-000010000000}"/>
            </a:ext>
          </a:extLst>
        </xdr:cNvPr>
        <xdr:cNvSpPr txBox="1">
          <a:spLocks noChangeArrowheads="1"/>
        </xdr:cNvSpPr>
      </xdr:nvSpPr>
      <xdr:spPr bwMode="auto">
        <a:xfrm>
          <a:off x="5304070" y="4819331"/>
          <a:ext cx="310839" cy="23209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CS1</a:t>
          </a:r>
        </a:p>
        <a:p>
          <a:pPr algn="l" rtl="0">
            <a:defRPr sz="1000"/>
          </a:pPr>
          <a:r>
            <a:rPr lang="en-US" sz="1000" b="0" i="0" strike="noStrike" baseline="-25000">
              <a:solidFill>
                <a:srgbClr val="000000"/>
              </a:solidFill>
              <a:latin typeface="Arial" pitchFamily="34" charset="0"/>
              <a:cs typeface="Arial" pitchFamily="34" charset="0"/>
            </a:rPr>
            <a:t>ood</a:t>
          </a:r>
        </a:p>
      </xdr:txBody>
    </xdr:sp>
    <xdr:clientData/>
  </xdr:twoCellAnchor>
  <xdr:twoCellAnchor editAs="absolute">
    <xdr:from>
      <xdr:col>1</xdr:col>
      <xdr:colOff>1023436</xdr:colOff>
      <xdr:row>4</xdr:row>
      <xdr:rowOff>2749110</xdr:rowOff>
    </xdr:from>
    <xdr:to>
      <xdr:col>1</xdr:col>
      <xdr:colOff>1350592</xdr:colOff>
      <xdr:row>4</xdr:row>
      <xdr:rowOff>3004734</xdr:rowOff>
    </xdr:to>
    <xdr:sp macro="" textlink="">
      <xdr:nvSpPr>
        <xdr:cNvPr id="17" name="Text Box 251">
          <a:extLst>
            <a:ext uri="{FF2B5EF4-FFF2-40B4-BE49-F238E27FC236}">
              <a16:creationId xmlns:a16="http://schemas.microsoft.com/office/drawing/2014/main" id="{00000000-0008-0000-0400-000011000000}"/>
            </a:ext>
          </a:extLst>
        </xdr:cNvPr>
        <xdr:cNvSpPr txBox="1">
          <a:spLocks noChangeArrowheads="1"/>
        </xdr:cNvSpPr>
      </xdr:nvSpPr>
      <xdr:spPr bwMode="auto">
        <a:xfrm>
          <a:off x="1728286" y="3396810"/>
          <a:ext cx="327156" cy="25562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editAs="absolute">
    <xdr:from>
      <xdr:col>1</xdr:col>
      <xdr:colOff>781911</xdr:colOff>
      <xdr:row>4</xdr:row>
      <xdr:rowOff>4088695</xdr:rowOff>
    </xdr:from>
    <xdr:to>
      <xdr:col>1</xdr:col>
      <xdr:colOff>1177488</xdr:colOff>
      <xdr:row>4</xdr:row>
      <xdr:rowOff>4289572</xdr:rowOff>
    </xdr:to>
    <xdr:sp macro="" textlink="">
      <xdr:nvSpPr>
        <xdr:cNvPr id="19" name="Text Box 255">
          <a:extLst>
            <a:ext uri="{FF2B5EF4-FFF2-40B4-BE49-F238E27FC236}">
              <a16:creationId xmlns:a16="http://schemas.microsoft.com/office/drawing/2014/main" id="{00000000-0008-0000-0400-000013000000}"/>
            </a:ext>
          </a:extLst>
        </xdr:cNvPr>
        <xdr:cNvSpPr txBox="1">
          <a:spLocks noChangeArrowheads="1"/>
        </xdr:cNvSpPr>
      </xdr:nvSpPr>
      <xdr:spPr bwMode="auto">
        <a:xfrm>
          <a:off x="1486761" y="4736395"/>
          <a:ext cx="395577"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1</xdr:col>
      <xdr:colOff>141951</xdr:colOff>
      <xdr:row>4</xdr:row>
      <xdr:rowOff>3374489</xdr:rowOff>
    </xdr:from>
    <xdr:to>
      <xdr:col>1</xdr:col>
      <xdr:colOff>384920</xdr:colOff>
      <xdr:row>4</xdr:row>
      <xdr:rowOff>3588894</xdr:rowOff>
    </xdr:to>
    <xdr:sp macro="" textlink="">
      <xdr:nvSpPr>
        <xdr:cNvPr id="20" name="Text Box 256">
          <a:extLst>
            <a:ext uri="{FF2B5EF4-FFF2-40B4-BE49-F238E27FC236}">
              <a16:creationId xmlns:a16="http://schemas.microsoft.com/office/drawing/2014/main" id="{00000000-0008-0000-0400-000014000000}"/>
            </a:ext>
          </a:extLst>
        </xdr:cNvPr>
        <xdr:cNvSpPr txBox="1">
          <a:spLocks noChangeArrowheads="1"/>
        </xdr:cNvSpPr>
      </xdr:nvSpPr>
      <xdr:spPr bwMode="auto">
        <a:xfrm>
          <a:off x="846801" y="4022189"/>
          <a:ext cx="242969" cy="214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xdr:col>
      <xdr:colOff>896117</xdr:colOff>
      <xdr:row>4</xdr:row>
      <xdr:rowOff>3616323</xdr:rowOff>
    </xdr:from>
    <xdr:to>
      <xdr:col>1</xdr:col>
      <xdr:colOff>1211687</xdr:colOff>
      <xdr:row>4</xdr:row>
      <xdr:rowOff>3860361</xdr:rowOff>
    </xdr:to>
    <xdr:sp macro="" textlink="">
      <xdr:nvSpPr>
        <xdr:cNvPr id="21" name="Text Box 257">
          <a:extLst>
            <a:ext uri="{FF2B5EF4-FFF2-40B4-BE49-F238E27FC236}">
              <a16:creationId xmlns:a16="http://schemas.microsoft.com/office/drawing/2014/main" id="{00000000-0008-0000-0400-000015000000}"/>
            </a:ext>
          </a:extLst>
        </xdr:cNvPr>
        <xdr:cNvSpPr txBox="1">
          <a:spLocks noChangeArrowheads="1"/>
        </xdr:cNvSpPr>
      </xdr:nvSpPr>
      <xdr:spPr bwMode="auto">
        <a:xfrm>
          <a:off x="1600967" y="4264023"/>
          <a:ext cx="315570" cy="24403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editAs="absolute">
    <xdr:from>
      <xdr:col>1</xdr:col>
      <xdr:colOff>853558</xdr:colOff>
      <xdr:row>4</xdr:row>
      <xdr:rowOff>3233968</xdr:rowOff>
    </xdr:from>
    <xdr:to>
      <xdr:col>1</xdr:col>
      <xdr:colOff>1162413</xdr:colOff>
      <xdr:row>4</xdr:row>
      <xdr:rowOff>3477474</xdr:rowOff>
    </xdr:to>
    <xdr:sp macro="" textlink="">
      <xdr:nvSpPr>
        <xdr:cNvPr id="22" name="Text Box 258">
          <a:extLst>
            <a:ext uri="{FF2B5EF4-FFF2-40B4-BE49-F238E27FC236}">
              <a16:creationId xmlns:a16="http://schemas.microsoft.com/office/drawing/2014/main" id="{00000000-0008-0000-0400-000016000000}"/>
            </a:ext>
          </a:extLst>
        </xdr:cNvPr>
        <xdr:cNvSpPr txBox="1">
          <a:spLocks noChangeArrowheads="1"/>
        </xdr:cNvSpPr>
      </xdr:nvSpPr>
      <xdr:spPr bwMode="auto">
        <a:xfrm>
          <a:off x="1558408" y="3881668"/>
          <a:ext cx="308855" cy="24350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a:t>
          </a:r>
        </a:p>
      </xdr:txBody>
    </xdr:sp>
    <xdr:clientData/>
  </xdr:twoCellAnchor>
  <xdr:twoCellAnchor editAs="absolute">
    <xdr:from>
      <xdr:col>1</xdr:col>
      <xdr:colOff>9479</xdr:colOff>
      <xdr:row>4</xdr:row>
      <xdr:rowOff>2563366</xdr:rowOff>
    </xdr:from>
    <xdr:to>
      <xdr:col>1</xdr:col>
      <xdr:colOff>693342</xdr:colOff>
      <xdr:row>4</xdr:row>
      <xdr:rowOff>2808011</xdr:rowOff>
    </xdr:to>
    <xdr:sp macro="" textlink="'Variable Management'!B471">
      <xdr:nvSpPr>
        <xdr:cNvPr id="23" name="Text Box 261">
          <a:extLst>
            <a:ext uri="{FF2B5EF4-FFF2-40B4-BE49-F238E27FC236}">
              <a16:creationId xmlns:a16="http://schemas.microsoft.com/office/drawing/2014/main" id="{00000000-0008-0000-0400-000017000000}"/>
            </a:ext>
          </a:extLst>
        </xdr:cNvPr>
        <xdr:cNvSpPr txBox="1">
          <a:spLocks noChangeArrowheads="1" noTextEdit="1"/>
        </xdr:cNvSpPr>
      </xdr:nvSpPr>
      <xdr:spPr bwMode="auto">
        <a:xfrm>
          <a:off x="714329" y="3211066"/>
          <a:ext cx="683863" cy="244645"/>
        </a:xfrm>
        <a:prstGeom prst="rect">
          <a:avLst/>
        </a:prstGeom>
        <a:noFill/>
        <a:ln w="9525">
          <a:noFill/>
          <a:miter lim="800000"/>
          <a:headEnd/>
          <a:tailEnd/>
        </a:ln>
      </xdr:spPr>
      <xdr:txBody>
        <a:bodyPr vertOverflow="clip" wrap="square" lIns="27432" tIns="22860" rIns="0" bIns="0" anchor="t" upright="1"/>
        <a:lstStyle/>
        <a:p>
          <a:pPr algn="r" rtl="0">
            <a:defRPr sz="1000"/>
          </a:pPr>
          <a:fld id="{B50E25BC-E8CF-448B-A92C-74321B73BB8B}" type="TxLink">
            <a:rPr lang="en-US" sz="1000" b="0" i="0" u="none" strike="noStrike" baseline="0">
              <a:solidFill>
                <a:srgbClr val="000000"/>
              </a:solidFill>
              <a:latin typeface="Arialri"/>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0</xdr:col>
      <xdr:colOff>657225</xdr:colOff>
      <xdr:row>4</xdr:row>
      <xdr:rowOff>3643067</xdr:rowOff>
    </xdr:from>
    <xdr:to>
      <xdr:col>1</xdr:col>
      <xdr:colOff>372581</xdr:colOff>
      <xdr:row>4</xdr:row>
      <xdr:rowOff>3918625</xdr:rowOff>
    </xdr:to>
    <xdr:sp macro="" textlink="'Variable Management'!B443">
      <xdr:nvSpPr>
        <xdr:cNvPr id="24" name="Text Box 262">
          <a:extLst>
            <a:ext uri="{FF2B5EF4-FFF2-40B4-BE49-F238E27FC236}">
              <a16:creationId xmlns:a16="http://schemas.microsoft.com/office/drawing/2014/main" id="{00000000-0008-0000-0400-000018000000}"/>
            </a:ext>
          </a:extLst>
        </xdr:cNvPr>
        <xdr:cNvSpPr txBox="1">
          <a:spLocks noChangeArrowheads="1" noTextEdit="1"/>
        </xdr:cNvSpPr>
      </xdr:nvSpPr>
      <xdr:spPr bwMode="auto">
        <a:xfrm>
          <a:off x="657225" y="4290767"/>
          <a:ext cx="420206" cy="275558"/>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815405</xdr:colOff>
      <xdr:row>4</xdr:row>
      <xdr:rowOff>3430362</xdr:rowOff>
    </xdr:from>
    <xdr:to>
      <xdr:col>1</xdr:col>
      <xdr:colOff>1274852</xdr:colOff>
      <xdr:row>4</xdr:row>
      <xdr:rowOff>3673901</xdr:rowOff>
    </xdr:to>
    <xdr:sp macro="" textlink="'Variable Management'!B441">
      <xdr:nvSpPr>
        <xdr:cNvPr id="25" name="Text Box 263">
          <a:extLst>
            <a:ext uri="{FF2B5EF4-FFF2-40B4-BE49-F238E27FC236}">
              <a16:creationId xmlns:a16="http://schemas.microsoft.com/office/drawing/2014/main" id="{00000000-0008-0000-0400-000019000000}"/>
            </a:ext>
          </a:extLst>
        </xdr:cNvPr>
        <xdr:cNvSpPr txBox="1">
          <a:spLocks noChangeArrowheads="1" noTextEdit="1"/>
        </xdr:cNvSpPr>
      </xdr:nvSpPr>
      <xdr:spPr bwMode="auto">
        <a:xfrm>
          <a:off x="1520255" y="4078062"/>
          <a:ext cx="459447" cy="243539"/>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1000" b="0" i="0" u="none" strike="noStrike" baseline="0">
              <a:solidFill>
                <a:srgbClr val="000000"/>
              </a:solidFill>
              <a:latin typeface="Arial" pitchFamily="34" charset="0"/>
              <a:cs typeface="Arial" pitchFamily="34" charset="0"/>
            </a:rPr>
            <a:pPr algn="l" rtl="0">
              <a:defRPr sz="1000"/>
            </a:pPr>
            <a:t>12.1kΩ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720709</xdr:colOff>
      <xdr:row>4</xdr:row>
      <xdr:rowOff>4291195</xdr:rowOff>
    </xdr:from>
    <xdr:to>
      <xdr:col>1</xdr:col>
      <xdr:colOff>1235548</xdr:colOff>
      <xdr:row>4</xdr:row>
      <xdr:rowOff>4465831</xdr:rowOff>
    </xdr:to>
    <xdr:sp macro="" textlink="'Variable Management'!B452">
      <xdr:nvSpPr>
        <xdr:cNvPr id="26" name="Text Box 264">
          <a:extLst>
            <a:ext uri="{FF2B5EF4-FFF2-40B4-BE49-F238E27FC236}">
              <a16:creationId xmlns:a16="http://schemas.microsoft.com/office/drawing/2014/main" id="{00000000-0008-0000-0400-00001A000000}"/>
            </a:ext>
          </a:extLst>
        </xdr:cNvPr>
        <xdr:cNvSpPr txBox="1">
          <a:spLocks noChangeArrowheads="1" noTextEdit="1"/>
        </xdr:cNvSpPr>
      </xdr:nvSpPr>
      <xdr:spPr bwMode="auto">
        <a:xfrm>
          <a:off x="1425559" y="4938895"/>
          <a:ext cx="514839" cy="174636"/>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7.15kΩ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35144</xdr:colOff>
      <xdr:row>4</xdr:row>
      <xdr:rowOff>2143786</xdr:rowOff>
    </xdr:from>
    <xdr:to>
      <xdr:col>1</xdr:col>
      <xdr:colOff>715810</xdr:colOff>
      <xdr:row>4</xdr:row>
      <xdr:rowOff>2403758</xdr:rowOff>
    </xdr:to>
    <xdr:sp macro="" textlink="'Variable Management'!B469">
      <xdr:nvSpPr>
        <xdr:cNvPr id="27" name="Text Box 265">
          <a:extLst>
            <a:ext uri="{FF2B5EF4-FFF2-40B4-BE49-F238E27FC236}">
              <a16:creationId xmlns:a16="http://schemas.microsoft.com/office/drawing/2014/main" id="{00000000-0008-0000-0400-00001B000000}"/>
            </a:ext>
          </a:extLst>
        </xdr:cNvPr>
        <xdr:cNvSpPr txBox="1">
          <a:spLocks noChangeArrowheads="1" noTextEdit="1"/>
        </xdr:cNvSpPr>
      </xdr:nvSpPr>
      <xdr:spPr bwMode="auto">
        <a:xfrm>
          <a:off x="739994" y="2791486"/>
          <a:ext cx="680666" cy="25997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648746</xdr:colOff>
      <xdr:row>4</xdr:row>
      <xdr:rowOff>1677960</xdr:rowOff>
    </xdr:from>
    <xdr:to>
      <xdr:col>1</xdr:col>
      <xdr:colOff>1135349</xdr:colOff>
      <xdr:row>4</xdr:row>
      <xdr:rowOff>1863090</xdr:rowOff>
    </xdr:to>
    <xdr:sp macro="" textlink="'Variable Management'!B450">
      <xdr:nvSpPr>
        <xdr:cNvPr id="28" name="Text Box 266">
          <a:extLst>
            <a:ext uri="{FF2B5EF4-FFF2-40B4-BE49-F238E27FC236}">
              <a16:creationId xmlns:a16="http://schemas.microsoft.com/office/drawing/2014/main" id="{00000000-0008-0000-0400-00001C000000}"/>
            </a:ext>
          </a:extLst>
        </xdr:cNvPr>
        <xdr:cNvSpPr txBox="1">
          <a:spLocks noChangeArrowheads="1" noTextEdit="1"/>
        </xdr:cNvSpPr>
      </xdr:nvSpPr>
      <xdr:spPr bwMode="auto">
        <a:xfrm>
          <a:off x="1353596" y="2325660"/>
          <a:ext cx="486603" cy="185130"/>
        </a:xfrm>
        <a:prstGeom prst="rect">
          <a:avLst/>
        </a:prstGeom>
        <a:noFill/>
        <a:ln w="9525">
          <a:noFill/>
          <a:miter lim="800000"/>
          <a:headEnd/>
          <a:tailEnd/>
        </a:ln>
      </xdr:spPr>
      <xdr:txBody>
        <a:bodyPr vertOverflow="clip" wrap="square" lIns="27432" tIns="22860" rIns="0" bIns="0" anchor="t" upright="1"/>
        <a:lstStyle/>
        <a:p>
          <a:pPr algn="r" rtl="0">
            <a:defRPr sz="1000"/>
          </a:pPr>
          <a:fld id="{F0D4FEFA-1BCB-42BA-B0A4-AAEA1128161F}" type="TxLink">
            <a:rPr lang="en-US" sz="1000" b="0" i="0" u="none" strike="noStrike" baseline="0">
              <a:solidFill>
                <a:srgbClr val="000000"/>
              </a:solidFill>
              <a:latin typeface="Arialri"/>
              <a:cs typeface="Arial" pitchFamily="34" charset="0"/>
            </a:rPr>
            <a:pPr algn="r" rtl="0">
              <a:defRPr sz="1000"/>
            </a:pPr>
            <a:t>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6802438</xdr:colOff>
      <xdr:row>4</xdr:row>
      <xdr:rowOff>2314832</xdr:rowOff>
    </xdr:from>
    <xdr:to>
      <xdr:col>1</xdr:col>
      <xdr:colOff>7303337</xdr:colOff>
      <xdr:row>4</xdr:row>
      <xdr:rowOff>2523970</xdr:rowOff>
    </xdr:to>
    <xdr:sp macro="" textlink="'Variable Management'!B433">
      <xdr:nvSpPr>
        <xdr:cNvPr id="29" name="Text Box 267">
          <a:extLst>
            <a:ext uri="{FF2B5EF4-FFF2-40B4-BE49-F238E27FC236}">
              <a16:creationId xmlns:a16="http://schemas.microsoft.com/office/drawing/2014/main" id="{00000000-0008-0000-0400-00001D000000}"/>
            </a:ext>
          </a:extLst>
        </xdr:cNvPr>
        <xdr:cNvSpPr txBox="1">
          <a:spLocks noChangeArrowheads="1" noTextEdit="1"/>
        </xdr:cNvSpPr>
      </xdr:nvSpPr>
      <xdr:spPr bwMode="auto">
        <a:xfrm>
          <a:off x="7507288" y="2962532"/>
          <a:ext cx="500899" cy="209138"/>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272µF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1750147</xdr:colOff>
      <xdr:row>4</xdr:row>
      <xdr:rowOff>4625275</xdr:rowOff>
    </xdr:from>
    <xdr:to>
      <xdr:col>1</xdr:col>
      <xdr:colOff>2273580</xdr:colOff>
      <xdr:row>4</xdr:row>
      <xdr:rowOff>4918364</xdr:rowOff>
    </xdr:to>
    <xdr:sp macro="" textlink="'Variable Management'!B451">
      <xdr:nvSpPr>
        <xdr:cNvPr id="30" name="Text Box 268">
          <a:extLst>
            <a:ext uri="{FF2B5EF4-FFF2-40B4-BE49-F238E27FC236}">
              <a16:creationId xmlns:a16="http://schemas.microsoft.com/office/drawing/2014/main" id="{00000000-0008-0000-0400-00001E000000}"/>
            </a:ext>
          </a:extLst>
        </xdr:cNvPr>
        <xdr:cNvSpPr txBox="1">
          <a:spLocks noChangeArrowheads="1" noTextEdit="1"/>
        </xdr:cNvSpPr>
      </xdr:nvSpPr>
      <xdr:spPr bwMode="auto">
        <a:xfrm>
          <a:off x="2454997" y="5272975"/>
          <a:ext cx="523433"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100kΩ</a:t>
          </a:fld>
          <a:endParaRPr lang="el-GR"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7863577</xdr:colOff>
      <xdr:row>4</xdr:row>
      <xdr:rowOff>1170730</xdr:rowOff>
    </xdr:from>
    <xdr:to>
      <xdr:col>1</xdr:col>
      <xdr:colOff>8405722</xdr:colOff>
      <xdr:row>4</xdr:row>
      <xdr:rowOff>1375908</xdr:rowOff>
    </xdr:to>
    <xdr:sp macro="" textlink="'Variable Management'!B464">
      <xdr:nvSpPr>
        <xdr:cNvPr id="31" name="Text Box 274">
          <a:extLst>
            <a:ext uri="{FF2B5EF4-FFF2-40B4-BE49-F238E27FC236}">
              <a16:creationId xmlns:a16="http://schemas.microsoft.com/office/drawing/2014/main" id="{00000000-0008-0000-0400-00001F000000}"/>
            </a:ext>
          </a:extLst>
        </xdr:cNvPr>
        <xdr:cNvSpPr txBox="1">
          <a:spLocks noChangeArrowheads="1" noTextEdit="1"/>
        </xdr:cNvSpPr>
      </xdr:nvSpPr>
      <xdr:spPr bwMode="auto">
        <a:xfrm>
          <a:off x="8568427" y="1818430"/>
          <a:ext cx="542145" cy="205178"/>
        </a:xfrm>
        <a:prstGeom prst="rect">
          <a:avLst/>
        </a:prstGeom>
        <a:noFill/>
        <a:ln w="9525">
          <a:noFill/>
          <a:miter lim="800000"/>
          <a:headEnd/>
          <a:tailEnd/>
        </a:ln>
      </xdr:spPr>
      <xdr:txBody>
        <a:bodyPr vertOverflow="clip" wrap="square" lIns="27432" tIns="22860" rIns="0" bIns="0" anchor="ctr" upright="1"/>
        <a:lstStyle/>
        <a:p>
          <a:pPr algn="ctr" rtl="0">
            <a:defRPr sz="1000"/>
          </a:pPr>
          <a:fld id="{14CFEDF3-9A5F-4A24-9D5F-304E5DC1B6C6}" type="TxLink">
            <a:rPr lang="en-US" sz="1000" b="0" i="0" u="none" strike="noStrike">
              <a:solidFill>
                <a:srgbClr val="000000"/>
              </a:solidFill>
              <a:latin typeface="Arialri"/>
              <a:cs typeface="Arial" pitchFamily="34" charset="0"/>
            </a:rPr>
            <a:pPr algn="ctr" rtl="0">
              <a:defRPr sz="1000"/>
            </a:pPr>
            <a:t>0mΩ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6539066</xdr:colOff>
      <xdr:row>4</xdr:row>
      <xdr:rowOff>1499397</xdr:rowOff>
    </xdr:from>
    <xdr:to>
      <xdr:col>1</xdr:col>
      <xdr:colOff>6987309</xdr:colOff>
      <xdr:row>4</xdr:row>
      <xdr:rowOff>1708490</xdr:rowOff>
    </xdr:to>
    <xdr:sp macro="" textlink="'Variable Management'!B426">
      <xdr:nvSpPr>
        <xdr:cNvPr id="32" name="Text Box 275">
          <a:extLst>
            <a:ext uri="{FF2B5EF4-FFF2-40B4-BE49-F238E27FC236}">
              <a16:creationId xmlns:a16="http://schemas.microsoft.com/office/drawing/2014/main" id="{00000000-0008-0000-0400-000020000000}"/>
            </a:ext>
          </a:extLst>
        </xdr:cNvPr>
        <xdr:cNvSpPr txBox="1">
          <a:spLocks noChangeArrowheads="1" noTextEdit="1"/>
        </xdr:cNvSpPr>
      </xdr:nvSpPr>
      <xdr:spPr bwMode="auto">
        <a:xfrm>
          <a:off x="7243916" y="2147097"/>
          <a:ext cx="448243"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4.7µH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6311714</xdr:colOff>
      <xdr:row>4</xdr:row>
      <xdr:rowOff>2301177</xdr:rowOff>
    </xdr:from>
    <xdr:to>
      <xdr:col>1</xdr:col>
      <xdr:colOff>6784061</xdr:colOff>
      <xdr:row>4</xdr:row>
      <xdr:rowOff>2524893</xdr:rowOff>
    </xdr:to>
    <xdr:sp macro="" textlink="'Variable Management'!B437">
      <xdr:nvSpPr>
        <xdr:cNvPr id="33" name="Text Box 276">
          <a:extLst>
            <a:ext uri="{FF2B5EF4-FFF2-40B4-BE49-F238E27FC236}">
              <a16:creationId xmlns:a16="http://schemas.microsoft.com/office/drawing/2014/main" id="{00000000-0008-0000-0400-000021000000}"/>
            </a:ext>
          </a:extLst>
        </xdr:cNvPr>
        <xdr:cNvSpPr txBox="1">
          <a:spLocks noChangeArrowheads="1" noTextEdit="1"/>
        </xdr:cNvSpPr>
      </xdr:nvSpPr>
      <xdr:spPr bwMode="auto">
        <a:xfrm>
          <a:off x="7016564" y="2948877"/>
          <a:ext cx="472347"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3505332</xdr:colOff>
      <xdr:row>4</xdr:row>
      <xdr:rowOff>145674</xdr:rowOff>
    </xdr:from>
    <xdr:to>
      <xdr:col>1</xdr:col>
      <xdr:colOff>3874809</xdr:colOff>
      <xdr:row>4</xdr:row>
      <xdr:rowOff>381789</xdr:rowOff>
    </xdr:to>
    <xdr:sp macro="" textlink="">
      <xdr:nvSpPr>
        <xdr:cNvPr id="34" name="Text Box 279">
          <a:extLst>
            <a:ext uri="{FF2B5EF4-FFF2-40B4-BE49-F238E27FC236}">
              <a16:creationId xmlns:a16="http://schemas.microsoft.com/office/drawing/2014/main" id="{00000000-0008-0000-0400-000022000000}"/>
            </a:ext>
          </a:extLst>
        </xdr:cNvPr>
        <xdr:cNvSpPr txBox="1">
          <a:spLocks noChangeArrowheads="1"/>
        </xdr:cNvSpPr>
      </xdr:nvSpPr>
      <xdr:spPr bwMode="auto">
        <a:xfrm>
          <a:off x="4210182" y="793374"/>
          <a:ext cx="36947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1006694</xdr:colOff>
      <xdr:row>4</xdr:row>
      <xdr:rowOff>2949980</xdr:rowOff>
    </xdr:from>
    <xdr:to>
      <xdr:col>1</xdr:col>
      <xdr:colOff>1444337</xdr:colOff>
      <xdr:row>4</xdr:row>
      <xdr:rowOff>3184830</xdr:rowOff>
    </xdr:to>
    <xdr:sp macro="" textlink="'Variable Management'!B470">
      <xdr:nvSpPr>
        <xdr:cNvPr id="35" name="Text Box 281">
          <a:extLst>
            <a:ext uri="{FF2B5EF4-FFF2-40B4-BE49-F238E27FC236}">
              <a16:creationId xmlns:a16="http://schemas.microsoft.com/office/drawing/2014/main" id="{00000000-0008-0000-0400-000023000000}"/>
            </a:ext>
          </a:extLst>
        </xdr:cNvPr>
        <xdr:cNvSpPr txBox="1">
          <a:spLocks noChangeArrowheads="1" noTextEdit="1"/>
        </xdr:cNvSpPr>
      </xdr:nvSpPr>
      <xdr:spPr bwMode="auto">
        <a:xfrm>
          <a:off x="1711544" y="3597680"/>
          <a:ext cx="437643" cy="234850"/>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8287206</xdr:colOff>
      <xdr:row>4</xdr:row>
      <xdr:rowOff>976516</xdr:rowOff>
    </xdr:from>
    <xdr:to>
      <xdr:col>1</xdr:col>
      <xdr:colOff>8765869</xdr:colOff>
      <xdr:row>4</xdr:row>
      <xdr:rowOff>1221128</xdr:rowOff>
    </xdr:to>
    <xdr:sp macro="" textlink="'Variable Management'!B431">
      <xdr:nvSpPr>
        <xdr:cNvPr id="36" name="Text Box 285">
          <a:extLst>
            <a:ext uri="{FF2B5EF4-FFF2-40B4-BE49-F238E27FC236}">
              <a16:creationId xmlns:a16="http://schemas.microsoft.com/office/drawing/2014/main" id="{00000000-0008-0000-0400-000024000000}"/>
            </a:ext>
          </a:extLst>
        </xdr:cNvPr>
        <xdr:cNvSpPr txBox="1">
          <a:spLocks noChangeArrowheads="1" noTextEdit="1"/>
        </xdr:cNvSpPr>
      </xdr:nvSpPr>
      <xdr:spPr bwMode="auto">
        <a:xfrm>
          <a:off x="8992056" y="1624216"/>
          <a:ext cx="478663"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200" b="1" i="0" u="none" strike="noStrike" baseline="0">
              <a:solidFill>
                <a:srgbClr val="FF0000"/>
              </a:solidFill>
              <a:latin typeface="Arial" pitchFamily="34" charset="0"/>
              <a:cs typeface="Arial" pitchFamily="34" charset="0"/>
            </a:rPr>
            <a:pPr algn="r" rtl="0">
              <a:defRPr sz="1000"/>
            </a:pPr>
            <a:t>12V</a:t>
          </a:fld>
          <a:endParaRPr lang="en-US" sz="1200" b="1" i="0" u="none" strike="noStrike" baseline="0">
            <a:solidFill>
              <a:srgbClr val="FF0000"/>
            </a:solidFill>
            <a:latin typeface="Arial" pitchFamily="34" charset="0"/>
            <a:cs typeface="Arial" pitchFamily="34" charset="0"/>
          </a:endParaRPr>
        </a:p>
      </xdr:txBody>
    </xdr:sp>
    <xdr:clientData/>
  </xdr:twoCellAnchor>
  <xdr:twoCellAnchor editAs="absolute">
    <xdr:from>
      <xdr:col>1</xdr:col>
      <xdr:colOff>8272196</xdr:colOff>
      <xdr:row>4</xdr:row>
      <xdr:rowOff>1205517</xdr:rowOff>
    </xdr:from>
    <xdr:to>
      <xdr:col>1</xdr:col>
      <xdr:colOff>8725233</xdr:colOff>
      <xdr:row>4</xdr:row>
      <xdr:rowOff>1448071</xdr:rowOff>
    </xdr:to>
    <xdr:sp macro="" textlink="'Variable Management'!B473">
      <xdr:nvSpPr>
        <xdr:cNvPr id="37" name="Text Box 286">
          <a:extLst>
            <a:ext uri="{FF2B5EF4-FFF2-40B4-BE49-F238E27FC236}">
              <a16:creationId xmlns:a16="http://schemas.microsoft.com/office/drawing/2014/main" id="{00000000-0008-0000-0400-000025000000}"/>
            </a:ext>
          </a:extLst>
        </xdr:cNvPr>
        <xdr:cNvSpPr txBox="1">
          <a:spLocks noChangeArrowheads="1" noTextEdit="1"/>
        </xdr:cNvSpPr>
      </xdr:nvSpPr>
      <xdr:spPr bwMode="auto">
        <a:xfrm>
          <a:off x="8977046" y="1853217"/>
          <a:ext cx="453037"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200" b="1" i="0" u="none" strike="noStrike">
              <a:solidFill>
                <a:srgbClr val="FF0000"/>
              </a:solidFill>
              <a:latin typeface="Arial" pitchFamily="34" charset="0"/>
              <a:cs typeface="Arial" pitchFamily="34" charset="0"/>
            </a:rPr>
            <a:pPr algn="r"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editAs="absolute">
    <xdr:from>
      <xdr:col>1</xdr:col>
      <xdr:colOff>339944</xdr:colOff>
      <xdr:row>4</xdr:row>
      <xdr:rowOff>1969229</xdr:rowOff>
    </xdr:from>
    <xdr:to>
      <xdr:col>1</xdr:col>
      <xdr:colOff>604552</xdr:colOff>
      <xdr:row>4</xdr:row>
      <xdr:rowOff>2161044</xdr:rowOff>
    </xdr:to>
    <xdr:sp macro="" textlink="">
      <xdr:nvSpPr>
        <xdr:cNvPr id="38" name="Text Box 251">
          <a:extLst>
            <a:ext uri="{FF2B5EF4-FFF2-40B4-BE49-F238E27FC236}">
              <a16:creationId xmlns:a16="http://schemas.microsoft.com/office/drawing/2014/main" id="{00000000-0008-0000-0400-000026000000}"/>
            </a:ext>
          </a:extLst>
        </xdr:cNvPr>
        <xdr:cNvSpPr txBox="1">
          <a:spLocks noChangeArrowheads="1"/>
        </xdr:cNvSpPr>
      </xdr:nvSpPr>
      <xdr:spPr bwMode="auto">
        <a:xfrm>
          <a:off x="1044794" y="2616929"/>
          <a:ext cx="264608"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xdr:col>
      <xdr:colOff>2952085</xdr:colOff>
      <xdr:row>4</xdr:row>
      <xdr:rowOff>141585</xdr:rowOff>
    </xdr:from>
    <xdr:to>
      <xdr:col>1</xdr:col>
      <xdr:colOff>3413563</xdr:colOff>
      <xdr:row>4</xdr:row>
      <xdr:rowOff>365593</xdr:rowOff>
    </xdr:to>
    <xdr:sp macro="" textlink="">
      <xdr:nvSpPr>
        <xdr:cNvPr id="39" name="Text Box 247">
          <a:extLst>
            <a:ext uri="{FF2B5EF4-FFF2-40B4-BE49-F238E27FC236}">
              <a16:creationId xmlns:a16="http://schemas.microsoft.com/office/drawing/2014/main" id="{00000000-0008-0000-0400-000027000000}"/>
            </a:ext>
          </a:extLst>
        </xdr:cNvPr>
        <xdr:cNvSpPr txBox="1">
          <a:spLocks noChangeArrowheads="1"/>
        </xdr:cNvSpPr>
      </xdr:nvSpPr>
      <xdr:spPr bwMode="auto">
        <a:xfrm>
          <a:off x="3656935" y="789285"/>
          <a:ext cx="461478" cy="22400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xdr:col>
      <xdr:colOff>5943177</xdr:colOff>
      <xdr:row>4</xdr:row>
      <xdr:rowOff>2257233</xdr:rowOff>
    </xdr:from>
    <xdr:to>
      <xdr:col>1</xdr:col>
      <xdr:colOff>6265561</xdr:colOff>
      <xdr:row>4</xdr:row>
      <xdr:rowOff>2502483</xdr:rowOff>
    </xdr:to>
    <xdr:sp macro="" textlink="">
      <xdr:nvSpPr>
        <xdr:cNvPr id="40" name="Text Box 244">
          <a:extLst>
            <a:ext uri="{FF2B5EF4-FFF2-40B4-BE49-F238E27FC236}">
              <a16:creationId xmlns:a16="http://schemas.microsoft.com/office/drawing/2014/main" id="{00000000-0008-0000-0400-000028000000}"/>
            </a:ext>
          </a:extLst>
        </xdr:cNvPr>
        <xdr:cNvSpPr txBox="1">
          <a:spLocks noChangeArrowheads="1"/>
        </xdr:cNvSpPr>
      </xdr:nvSpPr>
      <xdr:spPr bwMode="auto">
        <a:xfrm>
          <a:off x="6648027" y="2904933"/>
          <a:ext cx="322384" cy="24525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xdr:col>
      <xdr:colOff>5944154</xdr:colOff>
      <xdr:row>4</xdr:row>
      <xdr:rowOff>1381249</xdr:rowOff>
    </xdr:from>
    <xdr:to>
      <xdr:col>1</xdr:col>
      <xdr:colOff>6266538</xdr:colOff>
      <xdr:row>4</xdr:row>
      <xdr:rowOff>1647440</xdr:rowOff>
    </xdr:to>
    <xdr:sp macro="" textlink="">
      <xdr:nvSpPr>
        <xdr:cNvPr id="41" name="Text Box 244">
          <a:extLst>
            <a:ext uri="{FF2B5EF4-FFF2-40B4-BE49-F238E27FC236}">
              <a16:creationId xmlns:a16="http://schemas.microsoft.com/office/drawing/2014/main" id="{00000000-0008-0000-0400-000029000000}"/>
            </a:ext>
          </a:extLst>
        </xdr:cNvPr>
        <xdr:cNvSpPr txBox="1">
          <a:spLocks noChangeArrowheads="1"/>
        </xdr:cNvSpPr>
      </xdr:nvSpPr>
      <xdr:spPr bwMode="auto">
        <a:xfrm>
          <a:off x="6649004" y="2028949"/>
          <a:ext cx="322384" cy="2661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6867893</xdr:colOff>
      <xdr:row>4</xdr:row>
      <xdr:rowOff>3140812</xdr:rowOff>
    </xdr:from>
    <xdr:to>
      <xdr:col>1</xdr:col>
      <xdr:colOff>7347524</xdr:colOff>
      <xdr:row>4</xdr:row>
      <xdr:rowOff>3411874</xdr:rowOff>
    </xdr:to>
    <xdr:sp macro="" textlink="'Variable Management'!B428">
      <xdr:nvSpPr>
        <xdr:cNvPr id="42" name="Text Box 275">
          <a:extLst>
            <a:ext uri="{FF2B5EF4-FFF2-40B4-BE49-F238E27FC236}">
              <a16:creationId xmlns:a16="http://schemas.microsoft.com/office/drawing/2014/main" id="{00000000-0008-0000-0400-00002A000000}"/>
            </a:ext>
          </a:extLst>
        </xdr:cNvPr>
        <xdr:cNvSpPr txBox="1">
          <a:spLocks noChangeArrowheads="1" noTextEdit="1"/>
        </xdr:cNvSpPr>
      </xdr:nvSpPr>
      <xdr:spPr bwMode="auto">
        <a:xfrm>
          <a:off x="7572743" y="3788512"/>
          <a:ext cx="479631" cy="271062"/>
        </a:xfrm>
        <a:prstGeom prst="rect">
          <a:avLst/>
        </a:prstGeom>
        <a:noFill/>
        <a:ln w="9525">
          <a:noFill/>
          <a:miter lim="800000"/>
          <a:headEnd/>
          <a:tailEnd/>
        </a:ln>
      </xdr:spPr>
      <xdr:txBody>
        <a:bodyPr vertOverflow="clip" wrap="square" lIns="27432" tIns="22860" rIns="0" bIns="0" anchor="ctr" upright="1"/>
        <a:lstStyle/>
        <a:p>
          <a:pPr algn="l" rtl="0">
            <a:defRPr sz="1000"/>
          </a:pPr>
          <a:fld id="{952677B8-8C18-463F-B0C9-D2099A1EBA1B}" type="TxLink">
            <a:rPr lang="en-US" sz="1000" b="0" i="0" u="none" strike="noStrike" baseline="0">
              <a:solidFill>
                <a:srgbClr val="000000"/>
              </a:solidFill>
              <a:latin typeface="Arialri"/>
              <a:cs typeface="Arial" pitchFamily="34" charset="0"/>
            </a:rPr>
            <a:pPr algn="l" rtl="0">
              <a:defRPr sz="1000"/>
            </a:pPr>
            <a:t>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254219</xdr:colOff>
      <xdr:row>4</xdr:row>
      <xdr:rowOff>2371224</xdr:rowOff>
    </xdr:from>
    <xdr:to>
      <xdr:col>1</xdr:col>
      <xdr:colOff>687280</xdr:colOff>
      <xdr:row>4</xdr:row>
      <xdr:rowOff>2607535</xdr:rowOff>
    </xdr:to>
    <xdr:sp macro="" textlink="">
      <xdr:nvSpPr>
        <xdr:cNvPr id="43" name="Text Box 251">
          <a:extLst>
            <a:ext uri="{FF2B5EF4-FFF2-40B4-BE49-F238E27FC236}">
              <a16:creationId xmlns:a16="http://schemas.microsoft.com/office/drawing/2014/main" id="{00000000-0008-0000-0400-00002B000000}"/>
            </a:ext>
          </a:extLst>
        </xdr:cNvPr>
        <xdr:cNvSpPr txBox="1">
          <a:spLocks noChangeArrowheads="1"/>
        </xdr:cNvSpPr>
      </xdr:nvSpPr>
      <xdr:spPr bwMode="auto">
        <a:xfrm>
          <a:off x="959069" y="3018924"/>
          <a:ext cx="433061" cy="236311"/>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SLOPE</a:t>
          </a:r>
        </a:p>
      </xdr:txBody>
    </xdr:sp>
    <xdr:clientData/>
  </xdr:twoCellAnchor>
  <xdr:twoCellAnchor editAs="absolute">
    <xdr:from>
      <xdr:col>1</xdr:col>
      <xdr:colOff>5510442</xdr:colOff>
      <xdr:row>4</xdr:row>
      <xdr:rowOff>3213286</xdr:rowOff>
    </xdr:from>
    <xdr:to>
      <xdr:col>1</xdr:col>
      <xdr:colOff>5917925</xdr:colOff>
      <xdr:row>4</xdr:row>
      <xdr:rowOff>3457653</xdr:rowOff>
    </xdr:to>
    <xdr:sp macro="" textlink="">
      <xdr:nvSpPr>
        <xdr:cNvPr id="44" name="Text Box 248">
          <a:extLst>
            <a:ext uri="{FF2B5EF4-FFF2-40B4-BE49-F238E27FC236}">
              <a16:creationId xmlns:a16="http://schemas.microsoft.com/office/drawing/2014/main" id="{00000000-0008-0000-0400-00002C000000}"/>
            </a:ext>
          </a:extLst>
        </xdr:cNvPr>
        <xdr:cNvSpPr txBox="1">
          <a:spLocks noChangeArrowheads="1"/>
        </xdr:cNvSpPr>
      </xdr:nvSpPr>
      <xdr:spPr bwMode="auto">
        <a:xfrm>
          <a:off x="6215292" y="3860986"/>
          <a:ext cx="407483" cy="24436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4880097</xdr:colOff>
      <xdr:row>4</xdr:row>
      <xdr:rowOff>3616355</xdr:rowOff>
    </xdr:from>
    <xdr:to>
      <xdr:col>1</xdr:col>
      <xdr:colOff>5341575</xdr:colOff>
      <xdr:row>4</xdr:row>
      <xdr:rowOff>3867177</xdr:rowOff>
    </xdr:to>
    <xdr:sp macro="" textlink="">
      <xdr:nvSpPr>
        <xdr:cNvPr id="45" name="Text Box 247">
          <a:extLst>
            <a:ext uri="{FF2B5EF4-FFF2-40B4-BE49-F238E27FC236}">
              <a16:creationId xmlns:a16="http://schemas.microsoft.com/office/drawing/2014/main" id="{00000000-0008-0000-0400-00002D000000}"/>
            </a:ext>
          </a:extLst>
        </xdr:cNvPr>
        <xdr:cNvSpPr txBox="1">
          <a:spLocks noChangeArrowheads="1"/>
        </xdr:cNvSpPr>
      </xdr:nvSpPr>
      <xdr:spPr bwMode="auto">
        <a:xfrm>
          <a:off x="5584947" y="4264055"/>
          <a:ext cx="461478" cy="2508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4940561</xdr:colOff>
      <xdr:row>4</xdr:row>
      <xdr:rowOff>3828330</xdr:rowOff>
    </xdr:from>
    <xdr:to>
      <xdr:col>1</xdr:col>
      <xdr:colOff>5310038</xdr:colOff>
      <xdr:row>4</xdr:row>
      <xdr:rowOff>4055655</xdr:rowOff>
    </xdr:to>
    <xdr:sp macro="" textlink="">
      <xdr:nvSpPr>
        <xdr:cNvPr id="46" name="Text Box 279">
          <a:extLst>
            <a:ext uri="{FF2B5EF4-FFF2-40B4-BE49-F238E27FC236}">
              <a16:creationId xmlns:a16="http://schemas.microsoft.com/office/drawing/2014/main" id="{00000000-0008-0000-0400-00002E000000}"/>
            </a:ext>
          </a:extLst>
        </xdr:cNvPr>
        <xdr:cNvSpPr txBox="1">
          <a:spLocks noChangeArrowheads="1"/>
        </xdr:cNvSpPr>
      </xdr:nvSpPr>
      <xdr:spPr bwMode="auto">
        <a:xfrm>
          <a:off x="5645411" y="4476030"/>
          <a:ext cx="369477" cy="22732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5094928</xdr:colOff>
      <xdr:row>4</xdr:row>
      <xdr:rowOff>2377424</xdr:rowOff>
    </xdr:from>
    <xdr:to>
      <xdr:col>1</xdr:col>
      <xdr:colOff>5365431</xdr:colOff>
      <xdr:row>4</xdr:row>
      <xdr:rowOff>2614453</xdr:rowOff>
    </xdr:to>
    <xdr:sp macro="" textlink="">
      <xdr:nvSpPr>
        <xdr:cNvPr id="47" name="Text Box 279">
          <a:extLst>
            <a:ext uri="{FF2B5EF4-FFF2-40B4-BE49-F238E27FC236}">
              <a16:creationId xmlns:a16="http://schemas.microsoft.com/office/drawing/2014/main" id="{00000000-0008-0000-0400-00002F000000}"/>
            </a:ext>
          </a:extLst>
        </xdr:cNvPr>
        <xdr:cNvSpPr txBox="1">
          <a:spLocks noChangeArrowheads="1"/>
        </xdr:cNvSpPr>
      </xdr:nvSpPr>
      <xdr:spPr bwMode="auto">
        <a:xfrm>
          <a:off x="5799778" y="3025124"/>
          <a:ext cx="27050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2444899</xdr:colOff>
      <xdr:row>4</xdr:row>
      <xdr:rowOff>38100</xdr:rowOff>
    </xdr:from>
    <xdr:to>
      <xdr:col>1</xdr:col>
      <xdr:colOff>2821188</xdr:colOff>
      <xdr:row>4</xdr:row>
      <xdr:rowOff>273769</xdr:rowOff>
    </xdr:to>
    <xdr:sp macro="" textlink="">
      <xdr:nvSpPr>
        <xdr:cNvPr id="48" name="Text Box 279">
          <a:extLst>
            <a:ext uri="{FF2B5EF4-FFF2-40B4-BE49-F238E27FC236}">
              <a16:creationId xmlns:a16="http://schemas.microsoft.com/office/drawing/2014/main" id="{00000000-0008-0000-0400-000030000000}"/>
            </a:ext>
          </a:extLst>
        </xdr:cNvPr>
        <xdr:cNvSpPr txBox="1">
          <a:spLocks noChangeArrowheads="1"/>
        </xdr:cNvSpPr>
      </xdr:nvSpPr>
      <xdr:spPr bwMode="auto">
        <a:xfrm>
          <a:off x="3149749" y="685800"/>
          <a:ext cx="376289" cy="23566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2144579</xdr:colOff>
      <xdr:row>4</xdr:row>
      <xdr:rowOff>478502</xdr:rowOff>
    </xdr:from>
    <xdr:to>
      <xdr:col>1</xdr:col>
      <xdr:colOff>2471641</xdr:colOff>
      <xdr:row>4</xdr:row>
      <xdr:rowOff>705632</xdr:rowOff>
    </xdr:to>
    <xdr:sp macro="" textlink="">
      <xdr:nvSpPr>
        <xdr:cNvPr id="49" name="Text Box 245">
          <a:extLst>
            <a:ext uri="{FF2B5EF4-FFF2-40B4-BE49-F238E27FC236}">
              <a16:creationId xmlns:a16="http://schemas.microsoft.com/office/drawing/2014/main" id="{00000000-0008-0000-0400-000031000000}"/>
            </a:ext>
          </a:extLst>
        </xdr:cNvPr>
        <xdr:cNvSpPr txBox="1">
          <a:spLocks noChangeArrowheads="1"/>
        </xdr:cNvSpPr>
      </xdr:nvSpPr>
      <xdr:spPr bwMode="auto">
        <a:xfrm>
          <a:off x="2849429" y="1126202"/>
          <a:ext cx="327062" cy="22713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2451906</xdr:colOff>
      <xdr:row>4</xdr:row>
      <xdr:rowOff>498798</xdr:rowOff>
    </xdr:from>
    <xdr:to>
      <xdr:col>1</xdr:col>
      <xdr:colOff>2822138</xdr:colOff>
      <xdr:row>4</xdr:row>
      <xdr:rowOff>722941</xdr:rowOff>
    </xdr:to>
    <xdr:sp macro="" textlink="">
      <xdr:nvSpPr>
        <xdr:cNvPr id="50" name="Text Box 277">
          <a:extLst>
            <a:ext uri="{FF2B5EF4-FFF2-40B4-BE49-F238E27FC236}">
              <a16:creationId xmlns:a16="http://schemas.microsoft.com/office/drawing/2014/main" id="{00000000-0008-0000-0400-000032000000}"/>
            </a:ext>
          </a:extLst>
        </xdr:cNvPr>
        <xdr:cNvSpPr txBox="1">
          <a:spLocks noChangeArrowheads="1"/>
        </xdr:cNvSpPr>
      </xdr:nvSpPr>
      <xdr:spPr bwMode="auto">
        <a:xfrm>
          <a:off x="3156756" y="1146498"/>
          <a:ext cx="370232" cy="224143"/>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strike="noStrike">
              <a:solidFill>
                <a:srgbClr val="000000"/>
              </a:solidFill>
              <a:latin typeface="Arial" pitchFamily="34" charset="0"/>
              <a:cs typeface="Arial" pitchFamily="34" charset="0"/>
            </a:rPr>
            <a:t>2Ω</a:t>
          </a:r>
        </a:p>
      </xdr:txBody>
    </xdr:sp>
    <xdr:clientData/>
  </xdr:twoCellAnchor>
  <xdr:twoCellAnchor editAs="absolute">
    <xdr:from>
      <xdr:col>1</xdr:col>
      <xdr:colOff>4627899</xdr:colOff>
      <xdr:row>4</xdr:row>
      <xdr:rowOff>4758188</xdr:rowOff>
    </xdr:from>
    <xdr:to>
      <xdr:col>1</xdr:col>
      <xdr:colOff>4940204</xdr:colOff>
      <xdr:row>4</xdr:row>
      <xdr:rowOff>4983266</xdr:rowOff>
    </xdr:to>
    <xdr:sp macro="" textlink="">
      <xdr:nvSpPr>
        <xdr:cNvPr id="51" name="Text Box 250">
          <a:extLst>
            <a:ext uri="{FF2B5EF4-FFF2-40B4-BE49-F238E27FC236}">
              <a16:creationId xmlns:a16="http://schemas.microsoft.com/office/drawing/2014/main" id="{00000000-0008-0000-0400-000033000000}"/>
            </a:ext>
          </a:extLst>
        </xdr:cNvPr>
        <xdr:cNvSpPr txBox="1">
          <a:spLocks noChangeArrowheads="1"/>
        </xdr:cNvSpPr>
      </xdr:nvSpPr>
      <xdr:spPr bwMode="auto">
        <a:xfrm>
          <a:off x="5332749" y="5405888"/>
          <a:ext cx="312305" cy="22507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CS2</a:t>
          </a:r>
        </a:p>
        <a:p>
          <a:pPr algn="l" rtl="0">
            <a:defRPr sz="1000"/>
          </a:pPr>
          <a:r>
            <a:rPr lang="en-US" sz="1000" b="0" i="0" strike="noStrike" baseline="-25000">
              <a:solidFill>
                <a:srgbClr val="000000"/>
              </a:solidFill>
              <a:latin typeface="Arial" pitchFamily="34" charset="0"/>
              <a:cs typeface="Arial" pitchFamily="34" charset="0"/>
            </a:rPr>
            <a:t>ood</a:t>
          </a:r>
        </a:p>
      </xdr:txBody>
    </xdr:sp>
    <xdr:clientData/>
  </xdr:twoCellAnchor>
  <xdr:twoCellAnchor editAs="absolute">
    <xdr:from>
      <xdr:col>1</xdr:col>
      <xdr:colOff>2028048</xdr:colOff>
      <xdr:row>4</xdr:row>
      <xdr:rowOff>51537</xdr:rowOff>
    </xdr:from>
    <xdr:to>
      <xdr:col>1</xdr:col>
      <xdr:colOff>2352330</xdr:colOff>
      <xdr:row>4</xdr:row>
      <xdr:rowOff>270228</xdr:rowOff>
    </xdr:to>
    <xdr:sp macro="" textlink="">
      <xdr:nvSpPr>
        <xdr:cNvPr id="52" name="Text Box 245">
          <a:extLst>
            <a:ext uri="{FF2B5EF4-FFF2-40B4-BE49-F238E27FC236}">
              <a16:creationId xmlns:a16="http://schemas.microsoft.com/office/drawing/2014/main" id="{00000000-0008-0000-0400-000034000000}"/>
            </a:ext>
          </a:extLst>
        </xdr:cNvPr>
        <xdr:cNvSpPr txBox="1">
          <a:spLocks noChangeArrowheads="1"/>
        </xdr:cNvSpPr>
      </xdr:nvSpPr>
      <xdr:spPr bwMode="auto">
        <a:xfrm>
          <a:off x="2732898" y="699237"/>
          <a:ext cx="324282" cy="2186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7319710</xdr:colOff>
      <xdr:row>4</xdr:row>
      <xdr:rowOff>2253494</xdr:rowOff>
    </xdr:from>
    <xdr:to>
      <xdr:col>1</xdr:col>
      <xdr:colOff>7598272</xdr:colOff>
      <xdr:row>4</xdr:row>
      <xdr:rowOff>2543864</xdr:rowOff>
    </xdr:to>
    <xdr:sp macro="" textlink="">
      <xdr:nvSpPr>
        <xdr:cNvPr id="53" name="Text Box 244">
          <a:extLst>
            <a:ext uri="{FF2B5EF4-FFF2-40B4-BE49-F238E27FC236}">
              <a16:creationId xmlns:a16="http://schemas.microsoft.com/office/drawing/2014/main" id="{00000000-0008-0000-0400-000035000000}"/>
            </a:ext>
          </a:extLst>
        </xdr:cNvPr>
        <xdr:cNvSpPr txBox="1">
          <a:spLocks noChangeArrowheads="1"/>
        </xdr:cNvSpPr>
      </xdr:nvSpPr>
      <xdr:spPr bwMode="auto">
        <a:xfrm>
          <a:off x="8024560" y="2901194"/>
          <a:ext cx="278562" cy="29037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xdr:col>
      <xdr:colOff>7311161</xdr:colOff>
      <xdr:row>4</xdr:row>
      <xdr:rowOff>1379784</xdr:rowOff>
    </xdr:from>
    <xdr:to>
      <xdr:col>1</xdr:col>
      <xdr:colOff>7590944</xdr:colOff>
      <xdr:row>4</xdr:row>
      <xdr:rowOff>1643701</xdr:rowOff>
    </xdr:to>
    <xdr:sp macro="" textlink="">
      <xdr:nvSpPr>
        <xdr:cNvPr id="54" name="Text Box 244">
          <a:extLst>
            <a:ext uri="{FF2B5EF4-FFF2-40B4-BE49-F238E27FC236}">
              <a16:creationId xmlns:a16="http://schemas.microsoft.com/office/drawing/2014/main" id="{00000000-0008-0000-0400-000036000000}"/>
            </a:ext>
          </a:extLst>
        </xdr:cNvPr>
        <xdr:cNvSpPr txBox="1">
          <a:spLocks noChangeArrowheads="1"/>
        </xdr:cNvSpPr>
      </xdr:nvSpPr>
      <xdr:spPr bwMode="auto">
        <a:xfrm>
          <a:off x="8016011" y="2027484"/>
          <a:ext cx="279783" cy="263917"/>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xdr:col>
      <xdr:colOff>663203</xdr:colOff>
      <xdr:row>4</xdr:row>
      <xdr:rowOff>3821721</xdr:rowOff>
    </xdr:from>
    <xdr:to>
      <xdr:col>1</xdr:col>
      <xdr:colOff>1167405</xdr:colOff>
      <xdr:row>4</xdr:row>
      <xdr:rowOff>4065124</xdr:rowOff>
    </xdr:to>
    <xdr:sp macro="" textlink="'Variable Management'!B442">
      <xdr:nvSpPr>
        <xdr:cNvPr id="55" name="Text Box 261">
          <a:extLst>
            <a:ext uri="{FF2B5EF4-FFF2-40B4-BE49-F238E27FC236}">
              <a16:creationId xmlns:a16="http://schemas.microsoft.com/office/drawing/2014/main" id="{00000000-0008-0000-0400-000037000000}"/>
            </a:ext>
          </a:extLst>
        </xdr:cNvPr>
        <xdr:cNvSpPr txBox="1">
          <a:spLocks noChangeArrowheads="1" noTextEdit="1"/>
        </xdr:cNvSpPr>
      </xdr:nvSpPr>
      <xdr:spPr bwMode="auto">
        <a:xfrm>
          <a:off x="1368053" y="4469421"/>
          <a:ext cx="504202" cy="243403"/>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1000" b="0" i="0" u="none" strike="noStrike" baseline="0">
              <a:solidFill>
                <a:srgbClr val="000000"/>
              </a:solidFill>
              <a:latin typeface="Arialri"/>
              <a:cs typeface="Arial" pitchFamily="34" charset="0"/>
            </a:rPr>
            <a:pPr algn="r" rtl="0">
              <a:defRPr sz="1000"/>
            </a:pPr>
            <a:t>2.7nF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4854635</xdr:colOff>
      <xdr:row>4</xdr:row>
      <xdr:rowOff>4479932</xdr:rowOff>
    </xdr:from>
    <xdr:to>
      <xdr:col>1</xdr:col>
      <xdr:colOff>5248259</xdr:colOff>
      <xdr:row>4</xdr:row>
      <xdr:rowOff>4712952</xdr:rowOff>
    </xdr:to>
    <xdr:sp macro="" textlink="'Variable Management'!B467">
      <xdr:nvSpPr>
        <xdr:cNvPr id="56" name="Text Box 270">
          <a:extLst>
            <a:ext uri="{FF2B5EF4-FFF2-40B4-BE49-F238E27FC236}">
              <a16:creationId xmlns:a16="http://schemas.microsoft.com/office/drawing/2014/main" id="{00000000-0008-0000-0400-000038000000}"/>
            </a:ext>
          </a:extLst>
        </xdr:cNvPr>
        <xdr:cNvSpPr txBox="1">
          <a:spLocks noChangeArrowheads="1" noTextEdit="1"/>
        </xdr:cNvSpPr>
      </xdr:nvSpPr>
      <xdr:spPr bwMode="auto">
        <a:xfrm>
          <a:off x="5559485" y="5127632"/>
          <a:ext cx="393624" cy="233020"/>
        </a:xfrm>
        <a:prstGeom prst="rect">
          <a:avLst/>
        </a:prstGeom>
        <a:noFill/>
        <a:ln w="9525">
          <a:noFill/>
          <a:miter lim="800000"/>
          <a:headEnd/>
          <a:tailEnd/>
        </a:ln>
      </xdr:spPr>
      <xdr:txBody>
        <a:bodyPr vertOverflow="clip" wrap="square" lIns="27432" tIns="22860" rIns="0" bIns="0" anchor="ctr" upright="1"/>
        <a:lstStyle/>
        <a:p>
          <a:pPr algn="l" rtl="0">
            <a:defRPr sz="1000"/>
          </a:pPr>
          <a:fld id="{62E2AFC2-CB14-431A-99E1-2EF4D5A6CD34}" type="TxLink">
            <a:rPr lang="en-US" sz="1000" b="0" i="0" u="none" strike="noStrike" baseline="0">
              <a:solidFill>
                <a:srgbClr val="000000"/>
              </a:solidFill>
              <a:latin typeface="Arialri"/>
              <a:cs typeface="Arial" pitchFamily="34" charset="0"/>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1654331</xdr:colOff>
      <xdr:row>4</xdr:row>
      <xdr:rowOff>420739</xdr:rowOff>
    </xdr:from>
    <xdr:to>
      <xdr:col>1</xdr:col>
      <xdr:colOff>2003826</xdr:colOff>
      <xdr:row>4</xdr:row>
      <xdr:rowOff>662384</xdr:rowOff>
    </xdr:to>
    <xdr:sp macro="" textlink="">
      <xdr:nvSpPr>
        <xdr:cNvPr id="57" name="Text Box 248">
          <a:extLst>
            <a:ext uri="{FF2B5EF4-FFF2-40B4-BE49-F238E27FC236}">
              <a16:creationId xmlns:a16="http://schemas.microsoft.com/office/drawing/2014/main" id="{00000000-0008-0000-0400-000039000000}"/>
            </a:ext>
          </a:extLst>
        </xdr:cNvPr>
        <xdr:cNvSpPr txBox="1">
          <a:spLocks noChangeArrowheads="1"/>
        </xdr:cNvSpPr>
      </xdr:nvSpPr>
      <xdr:spPr bwMode="auto">
        <a:xfrm>
          <a:off x="2359181" y="1068439"/>
          <a:ext cx="349495" cy="24164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6290995</xdr:colOff>
      <xdr:row>4</xdr:row>
      <xdr:rowOff>996921</xdr:rowOff>
    </xdr:from>
    <xdr:to>
      <xdr:col>1</xdr:col>
      <xdr:colOff>7281596</xdr:colOff>
      <xdr:row>4</xdr:row>
      <xdr:rowOff>1257170</xdr:rowOff>
    </xdr:to>
    <xdr:sp macro="" textlink="'Variable Management'!B475">
      <xdr:nvSpPr>
        <xdr:cNvPr id="58" name="Text Box 283">
          <a:extLst>
            <a:ext uri="{FF2B5EF4-FFF2-40B4-BE49-F238E27FC236}">
              <a16:creationId xmlns:a16="http://schemas.microsoft.com/office/drawing/2014/main" id="{00000000-0008-0000-0400-00003A000000}"/>
            </a:ext>
          </a:extLst>
        </xdr:cNvPr>
        <xdr:cNvSpPr txBox="1">
          <a:spLocks noChangeArrowheads="1" noTextEdit="1"/>
        </xdr:cNvSpPr>
      </xdr:nvSpPr>
      <xdr:spPr bwMode="auto">
        <a:xfrm>
          <a:off x="6995845" y="1644621"/>
          <a:ext cx="990601" cy="26024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200" b="1" i="0" u="none" strike="noStrike">
              <a:solidFill>
                <a:srgbClr val="FF0000"/>
              </a:solidFill>
              <a:latin typeface="Arial"/>
              <a:cs typeface="Arial"/>
            </a:rPr>
            <a:pPr algn="l" rtl="0">
              <a:defRPr sz="1000"/>
            </a:pPr>
            <a:t>5V...24V</a:t>
          </a:fld>
          <a:endParaRPr lang="en-US" sz="1200" b="1" i="0" strike="noStrike">
            <a:solidFill>
              <a:srgbClr val="FF0000"/>
            </a:solidFill>
            <a:latin typeface="Arial" pitchFamily="34" charset="0"/>
            <a:cs typeface="Arial" pitchFamily="34" charset="0"/>
          </a:endParaRPr>
        </a:p>
      </xdr:txBody>
    </xdr:sp>
    <xdr:clientData/>
  </xdr:twoCellAnchor>
  <xdr:twoCellAnchor editAs="absolute">
    <xdr:from>
      <xdr:col>1</xdr:col>
      <xdr:colOff>713956</xdr:colOff>
      <xdr:row>4</xdr:row>
      <xdr:rowOff>1507243</xdr:rowOff>
    </xdr:from>
    <xdr:to>
      <xdr:col>1</xdr:col>
      <xdr:colOff>1196832</xdr:colOff>
      <xdr:row>4</xdr:row>
      <xdr:rowOff>1692372</xdr:rowOff>
    </xdr:to>
    <xdr:sp macro="" textlink="'Variable Management'!C450">
      <xdr:nvSpPr>
        <xdr:cNvPr id="59" name="Text Box 266">
          <a:extLst>
            <a:ext uri="{FF2B5EF4-FFF2-40B4-BE49-F238E27FC236}">
              <a16:creationId xmlns:a16="http://schemas.microsoft.com/office/drawing/2014/main" id="{00000000-0008-0000-0400-00003B000000}"/>
            </a:ext>
          </a:extLst>
        </xdr:cNvPr>
        <xdr:cNvSpPr txBox="1">
          <a:spLocks noChangeArrowheads="1" noTextEdit="1"/>
        </xdr:cNvSpPr>
      </xdr:nvSpPr>
      <xdr:spPr bwMode="auto">
        <a:xfrm>
          <a:off x="1418806" y="2154943"/>
          <a:ext cx="482876" cy="185129"/>
        </a:xfrm>
        <a:prstGeom prst="rect">
          <a:avLst/>
        </a:prstGeom>
        <a:noFill/>
        <a:ln w="9525">
          <a:noFill/>
          <a:miter lim="800000"/>
          <a:headEnd/>
          <a:tailEnd/>
        </a:ln>
      </xdr:spPr>
      <xdr:txBody>
        <a:bodyPr vertOverflow="clip" wrap="square" lIns="27432" tIns="22860" rIns="0" bIns="0" anchor="t" upright="1"/>
        <a:lstStyle/>
        <a:p>
          <a:pPr algn="ctr" rtl="0">
            <a:defRPr sz="1000"/>
          </a:pPr>
          <a:fld id="{DF2A2C16-623E-4E51-B82E-2B3F1562B3CF}" type="TxLink">
            <a:rPr lang="en-US" sz="1000" b="0" i="0" u="none" strike="noStrike" baseline="0">
              <a:solidFill>
                <a:srgbClr val="000000"/>
              </a:solidFill>
              <a:latin typeface="Arial"/>
              <a:cs typeface="Arial"/>
            </a:rPr>
            <a:pPr algn="ctr" rtl="0">
              <a:defRPr sz="1000"/>
            </a:pPr>
            <a:t>Cd</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1741435</xdr:colOff>
      <xdr:row>7</xdr:row>
      <xdr:rowOff>4459217</xdr:rowOff>
    </xdr:from>
    <xdr:to>
      <xdr:col>1</xdr:col>
      <xdr:colOff>2083824</xdr:colOff>
      <xdr:row>7</xdr:row>
      <xdr:rowOff>4720777</xdr:rowOff>
    </xdr:to>
    <xdr:sp macro="" textlink="">
      <xdr:nvSpPr>
        <xdr:cNvPr id="60" name="Text Box 225">
          <a:extLst>
            <a:ext uri="{FF2B5EF4-FFF2-40B4-BE49-F238E27FC236}">
              <a16:creationId xmlns:a16="http://schemas.microsoft.com/office/drawing/2014/main" id="{00000000-0008-0000-0400-00003C000000}"/>
            </a:ext>
          </a:extLst>
        </xdr:cNvPr>
        <xdr:cNvSpPr txBox="1">
          <a:spLocks noChangeArrowheads="1"/>
        </xdr:cNvSpPr>
      </xdr:nvSpPr>
      <xdr:spPr bwMode="auto">
        <a:xfrm>
          <a:off x="2446285" y="10688567"/>
          <a:ext cx="342389" cy="26156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6856439</xdr:colOff>
      <xdr:row>7</xdr:row>
      <xdr:rowOff>2104957</xdr:rowOff>
    </xdr:from>
    <xdr:to>
      <xdr:col>1</xdr:col>
      <xdr:colOff>7240372</xdr:colOff>
      <xdr:row>7</xdr:row>
      <xdr:rowOff>2333307</xdr:rowOff>
    </xdr:to>
    <xdr:sp macro="" textlink="">
      <xdr:nvSpPr>
        <xdr:cNvPr id="61" name="Text Box 228">
          <a:extLst>
            <a:ext uri="{FF2B5EF4-FFF2-40B4-BE49-F238E27FC236}">
              <a16:creationId xmlns:a16="http://schemas.microsoft.com/office/drawing/2014/main" id="{00000000-0008-0000-0400-00003D000000}"/>
            </a:ext>
          </a:extLst>
        </xdr:cNvPr>
        <xdr:cNvSpPr txBox="1">
          <a:spLocks noChangeArrowheads="1"/>
        </xdr:cNvSpPr>
      </xdr:nvSpPr>
      <xdr:spPr bwMode="auto">
        <a:xfrm>
          <a:off x="7561289" y="8334307"/>
          <a:ext cx="383933" cy="22835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editAs="absolute">
    <xdr:from>
      <xdr:col>1</xdr:col>
      <xdr:colOff>7914727</xdr:colOff>
      <xdr:row>7</xdr:row>
      <xdr:rowOff>995107</xdr:rowOff>
    </xdr:from>
    <xdr:to>
      <xdr:col>1</xdr:col>
      <xdr:colOff>8390563</xdr:colOff>
      <xdr:row>7</xdr:row>
      <xdr:rowOff>1239091</xdr:rowOff>
    </xdr:to>
    <xdr:sp macro="" textlink="">
      <xdr:nvSpPr>
        <xdr:cNvPr id="62" name="Text Box 231">
          <a:extLst>
            <a:ext uri="{FF2B5EF4-FFF2-40B4-BE49-F238E27FC236}">
              <a16:creationId xmlns:a16="http://schemas.microsoft.com/office/drawing/2014/main" id="{00000000-0008-0000-0400-00003E000000}"/>
            </a:ext>
          </a:extLst>
        </xdr:cNvPr>
        <xdr:cNvSpPr txBox="1">
          <a:spLocks noChangeArrowheads="1"/>
        </xdr:cNvSpPr>
      </xdr:nvSpPr>
      <xdr:spPr bwMode="auto">
        <a:xfrm>
          <a:off x="8619577" y="7224457"/>
          <a:ext cx="475836" cy="24398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CS(out)</a:t>
          </a:r>
        </a:p>
      </xdr:txBody>
    </xdr:sp>
    <xdr:clientData/>
  </xdr:twoCellAnchor>
  <xdr:twoCellAnchor editAs="absolute">
    <xdr:from>
      <xdr:col>1</xdr:col>
      <xdr:colOff>3248284</xdr:colOff>
      <xdr:row>7</xdr:row>
      <xdr:rowOff>4351349</xdr:rowOff>
    </xdr:from>
    <xdr:to>
      <xdr:col>1</xdr:col>
      <xdr:colOff>3522445</xdr:colOff>
      <xdr:row>7</xdr:row>
      <xdr:rowOff>4599731</xdr:rowOff>
    </xdr:to>
    <xdr:sp macro="" textlink="">
      <xdr:nvSpPr>
        <xdr:cNvPr id="63" name="Text Box 233">
          <a:extLst>
            <a:ext uri="{FF2B5EF4-FFF2-40B4-BE49-F238E27FC236}">
              <a16:creationId xmlns:a16="http://schemas.microsoft.com/office/drawing/2014/main" id="{00000000-0008-0000-0400-00003F000000}"/>
            </a:ext>
          </a:extLst>
        </xdr:cNvPr>
        <xdr:cNvSpPr txBox="1">
          <a:spLocks noChangeArrowheads="1"/>
        </xdr:cNvSpPr>
      </xdr:nvSpPr>
      <xdr:spPr bwMode="auto">
        <a:xfrm>
          <a:off x="3953134" y="10580699"/>
          <a:ext cx="274161" cy="248382"/>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CS</a:t>
          </a:r>
        </a:p>
      </xdr:txBody>
    </xdr:sp>
    <xdr:clientData/>
  </xdr:twoCellAnchor>
  <xdr:twoCellAnchor editAs="absolute">
    <xdr:from>
      <xdr:col>1</xdr:col>
      <xdr:colOff>6888908</xdr:colOff>
      <xdr:row>7</xdr:row>
      <xdr:rowOff>2980875</xdr:rowOff>
    </xdr:from>
    <xdr:to>
      <xdr:col>1</xdr:col>
      <xdr:colOff>7132769</xdr:colOff>
      <xdr:row>7</xdr:row>
      <xdr:rowOff>3202171</xdr:rowOff>
    </xdr:to>
    <xdr:sp macro="" textlink="">
      <xdr:nvSpPr>
        <xdr:cNvPr id="64" name="Text Box 234">
          <a:extLst>
            <a:ext uri="{FF2B5EF4-FFF2-40B4-BE49-F238E27FC236}">
              <a16:creationId xmlns:a16="http://schemas.microsoft.com/office/drawing/2014/main" id="{00000000-0008-0000-0400-000040000000}"/>
            </a:ext>
          </a:extLst>
        </xdr:cNvPr>
        <xdr:cNvSpPr txBox="1">
          <a:spLocks noChangeArrowheads="1"/>
        </xdr:cNvSpPr>
      </xdr:nvSpPr>
      <xdr:spPr bwMode="auto">
        <a:xfrm>
          <a:off x="7593758" y="9210225"/>
          <a:ext cx="243861" cy="22129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a:t>
          </a:r>
        </a:p>
      </xdr:txBody>
    </xdr:sp>
    <xdr:clientData/>
  </xdr:twoCellAnchor>
  <xdr:twoCellAnchor editAs="absolute">
    <xdr:from>
      <xdr:col>1</xdr:col>
      <xdr:colOff>6587606</xdr:colOff>
      <xdr:row>7</xdr:row>
      <xdr:rowOff>1279450</xdr:rowOff>
    </xdr:from>
    <xdr:to>
      <xdr:col>1</xdr:col>
      <xdr:colOff>6927606</xdr:colOff>
      <xdr:row>7</xdr:row>
      <xdr:rowOff>1557155</xdr:rowOff>
    </xdr:to>
    <xdr:sp macro="" textlink="">
      <xdr:nvSpPr>
        <xdr:cNvPr id="65" name="Text Box 235">
          <a:extLst>
            <a:ext uri="{FF2B5EF4-FFF2-40B4-BE49-F238E27FC236}">
              <a16:creationId xmlns:a16="http://schemas.microsoft.com/office/drawing/2014/main" id="{00000000-0008-0000-0400-000041000000}"/>
            </a:ext>
          </a:extLst>
        </xdr:cNvPr>
        <xdr:cNvSpPr txBox="1">
          <a:spLocks noChangeArrowheads="1"/>
        </xdr:cNvSpPr>
      </xdr:nvSpPr>
      <xdr:spPr bwMode="auto">
        <a:xfrm>
          <a:off x="7292456" y="7508800"/>
          <a:ext cx="340000" cy="27770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editAs="absolute">
    <xdr:from>
      <xdr:col>1</xdr:col>
      <xdr:colOff>3609213</xdr:colOff>
      <xdr:row>7</xdr:row>
      <xdr:rowOff>4549938</xdr:rowOff>
    </xdr:from>
    <xdr:to>
      <xdr:col>1</xdr:col>
      <xdr:colOff>4015912</xdr:colOff>
      <xdr:row>7</xdr:row>
      <xdr:rowOff>4797862</xdr:rowOff>
    </xdr:to>
    <xdr:sp macro="" textlink="">
      <xdr:nvSpPr>
        <xdr:cNvPr id="66" name="Text Box 243">
          <a:extLst>
            <a:ext uri="{FF2B5EF4-FFF2-40B4-BE49-F238E27FC236}">
              <a16:creationId xmlns:a16="http://schemas.microsoft.com/office/drawing/2014/main" id="{00000000-0008-0000-0400-000042000000}"/>
            </a:ext>
          </a:extLst>
        </xdr:cNvPr>
        <xdr:cNvSpPr txBox="1">
          <a:spLocks noChangeArrowheads="1"/>
        </xdr:cNvSpPr>
      </xdr:nvSpPr>
      <xdr:spPr bwMode="auto">
        <a:xfrm>
          <a:off x="4314063" y="10779288"/>
          <a:ext cx="406699" cy="247924"/>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100pF</a:t>
          </a:r>
        </a:p>
      </xdr:txBody>
    </xdr:sp>
    <xdr:clientData/>
  </xdr:twoCellAnchor>
  <xdr:twoCellAnchor editAs="absolute">
    <xdr:from>
      <xdr:col>1</xdr:col>
      <xdr:colOff>6345478</xdr:colOff>
      <xdr:row>7</xdr:row>
      <xdr:rowOff>2131317</xdr:rowOff>
    </xdr:from>
    <xdr:to>
      <xdr:col>1</xdr:col>
      <xdr:colOff>6670916</xdr:colOff>
      <xdr:row>7</xdr:row>
      <xdr:rowOff>2357563</xdr:rowOff>
    </xdr:to>
    <xdr:sp macro="" textlink="">
      <xdr:nvSpPr>
        <xdr:cNvPr id="67" name="Text Box 244">
          <a:extLst>
            <a:ext uri="{FF2B5EF4-FFF2-40B4-BE49-F238E27FC236}">
              <a16:creationId xmlns:a16="http://schemas.microsoft.com/office/drawing/2014/main" id="{00000000-0008-0000-0400-000043000000}"/>
            </a:ext>
          </a:extLst>
        </xdr:cNvPr>
        <xdr:cNvSpPr txBox="1">
          <a:spLocks noChangeArrowheads="1"/>
        </xdr:cNvSpPr>
      </xdr:nvSpPr>
      <xdr:spPr bwMode="auto">
        <a:xfrm>
          <a:off x="7050328" y="8360667"/>
          <a:ext cx="325438"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3985001</xdr:colOff>
      <xdr:row>7</xdr:row>
      <xdr:rowOff>79131</xdr:rowOff>
    </xdr:from>
    <xdr:to>
      <xdr:col>1</xdr:col>
      <xdr:colOff>4393844</xdr:colOff>
      <xdr:row>7</xdr:row>
      <xdr:rowOff>320775</xdr:rowOff>
    </xdr:to>
    <xdr:sp macro="" textlink="">
      <xdr:nvSpPr>
        <xdr:cNvPr id="68" name="Text Box 248">
          <a:extLst>
            <a:ext uri="{FF2B5EF4-FFF2-40B4-BE49-F238E27FC236}">
              <a16:creationId xmlns:a16="http://schemas.microsoft.com/office/drawing/2014/main" id="{00000000-0008-0000-0400-000044000000}"/>
            </a:ext>
          </a:extLst>
        </xdr:cNvPr>
        <xdr:cNvSpPr txBox="1">
          <a:spLocks noChangeArrowheads="1"/>
        </xdr:cNvSpPr>
      </xdr:nvSpPr>
      <xdr:spPr bwMode="auto">
        <a:xfrm>
          <a:off x="4689851" y="6308481"/>
          <a:ext cx="408843"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xdr:col>
      <xdr:colOff>5069341</xdr:colOff>
      <xdr:row>7</xdr:row>
      <xdr:rowOff>2117850</xdr:rowOff>
    </xdr:from>
    <xdr:to>
      <xdr:col>1</xdr:col>
      <xdr:colOff>5444036</xdr:colOff>
      <xdr:row>7</xdr:row>
      <xdr:rowOff>2368121</xdr:rowOff>
    </xdr:to>
    <xdr:sp macro="" textlink="">
      <xdr:nvSpPr>
        <xdr:cNvPr id="69" name="Text Box 249">
          <a:extLst>
            <a:ext uri="{FF2B5EF4-FFF2-40B4-BE49-F238E27FC236}">
              <a16:creationId xmlns:a16="http://schemas.microsoft.com/office/drawing/2014/main" id="{00000000-0008-0000-0400-000045000000}"/>
            </a:ext>
          </a:extLst>
        </xdr:cNvPr>
        <xdr:cNvSpPr txBox="1">
          <a:spLocks noChangeArrowheads="1"/>
        </xdr:cNvSpPr>
      </xdr:nvSpPr>
      <xdr:spPr bwMode="auto">
        <a:xfrm>
          <a:off x="5774191" y="8347200"/>
          <a:ext cx="374695" cy="2502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editAs="absolute">
    <xdr:from>
      <xdr:col>1</xdr:col>
      <xdr:colOff>4599220</xdr:colOff>
      <xdr:row>7</xdr:row>
      <xdr:rowOff>4181156</xdr:rowOff>
    </xdr:from>
    <xdr:to>
      <xdr:col>1</xdr:col>
      <xdr:colOff>4910059</xdr:colOff>
      <xdr:row>7</xdr:row>
      <xdr:rowOff>4413246</xdr:rowOff>
    </xdr:to>
    <xdr:sp macro="" textlink="">
      <xdr:nvSpPr>
        <xdr:cNvPr id="70" name="Text Box 250">
          <a:extLst>
            <a:ext uri="{FF2B5EF4-FFF2-40B4-BE49-F238E27FC236}">
              <a16:creationId xmlns:a16="http://schemas.microsoft.com/office/drawing/2014/main" id="{00000000-0008-0000-0400-000046000000}"/>
            </a:ext>
          </a:extLst>
        </xdr:cNvPr>
        <xdr:cNvSpPr txBox="1">
          <a:spLocks noChangeArrowheads="1"/>
        </xdr:cNvSpPr>
      </xdr:nvSpPr>
      <xdr:spPr bwMode="auto">
        <a:xfrm>
          <a:off x="5304070" y="10410506"/>
          <a:ext cx="310839" cy="23209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CS1</a:t>
          </a:r>
        </a:p>
        <a:p>
          <a:pPr algn="l" rtl="0">
            <a:defRPr sz="1000"/>
          </a:pPr>
          <a:r>
            <a:rPr lang="en-US" sz="1000" b="0" i="0" strike="noStrike" baseline="-25000">
              <a:solidFill>
                <a:srgbClr val="000000"/>
              </a:solidFill>
              <a:latin typeface="Arial" pitchFamily="34" charset="0"/>
              <a:cs typeface="Arial" pitchFamily="34" charset="0"/>
            </a:rPr>
            <a:t>ood</a:t>
          </a:r>
        </a:p>
      </xdr:txBody>
    </xdr:sp>
    <xdr:clientData/>
  </xdr:twoCellAnchor>
  <xdr:twoCellAnchor editAs="absolute">
    <xdr:from>
      <xdr:col>1</xdr:col>
      <xdr:colOff>1023436</xdr:colOff>
      <xdr:row>7</xdr:row>
      <xdr:rowOff>2758635</xdr:rowOff>
    </xdr:from>
    <xdr:to>
      <xdr:col>1</xdr:col>
      <xdr:colOff>1350592</xdr:colOff>
      <xdr:row>7</xdr:row>
      <xdr:rowOff>3014259</xdr:rowOff>
    </xdr:to>
    <xdr:sp macro="" textlink="">
      <xdr:nvSpPr>
        <xdr:cNvPr id="71" name="Text Box 251">
          <a:extLst>
            <a:ext uri="{FF2B5EF4-FFF2-40B4-BE49-F238E27FC236}">
              <a16:creationId xmlns:a16="http://schemas.microsoft.com/office/drawing/2014/main" id="{00000000-0008-0000-0400-000047000000}"/>
            </a:ext>
          </a:extLst>
        </xdr:cNvPr>
        <xdr:cNvSpPr txBox="1">
          <a:spLocks noChangeArrowheads="1"/>
        </xdr:cNvSpPr>
      </xdr:nvSpPr>
      <xdr:spPr bwMode="auto">
        <a:xfrm>
          <a:off x="1728286" y="8987985"/>
          <a:ext cx="327156" cy="25562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editAs="absolute">
    <xdr:from>
      <xdr:col>1</xdr:col>
      <xdr:colOff>781911</xdr:colOff>
      <xdr:row>7</xdr:row>
      <xdr:rowOff>4098220</xdr:rowOff>
    </xdr:from>
    <xdr:to>
      <xdr:col>1</xdr:col>
      <xdr:colOff>1177488</xdr:colOff>
      <xdr:row>7</xdr:row>
      <xdr:rowOff>4299097</xdr:rowOff>
    </xdr:to>
    <xdr:sp macro="" textlink="">
      <xdr:nvSpPr>
        <xdr:cNvPr id="72" name="Text Box 255">
          <a:extLst>
            <a:ext uri="{FF2B5EF4-FFF2-40B4-BE49-F238E27FC236}">
              <a16:creationId xmlns:a16="http://schemas.microsoft.com/office/drawing/2014/main" id="{00000000-0008-0000-0400-000048000000}"/>
            </a:ext>
          </a:extLst>
        </xdr:cNvPr>
        <xdr:cNvSpPr txBox="1">
          <a:spLocks noChangeArrowheads="1"/>
        </xdr:cNvSpPr>
      </xdr:nvSpPr>
      <xdr:spPr bwMode="auto">
        <a:xfrm>
          <a:off x="1486761" y="10327570"/>
          <a:ext cx="395577"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1</xdr:col>
      <xdr:colOff>141951</xdr:colOff>
      <xdr:row>7</xdr:row>
      <xdr:rowOff>3384014</xdr:rowOff>
    </xdr:from>
    <xdr:to>
      <xdr:col>1</xdr:col>
      <xdr:colOff>384920</xdr:colOff>
      <xdr:row>7</xdr:row>
      <xdr:rowOff>3598419</xdr:rowOff>
    </xdr:to>
    <xdr:sp macro="" textlink="">
      <xdr:nvSpPr>
        <xdr:cNvPr id="73" name="Text Box 256">
          <a:extLst>
            <a:ext uri="{FF2B5EF4-FFF2-40B4-BE49-F238E27FC236}">
              <a16:creationId xmlns:a16="http://schemas.microsoft.com/office/drawing/2014/main" id="{00000000-0008-0000-0400-000049000000}"/>
            </a:ext>
          </a:extLst>
        </xdr:cNvPr>
        <xdr:cNvSpPr txBox="1">
          <a:spLocks noChangeArrowheads="1"/>
        </xdr:cNvSpPr>
      </xdr:nvSpPr>
      <xdr:spPr bwMode="auto">
        <a:xfrm>
          <a:off x="846801" y="9613364"/>
          <a:ext cx="242969" cy="214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xdr:col>
      <xdr:colOff>896117</xdr:colOff>
      <xdr:row>7</xdr:row>
      <xdr:rowOff>3625848</xdr:rowOff>
    </xdr:from>
    <xdr:to>
      <xdr:col>1</xdr:col>
      <xdr:colOff>1211687</xdr:colOff>
      <xdr:row>7</xdr:row>
      <xdr:rowOff>3869886</xdr:rowOff>
    </xdr:to>
    <xdr:sp macro="" textlink="">
      <xdr:nvSpPr>
        <xdr:cNvPr id="74" name="Text Box 257">
          <a:extLst>
            <a:ext uri="{FF2B5EF4-FFF2-40B4-BE49-F238E27FC236}">
              <a16:creationId xmlns:a16="http://schemas.microsoft.com/office/drawing/2014/main" id="{00000000-0008-0000-0400-00004A000000}"/>
            </a:ext>
          </a:extLst>
        </xdr:cNvPr>
        <xdr:cNvSpPr txBox="1">
          <a:spLocks noChangeArrowheads="1"/>
        </xdr:cNvSpPr>
      </xdr:nvSpPr>
      <xdr:spPr bwMode="auto">
        <a:xfrm>
          <a:off x="1600967" y="9855198"/>
          <a:ext cx="315570" cy="24403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editAs="absolute">
    <xdr:from>
      <xdr:col>1</xdr:col>
      <xdr:colOff>853558</xdr:colOff>
      <xdr:row>7</xdr:row>
      <xdr:rowOff>3243493</xdr:rowOff>
    </xdr:from>
    <xdr:to>
      <xdr:col>1</xdr:col>
      <xdr:colOff>1162413</xdr:colOff>
      <xdr:row>7</xdr:row>
      <xdr:rowOff>3486999</xdr:rowOff>
    </xdr:to>
    <xdr:sp macro="" textlink="">
      <xdr:nvSpPr>
        <xdr:cNvPr id="75" name="Text Box 258">
          <a:extLst>
            <a:ext uri="{FF2B5EF4-FFF2-40B4-BE49-F238E27FC236}">
              <a16:creationId xmlns:a16="http://schemas.microsoft.com/office/drawing/2014/main" id="{00000000-0008-0000-0400-00004B000000}"/>
            </a:ext>
          </a:extLst>
        </xdr:cNvPr>
        <xdr:cNvSpPr txBox="1">
          <a:spLocks noChangeArrowheads="1"/>
        </xdr:cNvSpPr>
      </xdr:nvSpPr>
      <xdr:spPr bwMode="auto">
        <a:xfrm>
          <a:off x="1558408" y="9472843"/>
          <a:ext cx="308855" cy="24350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a:t>
          </a:r>
        </a:p>
      </xdr:txBody>
    </xdr:sp>
    <xdr:clientData/>
  </xdr:twoCellAnchor>
  <xdr:twoCellAnchor editAs="absolute">
    <xdr:from>
      <xdr:col>1</xdr:col>
      <xdr:colOff>9479</xdr:colOff>
      <xdr:row>7</xdr:row>
      <xdr:rowOff>2572891</xdr:rowOff>
    </xdr:from>
    <xdr:to>
      <xdr:col>1</xdr:col>
      <xdr:colOff>693342</xdr:colOff>
      <xdr:row>7</xdr:row>
      <xdr:rowOff>2817536</xdr:rowOff>
    </xdr:to>
    <xdr:sp macro="" textlink="'Variable Management'!B471">
      <xdr:nvSpPr>
        <xdr:cNvPr id="76" name="Text Box 261">
          <a:extLst>
            <a:ext uri="{FF2B5EF4-FFF2-40B4-BE49-F238E27FC236}">
              <a16:creationId xmlns:a16="http://schemas.microsoft.com/office/drawing/2014/main" id="{00000000-0008-0000-0400-00004C000000}"/>
            </a:ext>
          </a:extLst>
        </xdr:cNvPr>
        <xdr:cNvSpPr txBox="1">
          <a:spLocks noChangeArrowheads="1" noTextEdit="1"/>
        </xdr:cNvSpPr>
      </xdr:nvSpPr>
      <xdr:spPr bwMode="auto">
        <a:xfrm>
          <a:off x="714329" y="8802241"/>
          <a:ext cx="683863" cy="244645"/>
        </a:xfrm>
        <a:prstGeom prst="rect">
          <a:avLst/>
        </a:prstGeom>
        <a:noFill/>
        <a:ln w="9525">
          <a:noFill/>
          <a:miter lim="800000"/>
          <a:headEnd/>
          <a:tailEnd/>
        </a:ln>
      </xdr:spPr>
      <xdr:txBody>
        <a:bodyPr vertOverflow="clip" wrap="square" lIns="27432" tIns="22860" rIns="0" bIns="0" anchor="t" upright="1"/>
        <a:lstStyle/>
        <a:p>
          <a:pPr algn="r" rtl="0">
            <a:defRPr sz="1000"/>
          </a:pPr>
          <a:fld id="{B50E25BC-E8CF-448B-A92C-74321B73BB8B}" type="TxLink">
            <a:rPr lang="en-US" sz="1000" b="0" i="0" u="none" strike="noStrike" baseline="0">
              <a:solidFill>
                <a:srgbClr val="000000"/>
              </a:solidFill>
              <a:latin typeface="Arialri"/>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0</xdr:col>
      <xdr:colOff>657225</xdr:colOff>
      <xdr:row>7</xdr:row>
      <xdr:rowOff>3652592</xdr:rowOff>
    </xdr:from>
    <xdr:to>
      <xdr:col>1</xdr:col>
      <xdr:colOff>372581</xdr:colOff>
      <xdr:row>7</xdr:row>
      <xdr:rowOff>3928150</xdr:rowOff>
    </xdr:to>
    <xdr:sp macro="" textlink="'Variable Management'!B443">
      <xdr:nvSpPr>
        <xdr:cNvPr id="77" name="Text Box 262">
          <a:extLst>
            <a:ext uri="{FF2B5EF4-FFF2-40B4-BE49-F238E27FC236}">
              <a16:creationId xmlns:a16="http://schemas.microsoft.com/office/drawing/2014/main" id="{00000000-0008-0000-0400-00004D000000}"/>
            </a:ext>
          </a:extLst>
        </xdr:cNvPr>
        <xdr:cNvSpPr txBox="1">
          <a:spLocks noChangeArrowheads="1" noTextEdit="1"/>
        </xdr:cNvSpPr>
      </xdr:nvSpPr>
      <xdr:spPr bwMode="auto">
        <a:xfrm>
          <a:off x="657225" y="9881942"/>
          <a:ext cx="420206" cy="275558"/>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815405</xdr:colOff>
      <xdr:row>7</xdr:row>
      <xdr:rowOff>3439887</xdr:rowOff>
    </xdr:from>
    <xdr:to>
      <xdr:col>1</xdr:col>
      <xdr:colOff>1274852</xdr:colOff>
      <xdr:row>7</xdr:row>
      <xdr:rowOff>3683426</xdr:rowOff>
    </xdr:to>
    <xdr:sp macro="" textlink="'Variable Management'!B441">
      <xdr:nvSpPr>
        <xdr:cNvPr id="78" name="Text Box 263">
          <a:extLst>
            <a:ext uri="{FF2B5EF4-FFF2-40B4-BE49-F238E27FC236}">
              <a16:creationId xmlns:a16="http://schemas.microsoft.com/office/drawing/2014/main" id="{00000000-0008-0000-0400-00004E000000}"/>
            </a:ext>
          </a:extLst>
        </xdr:cNvPr>
        <xdr:cNvSpPr txBox="1">
          <a:spLocks noChangeArrowheads="1" noTextEdit="1"/>
        </xdr:cNvSpPr>
      </xdr:nvSpPr>
      <xdr:spPr bwMode="auto">
        <a:xfrm>
          <a:off x="1520255" y="9669237"/>
          <a:ext cx="459447" cy="243539"/>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1000" b="0" i="0" u="none" strike="noStrike" baseline="0">
              <a:solidFill>
                <a:srgbClr val="000000"/>
              </a:solidFill>
              <a:latin typeface="Arial" pitchFamily="34" charset="0"/>
              <a:cs typeface="Arial" pitchFamily="34" charset="0"/>
            </a:rPr>
            <a:pPr algn="l" rtl="0">
              <a:defRPr sz="1000"/>
            </a:pPr>
            <a:t>12.1kΩ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720709</xdr:colOff>
      <xdr:row>7</xdr:row>
      <xdr:rowOff>4300720</xdr:rowOff>
    </xdr:from>
    <xdr:to>
      <xdr:col>1</xdr:col>
      <xdr:colOff>1235548</xdr:colOff>
      <xdr:row>7</xdr:row>
      <xdr:rowOff>4475356</xdr:rowOff>
    </xdr:to>
    <xdr:sp macro="" textlink="'Variable Management'!B452">
      <xdr:nvSpPr>
        <xdr:cNvPr id="79" name="Text Box 264">
          <a:extLst>
            <a:ext uri="{FF2B5EF4-FFF2-40B4-BE49-F238E27FC236}">
              <a16:creationId xmlns:a16="http://schemas.microsoft.com/office/drawing/2014/main" id="{00000000-0008-0000-0400-00004F000000}"/>
            </a:ext>
          </a:extLst>
        </xdr:cNvPr>
        <xdr:cNvSpPr txBox="1">
          <a:spLocks noChangeArrowheads="1" noTextEdit="1"/>
        </xdr:cNvSpPr>
      </xdr:nvSpPr>
      <xdr:spPr bwMode="auto">
        <a:xfrm>
          <a:off x="1425559" y="10530070"/>
          <a:ext cx="514839" cy="174636"/>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7.15kΩ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35144</xdr:colOff>
      <xdr:row>7</xdr:row>
      <xdr:rowOff>2153311</xdr:rowOff>
    </xdr:from>
    <xdr:to>
      <xdr:col>1</xdr:col>
      <xdr:colOff>715810</xdr:colOff>
      <xdr:row>7</xdr:row>
      <xdr:rowOff>2413283</xdr:rowOff>
    </xdr:to>
    <xdr:sp macro="" textlink="'Variable Management'!B469">
      <xdr:nvSpPr>
        <xdr:cNvPr id="80" name="Text Box 265">
          <a:extLst>
            <a:ext uri="{FF2B5EF4-FFF2-40B4-BE49-F238E27FC236}">
              <a16:creationId xmlns:a16="http://schemas.microsoft.com/office/drawing/2014/main" id="{00000000-0008-0000-0400-000050000000}"/>
            </a:ext>
          </a:extLst>
        </xdr:cNvPr>
        <xdr:cNvSpPr txBox="1">
          <a:spLocks noChangeArrowheads="1" noTextEdit="1"/>
        </xdr:cNvSpPr>
      </xdr:nvSpPr>
      <xdr:spPr bwMode="auto">
        <a:xfrm>
          <a:off x="739994" y="8382661"/>
          <a:ext cx="680666" cy="25997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648746</xdr:colOff>
      <xdr:row>7</xdr:row>
      <xdr:rowOff>1687485</xdr:rowOff>
    </xdr:from>
    <xdr:to>
      <xdr:col>1</xdr:col>
      <xdr:colOff>1135349</xdr:colOff>
      <xdr:row>7</xdr:row>
      <xdr:rowOff>1872615</xdr:rowOff>
    </xdr:to>
    <xdr:sp macro="" textlink="'Variable Management'!B450">
      <xdr:nvSpPr>
        <xdr:cNvPr id="81" name="Text Box 266">
          <a:extLst>
            <a:ext uri="{FF2B5EF4-FFF2-40B4-BE49-F238E27FC236}">
              <a16:creationId xmlns:a16="http://schemas.microsoft.com/office/drawing/2014/main" id="{00000000-0008-0000-0400-000051000000}"/>
            </a:ext>
          </a:extLst>
        </xdr:cNvPr>
        <xdr:cNvSpPr txBox="1">
          <a:spLocks noChangeArrowheads="1" noTextEdit="1"/>
        </xdr:cNvSpPr>
      </xdr:nvSpPr>
      <xdr:spPr bwMode="auto">
        <a:xfrm>
          <a:off x="1353596" y="7916835"/>
          <a:ext cx="486603" cy="185130"/>
        </a:xfrm>
        <a:prstGeom prst="rect">
          <a:avLst/>
        </a:prstGeom>
        <a:noFill/>
        <a:ln w="9525">
          <a:noFill/>
          <a:miter lim="800000"/>
          <a:headEnd/>
          <a:tailEnd/>
        </a:ln>
      </xdr:spPr>
      <xdr:txBody>
        <a:bodyPr vertOverflow="clip" wrap="square" lIns="27432" tIns="22860" rIns="0" bIns="0" anchor="t" upright="1"/>
        <a:lstStyle/>
        <a:p>
          <a:pPr algn="r" rtl="0">
            <a:defRPr sz="1000"/>
          </a:pPr>
          <a:fld id="{F0D4FEFA-1BCB-42BA-B0A4-AAEA1128161F}" type="TxLink">
            <a:rPr lang="en-US" sz="1000" b="0" i="0" u="none" strike="noStrike" baseline="0">
              <a:solidFill>
                <a:srgbClr val="000000"/>
              </a:solidFill>
              <a:latin typeface="Arialri"/>
              <a:cs typeface="Arial" pitchFamily="34" charset="0"/>
            </a:rPr>
            <a:pPr algn="r" rtl="0">
              <a:defRPr sz="1000"/>
            </a:pPr>
            <a:t>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6802438</xdr:colOff>
      <xdr:row>7</xdr:row>
      <xdr:rowOff>2324357</xdr:rowOff>
    </xdr:from>
    <xdr:to>
      <xdr:col>1</xdr:col>
      <xdr:colOff>7303337</xdr:colOff>
      <xdr:row>7</xdr:row>
      <xdr:rowOff>2533495</xdr:rowOff>
    </xdr:to>
    <xdr:sp macro="" textlink="'Variable Management'!B433">
      <xdr:nvSpPr>
        <xdr:cNvPr id="82" name="Text Box 267">
          <a:extLst>
            <a:ext uri="{FF2B5EF4-FFF2-40B4-BE49-F238E27FC236}">
              <a16:creationId xmlns:a16="http://schemas.microsoft.com/office/drawing/2014/main" id="{00000000-0008-0000-0400-000052000000}"/>
            </a:ext>
          </a:extLst>
        </xdr:cNvPr>
        <xdr:cNvSpPr txBox="1">
          <a:spLocks noChangeArrowheads="1" noTextEdit="1"/>
        </xdr:cNvSpPr>
      </xdr:nvSpPr>
      <xdr:spPr bwMode="auto">
        <a:xfrm>
          <a:off x="7507288" y="8553707"/>
          <a:ext cx="500899" cy="209138"/>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272µF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1750147</xdr:colOff>
      <xdr:row>7</xdr:row>
      <xdr:rowOff>4634800</xdr:rowOff>
    </xdr:from>
    <xdr:to>
      <xdr:col>1</xdr:col>
      <xdr:colOff>2273580</xdr:colOff>
      <xdr:row>7</xdr:row>
      <xdr:rowOff>4927889</xdr:rowOff>
    </xdr:to>
    <xdr:sp macro="" textlink="'Variable Management'!B451">
      <xdr:nvSpPr>
        <xdr:cNvPr id="83" name="Text Box 268">
          <a:extLst>
            <a:ext uri="{FF2B5EF4-FFF2-40B4-BE49-F238E27FC236}">
              <a16:creationId xmlns:a16="http://schemas.microsoft.com/office/drawing/2014/main" id="{00000000-0008-0000-0400-000053000000}"/>
            </a:ext>
          </a:extLst>
        </xdr:cNvPr>
        <xdr:cNvSpPr txBox="1">
          <a:spLocks noChangeArrowheads="1" noTextEdit="1"/>
        </xdr:cNvSpPr>
      </xdr:nvSpPr>
      <xdr:spPr bwMode="auto">
        <a:xfrm>
          <a:off x="2454997" y="10864150"/>
          <a:ext cx="523433"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100kΩ</a:t>
          </a:fld>
          <a:endParaRPr lang="el-GR"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7863577</xdr:colOff>
      <xdr:row>7</xdr:row>
      <xdr:rowOff>1180255</xdr:rowOff>
    </xdr:from>
    <xdr:to>
      <xdr:col>1</xdr:col>
      <xdr:colOff>8405722</xdr:colOff>
      <xdr:row>7</xdr:row>
      <xdr:rowOff>1385433</xdr:rowOff>
    </xdr:to>
    <xdr:sp macro="" textlink="'Variable Management'!B464">
      <xdr:nvSpPr>
        <xdr:cNvPr id="84" name="Text Box 274">
          <a:extLst>
            <a:ext uri="{FF2B5EF4-FFF2-40B4-BE49-F238E27FC236}">
              <a16:creationId xmlns:a16="http://schemas.microsoft.com/office/drawing/2014/main" id="{00000000-0008-0000-0400-000054000000}"/>
            </a:ext>
          </a:extLst>
        </xdr:cNvPr>
        <xdr:cNvSpPr txBox="1">
          <a:spLocks noChangeArrowheads="1" noTextEdit="1"/>
        </xdr:cNvSpPr>
      </xdr:nvSpPr>
      <xdr:spPr bwMode="auto">
        <a:xfrm>
          <a:off x="8568427" y="7409605"/>
          <a:ext cx="542145" cy="205178"/>
        </a:xfrm>
        <a:prstGeom prst="rect">
          <a:avLst/>
        </a:prstGeom>
        <a:noFill/>
        <a:ln w="9525">
          <a:noFill/>
          <a:miter lim="800000"/>
          <a:headEnd/>
          <a:tailEnd/>
        </a:ln>
      </xdr:spPr>
      <xdr:txBody>
        <a:bodyPr vertOverflow="clip" wrap="square" lIns="27432" tIns="22860" rIns="0" bIns="0" anchor="ctr" upright="1"/>
        <a:lstStyle/>
        <a:p>
          <a:pPr algn="ctr" rtl="0">
            <a:defRPr sz="1000"/>
          </a:pPr>
          <a:fld id="{14CFEDF3-9A5F-4A24-9D5F-304E5DC1B6C6}" type="TxLink">
            <a:rPr lang="en-US" sz="1000" b="0" i="0" u="none" strike="noStrike">
              <a:solidFill>
                <a:srgbClr val="000000"/>
              </a:solidFill>
              <a:latin typeface="Arialri"/>
              <a:cs typeface="Arial" pitchFamily="34" charset="0"/>
            </a:rPr>
            <a:pPr algn="ctr" rtl="0">
              <a:defRPr sz="1000"/>
            </a:pPr>
            <a:t>0mΩ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6539066</xdr:colOff>
      <xdr:row>7</xdr:row>
      <xdr:rowOff>1508922</xdr:rowOff>
    </xdr:from>
    <xdr:to>
      <xdr:col>1</xdr:col>
      <xdr:colOff>6987309</xdr:colOff>
      <xdr:row>7</xdr:row>
      <xdr:rowOff>1718015</xdr:rowOff>
    </xdr:to>
    <xdr:sp macro="" textlink="'Variable Management'!B426">
      <xdr:nvSpPr>
        <xdr:cNvPr id="85" name="Text Box 275">
          <a:extLst>
            <a:ext uri="{FF2B5EF4-FFF2-40B4-BE49-F238E27FC236}">
              <a16:creationId xmlns:a16="http://schemas.microsoft.com/office/drawing/2014/main" id="{00000000-0008-0000-0400-000055000000}"/>
            </a:ext>
          </a:extLst>
        </xdr:cNvPr>
        <xdr:cNvSpPr txBox="1">
          <a:spLocks noChangeArrowheads="1" noTextEdit="1"/>
        </xdr:cNvSpPr>
      </xdr:nvSpPr>
      <xdr:spPr bwMode="auto">
        <a:xfrm>
          <a:off x="7243916" y="7738272"/>
          <a:ext cx="448243"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4.7µH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6311714</xdr:colOff>
      <xdr:row>7</xdr:row>
      <xdr:rowOff>2310702</xdr:rowOff>
    </xdr:from>
    <xdr:to>
      <xdr:col>1</xdr:col>
      <xdr:colOff>6784061</xdr:colOff>
      <xdr:row>7</xdr:row>
      <xdr:rowOff>2534418</xdr:rowOff>
    </xdr:to>
    <xdr:sp macro="" textlink="'Variable Management'!B437">
      <xdr:nvSpPr>
        <xdr:cNvPr id="86" name="Text Box 276">
          <a:extLst>
            <a:ext uri="{FF2B5EF4-FFF2-40B4-BE49-F238E27FC236}">
              <a16:creationId xmlns:a16="http://schemas.microsoft.com/office/drawing/2014/main" id="{00000000-0008-0000-0400-000056000000}"/>
            </a:ext>
          </a:extLst>
        </xdr:cNvPr>
        <xdr:cNvSpPr txBox="1">
          <a:spLocks noChangeArrowheads="1" noTextEdit="1"/>
        </xdr:cNvSpPr>
      </xdr:nvSpPr>
      <xdr:spPr bwMode="auto">
        <a:xfrm>
          <a:off x="7016564" y="8540052"/>
          <a:ext cx="472347"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3505332</xdr:colOff>
      <xdr:row>7</xdr:row>
      <xdr:rowOff>155199</xdr:rowOff>
    </xdr:from>
    <xdr:to>
      <xdr:col>1</xdr:col>
      <xdr:colOff>3874809</xdr:colOff>
      <xdr:row>7</xdr:row>
      <xdr:rowOff>391314</xdr:rowOff>
    </xdr:to>
    <xdr:sp macro="" textlink="">
      <xdr:nvSpPr>
        <xdr:cNvPr id="87" name="Text Box 279">
          <a:extLst>
            <a:ext uri="{FF2B5EF4-FFF2-40B4-BE49-F238E27FC236}">
              <a16:creationId xmlns:a16="http://schemas.microsoft.com/office/drawing/2014/main" id="{00000000-0008-0000-0400-000057000000}"/>
            </a:ext>
          </a:extLst>
        </xdr:cNvPr>
        <xdr:cNvSpPr txBox="1">
          <a:spLocks noChangeArrowheads="1"/>
        </xdr:cNvSpPr>
      </xdr:nvSpPr>
      <xdr:spPr bwMode="auto">
        <a:xfrm>
          <a:off x="4210182" y="6384549"/>
          <a:ext cx="36947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1006694</xdr:colOff>
      <xdr:row>7</xdr:row>
      <xdr:rowOff>2959505</xdr:rowOff>
    </xdr:from>
    <xdr:to>
      <xdr:col>1</xdr:col>
      <xdr:colOff>1444337</xdr:colOff>
      <xdr:row>7</xdr:row>
      <xdr:rowOff>3194355</xdr:rowOff>
    </xdr:to>
    <xdr:sp macro="" textlink="'Variable Management'!B470">
      <xdr:nvSpPr>
        <xdr:cNvPr id="88" name="Text Box 281">
          <a:extLst>
            <a:ext uri="{FF2B5EF4-FFF2-40B4-BE49-F238E27FC236}">
              <a16:creationId xmlns:a16="http://schemas.microsoft.com/office/drawing/2014/main" id="{00000000-0008-0000-0400-000058000000}"/>
            </a:ext>
          </a:extLst>
        </xdr:cNvPr>
        <xdr:cNvSpPr txBox="1">
          <a:spLocks noChangeArrowheads="1" noTextEdit="1"/>
        </xdr:cNvSpPr>
      </xdr:nvSpPr>
      <xdr:spPr bwMode="auto">
        <a:xfrm>
          <a:off x="1711544" y="9188855"/>
          <a:ext cx="437643" cy="234850"/>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8287206</xdr:colOff>
      <xdr:row>7</xdr:row>
      <xdr:rowOff>986041</xdr:rowOff>
    </xdr:from>
    <xdr:to>
      <xdr:col>1</xdr:col>
      <xdr:colOff>8765869</xdr:colOff>
      <xdr:row>7</xdr:row>
      <xdr:rowOff>1230653</xdr:rowOff>
    </xdr:to>
    <xdr:sp macro="" textlink="'Variable Management'!B431">
      <xdr:nvSpPr>
        <xdr:cNvPr id="89" name="Text Box 285">
          <a:extLst>
            <a:ext uri="{FF2B5EF4-FFF2-40B4-BE49-F238E27FC236}">
              <a16:creationId xmlns:a16="http://schemas.microsoft.com/office/drawing/2014/main" id="{00000000-0008-0000-0400-000059000000}"/>
            </a:ext>
          </a:extLst>
        </xdr:cNvPr>
        <xdr:cNvSpPr txBox="1">
          <a:spLocks noChangeArrowheads="1" noTextEdit="1"/>
        </xdr:cNvSpPr>
      </xdr:nvSpPr>
      <xdr:spPr bwMode="auto">
        <a:xfrm>
          <a:off x="8992056" y="7215391"/>
          <a:ext cx="478663"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200" b="1" i="0" u="none" strike="noStrike" baseline="0">
              <a:solidFill>
                <a:srgbClr val="FF0000"/>
              </a:solidFill>
              <a:latin typeface="Arial" pitchFamily="34" charset="0"/>
              <a:cs typeface="Arial" pitchFamily="34" charset="0"/>
            </a:rPr>
            <a:pPr algn="r" rtl="0">
              <a:defRPr sz="1000"/>
            </a:pPr>
            <a:t>12V</a:t>
          </a:fld>
          <a:endParaRPr lang="en-US" sz="1200" b="1" i="0" u="none" strike="noStrike" baseline="0">
            <a:solidFill>
              <a:srgbClr val="FF0000"/>
            </a:solidFill>
            <a:latin typeface="Arial" pitchFamily="34" charset="0"/>
            <a:cs typeface="Arial" pitchFamily="34" charset="0"/>
          </a:endParaRPr>
        </a:p>
      </xdr:txBody>
    </xdr:sp>
    <xdr:clientData/>
  </xdr:twoCellAnchor>
  <xdr:twoCellAnchor editAs="absolute">
    <xdr:from>
      <xdr:col>1</xdr:col>
      <xdr:colOff>8272196</xdr:colOff>
      <xdr:row>7</xdr:row>
      <xdr:rowOff>1215042</xdr:rowOff>
    </xdr:from>
    <xdr:to>
      <xdr:col>1</xdr:col>
      <xdr:colOff>8725233</xdr:colOff>
      <xdr:row>7</xdr:row>
      <xdr:rowOff>1457596</xdr:rowOff>
    </xdr:to>
    <xdr:sp macro="" textlink="'Variable Management'!B473">
      <xdr:nvSpPr>
        <xdr:cNvPr id="90" name="Text Box 286">
          <a:extLst>
            <a:ext uri="{FF2B5EF4-FFF2-40B4-BE49-F238E27FC236}">
              <a16:creationId xmlns:a16="http://schemas.microsoft.com/office/drawing/2014/main" id="{00000000-0008-0000-0400-00005A000000}"/>
            </a:ext>
          </a:extLst>
        </xdr:cNvPr>
        <xdr:cNvSpPr txBox="1">
          <a:spLocks noChangeArrowheads="1" noTextEdit="1"/>
        </xdr:cNvSpPr>
      </xdr:nvSpPr>
      <xdr:spPr bwMode="auto">
        <a:xfrm>
          <a:off x="8977046" y="7444392"/>
          <a:ext cx="453037"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200" b="1" i="0" u="none" strike="noStrike">
              <a:solidFill>
                <a:srgbClr val="FF0000"/>
              </a:solidFill>
              <a:latin typeface="Arial" pitchFamily="34" charset="0"/>
              <a:cs typeface="Arial" pitchFamily="34" charset="0"/>
            </a:rPr>
            <a:pPr algn="r"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editAs="absolute">
    <xdr:from>
      <xdr:col>1</xdr:col>
      <xdr:colOff>339944</xdr:colOff>
      <xdr:row>7</xdr:row>
      <xdr:rowOff>1978754</xdr:rowOff>
    </xdr:from>
    <xdr:to>
      <xdr:col>1</xdr:col>
      <xdr:colOff>604552</xdr:colOff>
      <xdr:row>7</xdr:row>
      <xdr:rowOff>2170569</xdr:rowOff>
    </xdr:to>
    <xdr:sp macro="" textlink="">
      <xdr:nvSpPr>
        <xdr:cNvPr id="91" name="Text Box 251">
          <a:extLst>
            <a:ext uri="{FF2B5EF4-FFF2-40B4-BE49-F238E27FC236}">
              <a16:creationId xmlns:a16="http://schemas.microsoft.com/office/drawing/2014/main" id="{00000000-0008-0000-0400-00005B000000}"/>
            </a:ext>
          </a:extLst>
        </xdr:cNvPr>
        <xdr:cNvSpPr txBox="1">
          <a:spLocks noChangeArrowheads="1"/>
        </xdr:cNvSpPr>
      </xdr:nvSpPr>
      <xdr:spPr bwMode="auto">
        <a:xfrm>
          <a:off x="1044794" y="8208104"/>
          <a:ext cx="264608"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xdr:col>
      <xdr:colOff>2952085</xdr:colOff>
      <xdr:row>7</xdr:row>
      <xdr:rowOff>151110</xdr:rowOff>
    </xdr:from>
    <xdr:to>
      <xdr:col>1</xdr:col>
      <xdr:colOff>3413563</xdr:colOff>
      <xdr:row>7</xdr:row>
      <xdr:rowOff>375118</xdr:rowOff>
    </xdr:to>
    <xdr:sp macro="" textlink="">
      <xdr:nvSpPr>
        <xdr:cNvPr id="92" name="Text Box 247">
          <a:extLst>
            <a:ext uri="{FF2B5EF4-FFF2-40B4-BE49-F238E27FC236}">
              <a16:creationId xmlns:a16="http://schemas.microsoft.com/office/drawing/2014/main" id="{00000000-0008-0000-0400-00005C000000}"/>
            </a:ext>
          </a:extLst>
        </xdr:cNvPr>
        <xdr:cNvSpPr txBox="1">
          <a:spLocks noChangeArrowheads="1"/>
        </xdr:cNvSpPr>
      </xdr:nvSpPr>
      <xdr:spPr bwMode="auto">
        <a:xfrm>
          <a:off x="3656935" y="6380460"/>
          <a:ext cx="461478" cy="22400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xdr:col>
      <xdr:colOff>5943177</xdr:colOff>
      <xdr:row>7</xdr:row>
      <xdr:rowOff>2266758</xdr:rowOff>
    </xdr:from>
    <xdr:to>
      <xdr:col>1</xdr:col>
      <xdr:colOff>6265561</xdr:colOff>
      <xdr:row>7</xdr:row>
      <xdr:rowOff>2512008</xdr:rowOff>
    </xdr:to>
    <xdr:sp macro="" textlink="">
      <xdr:nvSpPr>
        <xdr:cNvPr id="93" name="Text Box 244">
          <a:extLst>
            <a:ext uri="{FF2B5EF4-FFF2-40B4-BE49-F238E27FC236}">
              <a16:creationId xmlns:a16="http://schemas.microsoft.com/office/drawing/2014/main" id="{00000000-0008-0000-0400-00005D000000}"/>
            </a:ext>
          </a:extLst>
        </xdr:cNvPr>
        <xdr:cNvSpPr txBox="1">
          <a:spLocks noChangeArrowheads="1"/>
        </xdr:cNvSpPr>
      </xdr:nvSpPr>
      <xdr:spPr bwMode="auto">
        <a:xfrm>
          <a:off x="6648027" y="8496108"/>
          <a:ext cx="322384" cy="24525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xdr:col>
      <xdr:colOff>5944154</xdr:colOff>
      <xdr:row>7</xdr:row>
      <xdr:rowOff>1390774</xdr:rowOff>
    </xdr:from>
    <xdr:to>
      <xdr:col>1</xdr:col>
      <xdr:colOff>6266538</xdr:colOff>
      <xdr:row>7</xdr:row>
      <xdr:rowOff>1656965</xdr:rowOff>
    </xdr:to>
    <xdr:sp macro="" textlink="">
      <xdr:nvSpPr>
        <xdr:cNvPr id="94" name="Text Box 244">
          <a:extLst>
            <a:ext uri="{FF2B5EF4-FFF2-40B4-BE49-F238E27FC236}">
              <a16:creationId xmlns:a16="http://schemas.microsoft.com/office/drawing/2014/main" id="{00000000-0008-0000-0400-00005E000000}"/>
            </a:ext>
          </a:extLst>
        </xdr:cNvPr>
        <xdr:cNvSpPr txBox="1">
          <a:spLocks noChangeArrowheads="1"/>
        </xdr:cNvSpPr>
      </xdr:nvSpPr>
      <xdr:spPr bwMode="auto">
        <a:xfrm>
          <a:off x="6649004" y="7620124"/>
          <a:ext cx="322384" cy="2661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6867893</xdr:colOff>
      <xdr:row>7</xdr:row>
      <xdr:rowOff>3150337</xdr:rowOff>
    </xdr:from>
    <xdr:to>
      <xdr:col>1</xdr:col>
      <xdr:colOff>7347524</xdr:colOff>
      <xdr:row>7</xdr:row>
      <xdr:rowOff>3421399</xdr:rowOff>
    </xdr:to>
    <xdr:sp macro="" textlink="'Variable Management'!B428">
      <xdr:nvSpPr>
        <xdr:cNvPr id="95" name="Text Box 275">
          <a:extLst>
            <a:ext uri="{FF2B5EF4-FFF2-40B4-BE49-F238E27FC236}">
              <a16:creationId xmlns:a16="http://schemas.microsoft.com/office/drawing/2014/main" id="{00000000-0008-0000-0400-00005F000000}"/>
            </a:ext>
          </a:extLst>
        </xdr:cNvPr>
        <xdr:cNvSpPr txBox="1">
          <a:spLocks noChangeArrowheads="1" noTextEdit="1"/>
        </xdr:cNvSpPr>
      </xdr:nvSpPr>
      <xdr:spPr bwMode="auto">
        <a:xfrm>
          <a:off x="7572743" y="9379687"/>
          <a:ext cx="479631" cy="271062"/>
        </a:xfrm>
        <a:prstGeom prst="rect">
          <a:avLst/>
        </a:prstGeom>
        <a:noFill/>
        <a:ln w="9525">
          <a:noFill/>
          <a:miter lim="800000"/>
          <a:headEnd/>
          <a:tailEnd/>
        </a:ln>
      </xdr:spPr>
      <xdr:txBody>
        <a:bodyPr vertOverflow="clip" wrap="square" lIns="27432" tIns="22860" rIns="0" bIns="0" anchor="ctr" upright="1"/>
        <a:lstStyle/>
        <a:p>
          <a:pPr algn="l" rtl="0">
            <a:defRPr sz="1000"/>
          </a:pPr>
          <a:fld id="{952677B8-8C18-463F-B0C9-D2099A1EBA1B}" type="TxLink">
            <a:rPr lang="en-US" sz="1000" b="0" i="0" u="none" strike="noStrike" baseline="0">
              <a:solidFill>
                <a:srgbClr val="000000"/>
              </a:solidFill>
              <a:latin typeface="Arialri"/>
              <a:cs typeface="Arial" pitchFamily="34" charset="0"/>
            </a:rPr>
            <a:pPr algn="l" rtl="0">
              <a:defRPr sz="1000"/>
            </a:pPr>
            <a:t>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254219</xdr:colOff>
      <xdr:row>7</xdr:row>
      <xdr:rowOff>2380749</xdr:rowOff>
    </xdr:from>
    <xdr:to>
      <xdr:col>1</xdr:col>
      <xdr:colOff>687280</xdr:colOff>
      <xdr:row>7</xdr:row>
      <xdr:rowOff>2617060</xdr:rowOff>
    </xdr:to>
    <xdr:sp macro="" textlink="">
      <xdr:nvSpPr>
        <xdr:cNvPr id="96" name="Text Box 251">
          <a:extLst>
            <a:ext uri="{FF2B5EF4-FFF2-40B4-BE49-F238E27FC236}">
              <a16:creationId xmlns:a16="http://schemas.microsoft.com/office/drawing/2014/main" id="{00000000-0008-0000-0400-000060000000}"/>
            </a:ext>
          </a:extLst>
        </xdr:cNvPr>
        <xdr:cNvSpPr txBox="1">
          <a:spLocks noChangeArrowheads="1"/>
        </xdr:cNvSpPr>
      </xdr:nvSpPr>
      <xdr:spPr bwMode="auto">
        <a:xfrm>
          <a:off x="959069" y="8610099"/>
          <a:ext cx="433061" cy="236311"/>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SLOPE</a:t>
          </a:r>
        </a:p>
      </xdr:txBody>
    </xdr:sp>
    <xdr:clientData/>
  </xdr:twoCellAnchor>
  <xdr:twoCellAnchor editAs="absolute">
    <xdr:from>
      <xdr:col>1</xdr:col>
      <xdr:colOff>5510442</xdr:colOff>
      <xdr:row>7</xdr:row>
      <xdr:rowOff>3222811</xdr:rowOff>
    </xdr:from>
    <xdr:to>
      <xdr:col>1</xdr:col>
      <xdr:colOff>5917925</xdr:colOff>
      <xdr:row>7</xdr:row>
      <xdr:rowOff>3467178</xdr:rowOff>
    </xdr:to>
    <xdr:sp macro="" textlink="">
      <xdr:nvSpPr>
        <xdr:cNvPr id="97" name="Text Box 248">
          <a:extLst>
            <a:ext uri="{FF2B5EF4-FFF2-40B4-BE49-F238E27FC236}">
              <a16:creationId xmlns:a16="http://schemas.microsoft.com/office/drawing/2014/main" id="{00000000-0008-0000-0400-000061000000}"/>
            </a:ext>
          </a:extLst>
        </xdr:cNvPr>
        <xdr:cNvSpPr txBox="1">
          <a:spLocks noChangeArrowheads="1"/>
        </xdr:cNvSpPr>
      </xdr:nvSpPr>
      <xdr:spPr bwMode="auto">
        <a:xfrm>
          <a:off x="6215292" y="9452161"/>
          <a:ext cx="407483" cy="24436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4880097</xdr:colOff>
      <xdr:row>7</xdr:row>
      <xdr:rowOff>3625880</xdr:rowOff>
    </xdr:from>
    <xdr:to>
      <xdr:col>1</xdr:col>
      <xdr:colOff>5341575</xdr:colOff>
      <xdr:row>7</xdr:row>
      <xdr:rowOff>3876702</xdr:rowOff>
    </xdr:to>
    <xdr:sp macro="" textlink="">
      <xdr:nvSpPr>
        <xdr:cNvPr id="98" name="Text Box 247">
          <a:extLst>
            <a:ext uri="{FF2B5EF4-FFF2-40B4-BE49-F238E27FC236}">
              <a16:creationId xmlns:a16="http://schemas.microsoft.com/office/drawing/2014/main" id="{00000000-0008-0000-0400-000062000000}"/>
            </a:ext>
          </a:extLst>
        </xdr:cNvPr>
        <xdr:cNvSpPr txBox="1">
          <a:spLocks noChangeArrowheads="1"/>
        </xdr:cNvSpPr>
      </xdr:nvSpPr>
      <xdr:spPr bwMode="auto">
        <a:xfrm>
          <a:off x="5584947" y="9855230"/>
          <a:ext cx="461478" cy="2508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4940561</xdr:colOff>
      <xdr:row>7</xdr:row>
      <xdr:rowOff>3837855</xdr:rowOff>
    </xdr:from>
    <xdr:to>
      <xdr:col>1</xdr:col>
      <xdr:colOff>5310038</xdr:colOff>
      <xdr:row>7</xdr:row>
      <xdr:rowOff>4065180</xdr:rowOff>
    </xdr:to>
    <xdr:sp macro="" textlink="">
      <xdr:nvSpPr>
        <xdr:cNvPr id="99" name="Text Box 279">
          <a:extLst>
            <a:ext uri="{FF2B5EF4-FFF2-40B4-BE49-F238E27FC236}">
              <a16:creationId xmlns:a16="http://schemas.microsoft.com/office/drawing/2014/main" id="{00000000-0008-0000-0400-000063000000}"/>
            </a:ext>
          </a:extLst>
        </xdr:cNvPr>
        <xdr:cNvSpPr txBox="1">
          <a:spLocks noChangeArrowheads="1"/>
        </xdr:cNvSpPr>
      </xdr:nvSpPr>
      <xdr:spPr bwMode="auto">
        <a:xfrm>
          <a:off x="5645411" y="10067205"/>
          <a:ext cx="369477" cy="22732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5094928</xdr:colOff>
      <xdr:row>7</xdr:row>
      <xdr:rowOff>2386949</xdr:rowOff>
    </xdr:from>
    <xdr:to>
      <xdr:col>1</xdr:col>
      <xdr:colOff>5365431</xdr:colOff>
      <xdr:row>7</xdr:row>
      <xdr:rowOff>2623978</xdr:rowOff>
    </xdr:to>
    <xdr:sp macro="" textlink="">
      <xdr:nvSpPr>
        <xdr:cNvPr id="100" name="Text Box 279">
          <a:extLst>
            <a:ext uri="{FF2B5EF4-FFF2-40B4-BE49-F238E27FC236}">
              <a16:creationId xmlns:a16="http://schemas.microsoft.com/office/drawing/2014/main" id="{00000000-0008-0000-0400-000064000000}"/>
            </a:ext>
          </a:extLst>
        </xdr:cNvPr>
        <xdr:cNvSpPr txBox="1">
          <a:spLocks noChangeArrowheads="1"/>
        </xdr:cNvSpPr>
      </xdr:nvSpPr>
      <xdr:spPr bwMode="auto">
        <a:xfrm>
          <a:off x="5799778" y="8616299"/>
          <a:ext cx="27050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2444899</xdr:colOff>
      <xdr:row>7</xdr:row>
      <xdr:rowOff>47625</xdr:rowOff>
    </xdr:from>
    <xdr:to>
      <xdr:col>1</xdr:col>
      <xdr:colOff>2821188</xdr:colOff>
      <xdr:row>7</xdr:row>
      <xdr:rowOff>283294</xdr:rowOff>
    </xdr:to>
    <xdr:sp macro="" textlink="">
      <xdr:nvSpPr>
        <xdr:cNvPr id="101" name="Text Box 279">
          <a:extLst>
            <a:ext uri="{FF2B5EF4-FFF2-40B4-BE49-F238E27FC236}">
              <a16:creationId xmlns:a16="http://schemas.microsoft.com/office/drawing/2014/main" id="{00000000-0008-0000-0400-000065000000}"/>
            </a:ext>
          </a:extLst>
        </xdr:cNvPr>
        <xdr:cNvSpPr txBox="1">
          <a:spLocks noChangeArrowheads="1"/>
        </xdr:cNvSpPr>
      </xdr:nvSpPr>
      <xdr:spPr bwMode="auto">
        <a:xfrm>
          <a:off x="3149749" y="6276975"/>
          <a:ext cx="376289" cy="23566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2144579</xdr:colOff>
      <xdr:row>7</xdr:row>
      <xdr:rowOff>488027</xdr:rowOff>
    </xdr:from>
    <xdr:to>
      <xdr:col>1</xdr:col>
      <xdr:colOff>2471641</xdr:colOff>
      <xdr:row>7</xdr:row>
      <xdr:rowOff>715157</xdr:rowOff>
    </xdr:to>
    <xdr:sp macro="" textlink="">
      <xdr:nvSpPr>
        <xdr:cNvPr id="102" name="Text Box 245">
          <a:extLst>
            <a:ext uri="{FF2B5EF4-FFF2-40B4-BE49-F238E27FC236}">
              <a16:creationId xmlns:a16="http://schemas.microsoft.com/office/drawing/2014/main" id="{00000000-0008-0000-0400-000066000000}"/>
            </a:ext>
          </a:extLst>
        </xdr:cNvPr>
        <xdr:cNvSpPr txBox="1">
          <a:spLocks noChangeArrowheads="1"/>
        </xdr:cNvSpPr>
      </xdr:nvSpPr>
      <xdr:spPr bwMode="auto">
        <a:xfrm>
          <a:off x="2849429" y="6717377"/>
          <a:ext cx="327062" cy="22713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2451906</xdr:colOff>
      <xdr:row>7</xdr:row>
      <xdr:rowOff>508323</xdr:rowOff>
    </xdr:from>
    <xdr:to>
      <xdr:col>1</xdr:col>
      <xdr:colOff>2822138</xdr:colOff>
      <xdr:row>7</xdr:row>
      <xdr:rowOff>732466</xdr:rowOff>
    </xdr:to>
    <xdr:sp macro="" textlink="">
      <xdr:nvSpPr>
        <xdr:cNvPr id="103" name="Text Box 277">
          <a:extLst>
            <a:ext uri="{FF2B5EF4-FFF2-40B4-BE49-F238E27FC236}">
              <a16:creationId xmlns:a16="http://schemas.microsoft.com/office/drawing/2014/main" id="{00000000-0008-0000-0400-000067000000}"/>
            </a:ext>
          </a:extLst>
        </xdr:cNvPr>
        <xdr:cNvSpPr txBox="1">
          <a:spLocks noChangeArrowheads="1"/>
        </xdr:cNvSpPr>
      </xdr:nvSpPr>
      <xdr:spPr bwMode="auto">
        <a:xfrm>
          <a:off x="3156756" y="6737673"/>
          <a:ext cx="370232" cy="224143"/>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strike="noStrike">
              <a:solidFill>
                <a:srgbClr val="000000"/>
              </a:solidFill>
              <a:latin typeface="Arial" pitchFamily="34" charset="0"/>
              <a:cs typeface="Arial" pitchFamily="34" charset="0"/>
            </a:rPr>
            <a:t>2Ω</a:t>
          </a:r>
        </a:p>
      </xdr:txBody>
    </xdr:sp>
    <xdr:clientData/>
  </xdr:twoCellAnchor>
  <xdr:twoCellAnchor editAs="absolute">
    <xdr:from>
      <xdr:col>1</xdr:col>
      <xdr:colOff>4627899</xdr:colOff>
      <xdr:row>7</xdr:row>
      <xdr:rowOff>4767713</xdr:rowOff>
    </xdr:from>
    <xdr:to>
      <xdr:col>1</xdr:col>
      <xdr:colOff>4940204</xdr:colOff>
      <xdr:row>8</xdr:row>
      <xdr:rowOff>1691</xdr:rowOff>
    </xdr:to>
    <xdr:sp macro="" textlink="">
      <xdr:nvSpPr>
        <xdr:cNvPr id="104" name="Text Box 250">
          <a:extLst>
            <a:ext uri="{FF2B5EF4-FFF2-40B4-BE49-F238E27FC236}">
              <a16:creationId xmlns:a16="http://schemas.microsoft.com/office/drawing/2014/main" id="{00000000-0008-0000-0400-000068000000}"/>
            </a:ext>
          </a:extLst>
        </xdr:cNvPr>
        <xdr:cNvSpPr txBox="1">
          <a:spLocks noChangeArrowheads="1"/>
        </xdr:cNvSpPr>
      </xdr:nvSpPr>
      <xdr:spPr bwMode="auto">
        <a:xfrm>
          <a:off x="5332749" y="10997063"/>
          <a:ext cx="312305" cy="22507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CS2</a:t>
          </a:r>
        </a:p>
        <a:p>
          <a:pPr algn="l" rtl="0">
            <a:defRPr sz="1000"/>
          </a:pPr>
          <a:r>
            <a:rPr lang="en-US" sz="1000" b="0" i="0" strike="noStrike" baseline="-25000">
              <a:solidFill>
                <a:srgbClr val="000000"/>
              </a:solidFill>
              <a:latin typeface="Arial" pitchFamily="34" charset="0"/>
              <a:cs typeface="Arial" pitchFamily="34" charset="0"/>
            </a:rPr>
            <a:t>ood</a:t>
          </a:r>
        </a:p>
      </xdr:txBody>
    </xdr:sp>
    <xdr:clientData/>
  </xdr:twoCellAnchor>
  <xdr:twoCellAnchor editAs="absolute">
    <xdr:from>
      <xdr:col>1</xdr:col>
      <xdr:colOff>2028048</xdr:colOff>
      <xdr:row>7</xdr:row>
      <xdr:rowOff>61062</xdr:rowOff>
    </xdr:from>
    <xdr:to>
      <xdr:col>1</xdr:col>
      <xdr:colOff>2352330</xdr:colOff>
      <xdr:row>7</xdr:row>
      <xdr:rowOff>279753</xdr:rowOff>
    </xdr:to>
    <xdr:sp macro="" textlink="">
      <xdr:nvSpPr>
        <xdr:cNvPr id="105" name="Text Box 245">
          <a:extLst>
            <a:ext uri="{FF2B5EF4-FFF2-40B4-BE49-F238E27FC236}">
              <a16:creationId xmlns:a16="http://schemas.microsoft.com/office/drawing/2014/main" id="{00000000-0008-0000-0400-000069000000}"/>
            </a:ext>
          </a:extLst>
        </xdr:cNvPr>
        <xdr:cNvSpPr txBox="1">
          <a:spLocks noChangeArrowheads="1"/>
        </xdr:cNvSpPr>
      </xdr:nvSpPr>
      <xdr:spPr bwMode="auto">
        <a:xfrm>
          <a:off x="2732898" y="6290412"/>
          <a:ext cx="324282" cy="2186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7319710</xdr:colOff>
      <xdr:row>7</xdr:row>
      <xdr:rowOff>2263019</xdr:rowOff>
    </xdr:from>
    <xdr:to>
      <xdr:col>1</xdr:col>
      <xdr:colOff>7598272</xdr:colOff>
      <xdr:row>7</xdr:row>
      <xdr:rowOff>2553389</xdr:rowOff>
    </xdr:to>
    <xdr:sp macro="" textlink="">
      <xdr:nvSpPr>
        <xdr:cNvPr id="106" name="Text Box 244">
          <a:extLst>
            <a:ext uri="{FF2B5EF4-FFF2-40B4-BE49-F238E27FC236}">
              <a16:creationId xmlns:a16="http://schemas.microsoft.com/office/drawing/2014/main" id="{00000000-0008-0000-0400-00006A000000}"/>
            </a:ext>
          </a:extLst>
        </xdr:cNvPr>
        <xdr:cNvSpPr txBox="1">
          <a:spLocks noChangeArrowheads="1"/>
        </xdr:cNvSpPr>
      </xdr:nvSpPr>
      <xdr:spPr bwMode="auto">
        <a:xfrm>
          <a:off x="8024560" y="8492369"/>
          <a:ext cx="278562" cy="29037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xdr:col>
      <xdr:colOff>7311161</xdr:colOff>
      <xdr:row>7</xdr:row>
      <xdr:rowOff>1389309</xdr:rowOff>
    </xdr:from>
    <xdr:to>
      <xdr:col>1</xdr:col>
      <xdr:colOff>7590944</xdr:colOff>
      <xdr:row>7</xdr:row>
      <xdr:rowOff>1653226</xdr:rowOff>
    </xdr:to>
    <xdr:sp macro="" textlink="">
      <xdr:nvSpPr>
        <xdr:cNvPr id="107" name="Text Box 244">
          <a:extLst>
            <a:ext uri="{FF2B5EF4-FFF2-40B4-BE49-F238E27FC236}">
              <a16:creationId xmlns:a16="http://schemas.microsoft.com/office/drawing/2014/main" id="{00000000-0008-0000-0400-00006B000000}"/>
            </a:ext>
          </a:extLst>
        </xdr:cNvPr>
        <xdr:cNvSpPr txBox="1">
          <a:spLocks noChangeArrowheads="1"/>
        </xdr:cNvSpPr>
      </xdr:nvSpPr>
      <xdr:spPr bwMode="auto">
        <a:xfrm>
          <a:off x="8016011" y="7618659"/>
          <a:ext cx="279783" cy="263917"/>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xdr:col>
      <xdr:colOff>663203</xdr:colOff>
      <xdr:row>7</xdr:row>
      <xdr:rowOff>3831246</xdr:rowOff>
    </xdr:from>
    <xdr:to>
      <xdr:col>1</xdr:col>
      <xdr:colOff>1167405</xdr:colOff>
      <xdr:row>7</xdr:row>
      <xdr:rowOff>4074649</xdr:rowOff>
    </xdr:to>
    <xdr:sp macro="" textlink="'Variable Management'!B442">
      <xdr:nvSpPr>
        <xdr:cNvPr id="108" name="Text Box 261">
          <a:extLst>
            <a:ext uri="{FF2B5EF4-FFF2-40B4-BE49-F238E27FC236}">
              <a16:creationId xmlns:a16="http://schemas.microsoft.com/office/drawing/2014/main" id="{00000000-0008-0000-0400-00006C000000}"/>
            </a:ext>
          </a:extLst>
        </xdr:cNvPr>
        <xdr:cNvSpPr txBox="1">
          <a:spLocks noChangeArrowheads="1" noTextEdit="1"/>
        </xdr:cNvSpPr>
      </xdr:nvSpPr>
      <xdr:spPr bwMode="auto">
        <a:xfrm>
          <a:off x="1368053" y="10060596"/>
          <a:ext cx="504202" cy="243403"/>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1000" b="0" i="0" u="none" strike="noStrike" baseline="0">
              <a:solidFill>
                <a:srgbClr val="000000"/>
              </a:solidFill>
              <a:latin typeface="Arialri"/>
              <a:cs typeface="Arial" pitchFamily="34" charset="0"/>
            </a:rPr>
            <a:pPr algn="r" rtl="0">
              <a:defRPr sz="1000"/>
            </a:pPr>
            <a:t>2.7nF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4854635</xdr:colOff>
      <xdr:row>7</xdr:row>
      <xdr:rowOff>4489457</xdr:rowOff>
    </xdr:from>
    <xdr:to>
      <xdr:col>1</xdr:col>
      <xdr:colOff>5248259</xdr:colOff>
      <xdr:row>7</xdr:row>
      <xdr:rowOff>4722477</xdr:rowOff>
    </xdr:to>
    <xdr:sp macro="" textlink="'Variable Management'!B467">
      <xdr:nvSpPr>
        <xdr:cNvPr id="109" name="Text Box 270">
          <a:extLst>
            <a:ext uri="{FF2B5EF4-FFF2-40B4-BE49-F238E27FC236}">
              <a16:creationId xmlns:a16="http://schemas.microsoft.com/office/drawing/2014/main" id="{00000000-0008-0000-0400-00006D000000}"/>
            </a:ext>
          </a:extLst>
        </xdr:cNvPr>
        <xdr:cNvSpPr txBox="1">
          <a:spLocks noChangeArrowheads="1" noTextEdit="1"/>
        </xdr:cNvSpPr>
      </xdr:nvSpPr>
      <xdr:spPr bwMode="auto">
        <a:xfrm>
          <a:off x="5559485" y="10718807"/>
          <a:ext cx="393624" cy="233020"/>
        </a:xfrm>
        <a:prstGeom prst="rect">
          <a:avLst/>
        </a:prstGeom>
        <a:noFill/>
        <a:ln w="9525">
          <a:noFill/>
          <a:miter lim="800000"/>
          <a:headEnd/>
          <a:tailEnd/>
        </a:ln>
      </xdr:spPr>
      <xdr:txBody>
        <a:bodyPr vertOverflow="clip" wrap="square" lIns="27432" tIns="22860" rIns="0" bIns="0" anchor="ctr" upright="1"/>
        <a:lstStyle/>
        <a:p>
          <a:pPr algn="l" rtl="0">
            <a:defRPr sz="1000"/>
          </a:pPr>
          <a:fld id="{62E2AFC2-CB14-431A-99E1-2EF4D5A6CD34}" type="TxLink">
            <a:rPr lang="en-US" sz="1000" b="0" i="0" u="none" strike="noStrike" baseline="0">
              <a:solidFill>
                <a:srgbClr val="000000"/>
              </a:solidFill>
              <a:latin typeface="Arialri"/>
              <a:cs typeface="Arial" pitchFamily="34" charset="0"/>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1654331</xdr:colOff>
      <xdr:row>7</xdr:row>
      <xdr:rowOff>430264</xdr:rowOff>
    </xdr:from>
    <xdr:to>
      <xdr:col>1</xdr:col>
      <xdr:colOff>2003826</xdr:colOff>
      <xdr:row>7</xdr:row>
      <xdr:rowOff>671909</xdr:rowOff>
    </xdr:to>
    <xdr:sp macro="" textlink="">
      <xdr:nvSpPr>
        <xdr:cNvPr id="110" name="Text Box 248">
          <a:extLst>
            <a:ext uri="{FF2B5EF4-FFF2-40B4-BE49-F238E27FC236}">
              <a16:creationId xmlns:a16="http://schemas.microsoft.com/office/drawing/2014/main" id="{00000000-0008-0000-0400-00006E000000}"/>
            </a:ext>
          </a:extLst>
        </xdr:cNvPr>
        <xdr:cNvSpPr txBox="1">
          <a:spLocks noChangeArrowheads="1"/>
        </xdr:cNvSpPr>
      </xdr:nvSpPr>
      <xdr:spPr bwMode="auto">
        <a:xfrm>
          <a:off x="2359181" y="6659614"/>
          <a:ext cx="349495" cy="24164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6290995</xdr:colOff>
      <xdr:row>7</xdr:row>
      <xdr:rowOff>1006446</xdr:rowOff>
    </xdr:from>
    <xdr:to>
      <xdr:col>1</xdr:col>
      <xdr:colOff>7281596</xdr:colOff>
      <xdr:row>7</xdr:row>
      <xdr:rowOff>1266695</xdr:rowOff>
    </xdr:to>
    <xdr:sp macro="" textlink="'Variable Management'!B475">
      <xdr:nvSpPr>
        <xdr:cNvPr id="111" name="Text Box 283">
          <a:extLst>
            <a:ext uri="{FF2B5EF4-FFF2-40B4-BE49-F238E27FC236}">
              <a16:creationId xmlns:a16="http://schemas.microsoft.com/office/drawing/2014/main" id="{00000000-0008-0000-0400-00006F000000}"/>
            </a:ext>
          </a:extLst>
        </xdr:cNvPr>
        <xdr:cNvSpPr txBox="1">
          <a:spLocks noChangeArrowheads="1" noTextEdit="1"/>
        </xdr:cNvSpPr>
      </xdr:nvSpPr>
      <xdr:spPr bwMode="auto">
        <a:xfrm>
          <a:off x="6995845" y="7235796"/>
          <a:ext cx="990601" cy="26024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200" b="1" i="0" u="none" strike="noStrike">
              <a:solidFill>
                <a:srgbClr val="FF0000"/>
              </a:solidFill>
              <a:latin typeface="Arial"/>
              <a:cs typeface="Arial"/>
            </a:rPr>
            <a:pPr algn="l" rtl="0">
              <a:defRPr sz="1000"/>
            </a:pPr>
            <a:t>5V...24V</a:t>
          </a:fld>
          <a:endParaRPr lang="en-US" sz="1200" b="1" i="0" strike="noStrike">
            <a:solidFill>
              <a:srgbClr val="FF0000"/>
            </a:solidFill>
            <a:latin typeface="Arial" pitchFamily="34" charset="0"/>
            <a:cs typeface="Arial" pitchFamily="34" charset="0"/>
          </a:endParaRPr>
        </a:p>
      </xdr:txBody>
    </xdr:sp>
    <xdr:clientData/>
  </xdr:twoCellAnchor>
  <xdr:twoCellAnchor editAs="absolute">
    <xdr:from>
      <xdr:col>1</xdr:col>
      <xdr:colOff>713956</xdr:colOff>
      <xdr:row>7</xdr:row>
      <xdr:rowOff>1516768</xdr:rowOff>
    </xdr:from>
    <xdr:to>
      <xdr:col>1</xdr:col>
      <xdr:colOff>1196832</xdr:colOff>
      <xdr:row>7</xdr:row>
      <xdr:rowOff>1701897</xdr:rowOff>
    </xdr:to>
    <xdr:sp macro="" textlink="'Variable Management'!C450">
      <xdr:nvSpPr>
        <xdr:cNvPr id="112" name="Text Box 266">
          <a:extLst>
            <a:ext uri="{FF2B5EF4-FFF2-40B4-BE49-F238E27FC236}">
              <a16:creationId xmlns:a16="http://schemas.microsoft.com/office/drawing/2014/main" id="{00000000-0008-0000-0400-000070000000}"/>
            </a:ext>
          </a:extLst>
        </xdr:cNvPr>
        <xdr:cNvSpPr txBox="1">
          <a:spLocks noChangeArrowheads="1" noTextEdit="1"/>
        </xdr:cNvSpPr>
      </xdr:nvSpPr>
      <xdr:spPr bwMode="auto">
        <a:xfrm>
          <a:off x="1418806" y="7746118"/>
          <a:ext cx="482876" cy="185129"/>
        </a:xfrm>
        <a:prstGeom prst="rect">
          <a:avLst/>
        </a:prstGeom>
        <a:noFill/>
        <a:ln w="9525">
          <a:noFill/>
          <a:miter lim="800000"/>
          <a:headEnd/>
          <a:tailEnd/>
        </a:ln>
      </xdr:spPr>
      <xdr:txBody>
        <a:bodyPr vertOverflow="clip" wrap="square" lIns="27432" tIns="22860" rIns="0" bIns="0" anchor="t" upright="1"/>
        <a:lstStyle/>
        <a:p>
          <a:pPr algn="ctr" rtl="0">
            <a:defRPr sz="1000"/>
          </a:pPr>
          <a:fld id="{DF2A2C16-623E-4E51-B82E-2B3F1562B3CF}" type="TxLink">
            <a:rPr lang="en-US" sz="1000" b="0" i="0" u="none" strike="noStrike" baseline="0">
              <a:solidFill>
                <a:srgbClr val="000000"/>
              </a:solidFill>
              <a:latin typeface="Arial"/>
              <a:cs typeface="Arial"/>
            </a:rPr>
            <a:pPr algn="ctr" rtl="0">
              <a:defRPr sz="1000"/>
            </a:pPr>
            <a:t>Cd</a:t>
          </a:fld>
          <a:endParaRPr lang="en-US" sz="1000" b="0" i="0" u="none" strike="noStrike" baseline="0">
            <a:solidFill>
              <a:srgbClr val="000000"/>
            </a:solidFill>
            <a:latin typeface="Arial" pitchFamily="34" charset="0"/>
            <a:cs typeface="Arial"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428625</xdr:colOff>
      <xdr:row>4</xdr:row>
      <xdr:rowOff>1009650</xdr:rowOff>
    </xdr:from>
    <xdr:to>
      <xdr:col>5</xdr:col>
      <xdr:colOff>240968</xdr:colOff>
      <xdr:row>4</xdr:row>
      <xdr:rowOff>1238250</xdr:rowOff>
    </xdr:to>
    <xdr:sp macro="" textlink="'Variable Management'!$B$457">
      <xdr:nvSpPr>
        <xdr:cNvPr id="5" name="Text Box 24">
          <a:extLst>
            <a:ext uri="{FF2B5EF4-FFF2-40B4-BE49-F238E27FC236}">
              <a16:creationId xmlns:a16="http://schemas.microsoft.com/office/drawing/2014/main" id="{00000000-0008-0000-0500-000005000000}"/>
            </a:ext>
          </a:extLst>
        </xdr:cNvPr>
        <xdr:cNvSpPr txBox="1">
          <a:spLocks noChangeArrowheads="1" noTextEdit="1"/>
        </xdr:cNvSpPr>
      </xdr:nvSpPr>
      <xdr:spPr bwMode="auto">
        <a:xfrm>
          <a:off x="10753725" y="16573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97.9%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3</xdr:col>
      <xdr:colOff>419100</xdr:colOff>
      <xdr:row>4</xdr:row>
      <xdr:rowOff>1000125</xdr:rowOff>
    </xdr:from>
    <xdr:to>
      <xdr:col>4</xdr:col>
      <xdr:colOff>231443</xdr:colOff>
      <xdr:row>4</xdr:row>
      <xdr:rowOff>1228725</xdr:rowOff>
    </xdr:to>
    <xdr:sp macro="" textlink="'Variable Management'!$B$458">
      <xdr:nvSpPr>
        <xdr:cNvPr id="7" name="Text Box 24">
          <a:extLst>
            <a:ext uri="{FF2B5EF4-FFF2-40B4-BE49-F238E27FC236}">
              <a16:creationId xmlns:a16="http://schemas.microsoft.com/office/drawing/2014/main" id="{00000000-0008-0000-0500-000007000000}"/>
            </a:ext>
          </a:extLst>
        </xdr:cNvPr>
        <xdr:cNvSpPr txBox="1">
          <a:spLocks noChangeArrowheads="1" noTextEdit="1"/>
        </xdr:cNvSpPr>
      </xdr:nvSpPr>
      <xdr:spPr bwMode="auto">
        <a:xfrm>
          <a:off x="10134600" y="16478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97.7%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xdr:col>
      <xdr:colOff>25400</xdr:colOff>
      <xdr:row>4</xdr:row>
      <xdr:rowOff>12700</xdr:rowOff>
    </xdr:from>
    <xdr:to>
      <xdr:col>1</xdr:col>
      <xdr:colOff>8150225</xdr:colOff>
      <xdr:row>4</xdr:row>
      <xdr:rowOff>5165725</xdr:rowOff>
    </xdr:to>
    <xdr:graphicFrame macro="">
      <xdr:nvGraphicFramePr>
        <xdr:cNvPr id="8" name="Chart 253">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6</xdr:row>
      <xdr:rowOff>6350</xdr:rowOff>
    </xdr:from>
    <xdr:to>
      <xdr:col>1</xdr:col>
      <xdr:colOff>8162925</xdr:colOff>
      <xdr:row>6</xdr:row>
      <xdr:rowOff>5159375</xdr:rowOff>
    </xdr:to>
    <xdr:graphicFrame macro="">
      <xdr:nvGraphicFramePr>
        <xdr:cNvPr id="9" name="Chart 253">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34</xdr:col>
      <xdr:colOff>628650</xdr:colOff>
      <xdr:row>59</xdr:row>
      <xdr:rowOff>66675</xdr:rowOff>
    </xdr:from>
    <xdr:to>
      <xdr:col>45</xdr:col>
      <xdr:colOff>381000</xdr:colOff>
      <xdr:row>89</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495300</xdr:colOff>
      <xdr:row>59</xdr:row>
      <xdr:rowOff>47625</xdr:rowOff>
    </xdr:from>
    <xdr:to>
      <xdr:col>34</xdr:col>
      <xdr:colOff>457200</xdr:colOff>
      <xdr:row>88</xdr:row>
      <xdr:rowOff>38100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95250</xdr:colOff>
      <xdr:row>59</xdr:row>
      <xdr:rowOff>31507</xdr:rowOff>
    </xdr:from>
    <xdr:to>
      <xdr:col>23</xdr:col>
      <xdr:colOff>327512</xdr:colOff>
      <xdr:row>88</xdr:row>
      <xdr:rowOff>21982</xdr:rowOff>
    </xdr:to>
    <xdr:graphicFrame macro="">
      <xdr:nvGraphicFramePr>
        <xdr:cNvPr id="4" name="Chart 4">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142874</xdr:colOff>
      <xdr:row>92</xdr:row>
      <xdr:rowOff>66675</xdr:rowOff>
    </xdr:from>
    <xdr:to>
      <xdr:col>24</xdr:col>
      <xdr:colOff>171449</xdr:colOff>
      <xdr:row>121</xdr:row>
      <xdr:rowOff>95250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34</xdr:col>
      <xdr:colOff>533400</xdr:colOff>
      <xdr:row>55</xdr:row>
      <xdr:rowOff>66675</xdr:rowOff>
    </xdr:from>
    <xdr:to>
      <xdr:col>45</xdr:col>
      <xdr:colOff>285750</xdr:colOff>
      <xdr:row>84</xdr:row>
      <xdr:rowOff>123825</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400050</xdr:colOff>
      <xdr:row>55</xdr:row>
      <xdr:rowOff>47625</xdr:rowOff>
    </xdr:from>
    <xdr:to>
      <xdr:col>34</xdr:col>
      <xdr:colOff>361950</xdr:colOff>
      <xdr:row>84</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55</xdr:row>
      <xdr:rowOff>31507</xdr:rowOff>
    </xdr:from>
    <xdr:to>
      <xdr:col>23</xdr:col>
      <xdr:colOff>232262</xdr:colOff>
      <xdr:row>83</xdr:row>
      <xdr:rowOff>145807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0" Type="http://schemas.openxmlformats.org/officeDocument/2006/relationships/ctrlProp" Target="../ctrlProps/ctrlProp4.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62"/>
  <sheetViews>
    <sheetView tabSelected="1" zoomScaleNormal="100" zoomScaleSheetLayoutView="100" workbookViewId="0">
      <selection activeCell="E51" sqref="E51"/>
    </sheetView>
  </sheetViews>
  <sheetFormatPr defaultRowHeight="12.75" x14ac:dyDescent="0.2"/>
  <cols>
    <col min="1" max="1" width="8.28515625" style="199" customWidth="1"/>
    <col min="2" max="2" width="8.28515625" style="82" customWidth="1"/>
    <col min="3" max="3" width="13.5703125" style="82" customWidth="1"/>
    <col min="4" max="4" width="8.28515625" style="82" customWidth="1"/>
    <col min="5" max="5" width="6.85546875" style="82" customWidth="1"/>
    <col min="6" max="6" width="7.5703125" style="82" customWidth="1"/>
    <col min="7" max="8" width="11.85546875" style="82" customWidth="1"/>
    <col min="9" max="9" width="9.140625" style="82"/>
    <col min="10" max="10" width="12.42578125" style="82" bestFit="1" customWidth="1"/>
    <col min="11" max="11" width="9.140625" style="82"/>
    <col min="12" max="12" width="12.42578125" style="82" bestFit="1" customWidth="1"/>
    <col min="13" max="15" width="9.140625" style="82"/>
    <col min="16" max="16" width="10.140625" style="82" customWidth="1"/>
    <col min="17" max="17" width="37.28515625" style="82" customWidth="1"/>
    <col min="18" max="18" width="3.140625" style="82" customWidth="1"/>
    <col min="19" max="19" width="10" style="82" bestFit="1" customWidth="1"/>
    <col min="20" max="16384" width="9.140625" style="82"/>
  </cols>
  <sheetData>
    <row r="1" spans="1:18" ht="47.25" customHeight="1" x14ac:dyDescent="0.2">
      <c r="A1" s="624" t="s">
        <v>370</v>
      </c>
      <c r="B1" s="625"/>
      <c r="C1" s="625"/>
      <c r="D1" s="625"/>
      <c r="E1" s="625"/>
      <c r="F1" s="625"/>
      <c r="G1" s="625"/>
      <c r="H1" s="625"/>
      <c r="I1" s="625"/>
      <c r="J1" s="625"/>
      <c r="K1" s="625"/>
      <c r="L1" s="625"/>
      <c r="M1" s="625"/>
      <c r="N1" s="625"/>
      <c r="O1" s="625"/>
      <c r="P1" s="625"/>
      <c r="Q1" s="625"/>
      <c r="R1" s="553"/>
    </row>
    <row r="2" spans="1:18" ht="14.1" customHeight="1" x14ac:dyDescent="0.45">
      <c r="A2" s="556"/>
      <c r="B2" s="557"/>
      <c r="C2" s="557"/>
      <c r="D2" s="557"/>
      <c r="E2" s="557"/>
      <c r="F2" s="557"/>
      <c r="G2" s="557"/>
      <c r="H2" s="557"/>
      <c r="I2" s="557"/>
      <c r="J2" s="557"/>
      <c r="K2" s="557"/>
      <c r="L2" s="557"/>
      <c r="M2" s="557"/>
      <c r="N2" s="557"/>
      <c r="O2" s="571" t="s">
        <v>961</v>
      </c>
      <c r="P2" s="557"/>
      <c r="Q2" s="557"/>
      <c r="R2" s="553"/>
    </row>
    <row r="3" spans="1:18" ht="15.95" customHeight="1" x14ac:dyDescent="0.45">
      <c r="A3" s="558" t="s">
        <v>299</v>
      </c>
      <c r="B3" s="559"/>
      <c r="C3" s="570" t="s">
        <v>300</v>
      </c>
      <c r="D3" s="560"/>
      <c r="E3" s="124"/>
      <c r="F3" s="564" t="s">
        <v>177</v>
      </c>
      <c r="G3" s="565"/>
      <c r="H3" s="557"/>
      <c r="I3" s="557"/>
      <c r="J3" s="565"/>
      <c r="K3" s="566"/>
      <c r="L3" s="567"/>
      <c r="M3" s="553"/>
      <c r="N3" s="553"/>
      <c r="O3" s="623" t="s">
        <v>55</v>
      </c>
      <c r="P3" s="623"/>
      <c r="Q3" s="553" t="s">
        <v>201</v>
      </c>
      <c r="R3" s="553"/>
    </row>
    <row r="4" spans="1:18" ht="13.5" customHeight="1" thickBot="1" x14ac:dyDescent="0.35">
      <c r="A4" s="561"/>
      <c r="B4" s="562"/>
      <c r="C4" s="563"/>
      <c r="D4" s="563"/>
      <c r="E4" s="563"/>
      <c r="F4" s="563"/>
      <c r="G4" s="563"/>
      <c r="H4" s="563"/>
      <c r="I4" s="563"/>
      <c r="J4" s="563"/>
      <c r="K4" s="563"/>
      <c r="L4" s="563"/>
      <c r="M4" s="568"/>
      <c r="N4" s="568"/>
      <c r="O4" s="568"/>
      <c r="P4" s="568"/>
      <c r="Q4" s="569"/>
      <c r="R4" s="553"/>
    </row>
    <row r="5" spans="1:18" ht="20.100000000000001" customHeight="1" thickBot="1" x14ac:dyDescent="0.35">
      <c r="A5" s="194" t="s">
        <v>281</v>
      </c>
      <c r="B5" s="123"/>
      <c r="C5" s="83"/>
      <c r="D5" s="83"/>
      <c r="E5" s="85"/>
      <c r="F5" s="83"/>
      <c r="G5" s="112"/>
      <c r="H5" s="86"/>
      <c r="I5" s="86"/>
      <c r="J5" s="86"/>
      <c r="K5" s="86"/>
      <c r="L5" s="86"/>
      <c r="M5" s="86"/>
      <c r="N5" s="86"/>
      <c r="O5" s="86"/>
      <c r="P5" s="86"/>
      <c r="Q5" s="111"/>
      <c r="R5" s="553"/>
    </row>
    <row r="6" spans="1:18" ht="13.5" customHeight="1" x14ac:dyDescent="0.2">
      <c r="A6" s="283"/>
      <c r="B6" s="284"/>
      <c r="C6" s="285"/>
      <c r="D6" s="286" t="s">
        <v>733</v>
      </c>
      <c r="E6" s="287">
        <v>5</v>
      </c>
      <c r="F6" s="288" t="s">
        <v>0</v>
      </c>
      <c r="G6" s="134"/>
      <c r="H6" s="132"/>
      <c r="I6" s="86"/>
      <c r="J6" s="86"/>
      <c r="K6" s="86"/>
      <c r="L6" s="86"/>
      <c r="M6" s="86"/>
      <c r="N6" s="86"/>
      <c r="O6" s="86"/>
      <c r="P6" s="86"/>
      <c r="Q6" s="111"/>
      <c r="R6" s="553"/>
    </row>
    <row r="7" spans="1:18" ht="13.5" customHeight="1" x14ac:dyDescent="0.2">
      <c r="A7" s="273"/>
      <c r="B7" s="272"/>
      <c r="C7" s="274"/>
      <c r="D7" s="289" t="s">
        <v>734</v>
      </c>
      <c r="E7" s="290">
        <v>19</v>
      </c>
      <c r="F7" s="306" t="s">
        <v>0</v>
      </c>
      <c r="G7" s="134"/>
      <c r="H7" s="132"/>
      <c r="I7" s="86"/>
      <c r="J7" s="86"/>
      <c r="K7" s="86"/>
      <c r="L7" s="86"/>
      <c r="M7" s="86"/>
      <c r="N7" s="86"/>
      <c r="O7" s="86"/>
      <c r="P7" s="86"/>
      <c r="Q7" s="111"/>
      <c r="R7" s="553"/>
    </row>
    <row r="8" spans="1:18" ht="13.5" customHeight="1" x14ac:dyDescent="0.2">
      <c r="A8" s="273"/>
      <c r="B8" s="272"/>
      <c r="C8" s="274"/>
      <c r="D8" s="289" t="s">
        <v>735</v>
      </c>
      <c r="E8" s="290">
        <v>24</v>
      </c>
      <c r="F8" s="291" t="s">
        <v>0</v>
      </c>
      <c r="G8" s="134"/>
      <c r="H8" s="132"/>
      <c r="I8" s="86"/>
      <c r="J8" s="86"/>
      <c r="K8" s="86"/>
      <c r="L8" s="86"/>
      <c r="M8" s="86"/>
      <c r="N8" s="86"/>
      <c r="O8" s="86"/>
      <c r="P8" s="86"/>
      <c r="Q8" s="111"/>
      <c r="R8" s="553"/>
    </row>
    <row r="9" spans="1:18" ht="13.5" customHeight="1" x14ac:dyDescent="0.2">
      <c r="A9" s="273"/>
      <c r="B9" s="272"/>
      <c r="C9" s="274"/>
      <c r="D9" s="289" t="s">
        <v>360</v>
      </c>
      <c r="E9" s="290">
        <v>12</v>
      </c>
      <c r="F9" s="291" t="s">
        <v>0</v>
      </c>
      <c r="G9" s="134"/>
      <c r="H9" s="132"/>
      <c r="I9" s="86"/>
      <c r="J9" s="86"/>
      <c r="K9" s="86"/>
      <c r="L9" s="86"/>
      <c r="M9" s="86"/>
      <c r="N9" s="86"/>
      <c r="O9" s="86"/>
      <c r="P9" s="86"/>
      <c r="Q9" s="111"/>
      <c r="R9" s="553"/>
    </row>
    <row r="10" spans="1:18" ht="13.5" customHeight="1" x14ac:dyDescent="0.2">
      <c r="A10" s="273"/>
      <c r="B10" s="272"/>
      <c r="C10" s="274"/>
      <c r="D10" s="289" t="s">
        <v>901</v>
      </c>
      <c r="E10" s="290">
        <v>6</v>
      </c>
      <c r="F10" s="291" t="s">
        <v>2</v>
      </c>
      <c r="G10" s="134"/>
      <c r="H10" s="132"/>
      <c r="I10" s="86"/>
      <c r="J10" s="86"/>
      <c r="K10" s="86"/>
      <c r="L10" s="86"/>
      <c r="M10" s="86"/>
      <c r="N10" s="86"/>
      <c r="O10" s="86"/>
      <c r="P10" s="86"/>
      <c r="Q10" s="111"/>
      <c r="R10" s="553"/>
    </row>
    <row r="11" spans="1:18" ht="13.5" customHeight="1" x14ac:dyDescent="0.2">
      <c r="A11" s="273"/>
      <c r="B11" s="272"/>
      <c r="C11" s="274"/>
      <c r="D11" s="289" t="s">
        <v>98</v>
      </c>
      <c r="E11" s="292">
        <v>224</v>
      </c>
      <c r="F11" s="291" t="s">
        <v>3</v>
      </c>
      <c r="G11" s="134"/>
      <c r="H11" s="132"/>
      <c r="I11" s="86"/>
      <c r="J11" s="86"/>
      <c r="K11" s="86"/>
      <c r="L11" s="86"/>
      <c r="M11" s="86"/>
      <c r="N11" s="86"/>
      <c r="O11" s="86"/>
      <c r="P11" s="86"/>
      <c r="Q11" s="111"/>
      <c r="R11" s="553"/>
    </row>
    <row r="12" spans="1:18" ht="17.25" customHeight="1" thickBot="1" x14ac:dyDescent="0.25">
      <c r="A12" s="278"/>
      <c r="B12" s="279"/>
      <c r="C12" s="280"/>
      <c r="D12" s="280" t="s">
        <v>362</v>
      </c>
      <c r="E12" s="280">
        <f>IF('Standard Value Calculator'!O4/1000&gt;288, "N/A",'Standard Value Calculator'!O4/1000)</f>
        <v>115</v>
      </c>
      <c r="F12" s="282" t="s">
        <v>54</v>
      </c>
      <c r="G12" s="134"/>
      <c r="H12" s="132"/>
      <c r="I12" s="86"/>
      <c r="J12" s="86"/>
      <c r="K12" s="86"/>
      <c r="L12" s="86"/>
      <c r="M12" s="86"/>
      <c r="N12" s="86"/>
      <c r="O12" s="86"/>
      <c r="P12" s="86"/>
      <c r="Q12" s="111"/>
      <c r="R12" s="553"/>
    </row>
    <row r="13" spans="1:18" ht="14.1" customHeight="1" x14ac:dyDescent="0.2">
      <c r="A13" s="131"/>
      <c r="B13" s="132"/>
      <c r="C13" s="132"/>
      <c r="D13" s="137"/>
      <c r="E13" s="138"/>
      <c r="F13" s="132"/>
      <c r="G13" s="134"/>
      <c r="H13" s="132"/>
      <c r="I13" s="86"/>
      <c r="J13" s="86"/>
      <c r="K13" s="86"/>
      <c r="L13" s="86"/>
      <c r="M13" s="86"/>
      <c r="N13" s="86"/>
      <c r="O13" s="86"/>
      <c r="P13" s="86"/>
      <c r="Q13" s="111"/>
      <c r="R13" s="553"/>
    </row>
    <row r="14" spans="1:18" ht="19.5" customHeight="1" thickBot="1" x14ac:dyDescent="0.35">
      <c r="A14" s="194" t="s">
        <v>280</v>
      </c>
      <c r="B14" s="139"/>
      <c r="C14" s="140"/>
      <c r="D14" s="140"/>
      <c r="E14" s="141"/>
      <c r="F14" s="140"/>
      <c r="G14" s="134"/>
      <c r="H14" s="132"/>
      <c r="I14" s="86"/>
      <c r="J14" s="86"/>
      <c r="K14" s="86"/>
      <c r="L14" s="86"/>
      <c r="M14" s="86"/>
      <c r="N14" s="86"/>
      <c r="O14" s="86"/>
      <c r="P14" s="86"/>
      <c r="Q14" s="111"/>
      <c r="R14" s="553"/>
    </row>
    <row r="15" spans="1:18" ht="13.5" customHeight="1" x14ac:dyDescent="0.2">
      <c r="A15" s="195"/>
      <c r="B15" s="161"/>
      <c r="C15" s="162"/>
      <c r="D15" s="162" t="s">
        <v>294</v>
      </c>
      <c r="E15" s="451">
        <f>Lopt*1000000</f>
        <v>4.2369378306878298</v>
      </c>
      <c r="F15" s="169" t="s">
        <v>270</v>
      </c>
      <c r="G15" s="134"/>
      <c r="H15" s="132"/>
      <c r="I15" s="86"/>
      <c r="J15" s="86"/>
      <c r="K15" s="86"/>
      <c r="L15" s="86"/>
      <c r="M15" s="86"/>
      <c r="N15" s="86"/>
      <c r="O15" s="86"/>
      <c r="P15" s="86"/>
      <c r="Q15" s="111"/>
      <c r="R15" s="553"/>
    </row>
    <row r="16" spans="1:18" ht="13.5" customHeight="1" x14ac:dyDescent="0.25">
      <c r="A16" s="131"/>
      <c r="B16" s="132"/>
      <c r="C16" s="129"/>
      <c r="D16" s="160" t="s">
        <v>361</v>
      </c>
      <c r="E16" s="133">
        <v>4.7</v>
      </c>
      <c r="F16" s="165" t="s">
        <v>270</v>
      </c>
      <c r="G16" s="134"/>
      <c r="H16" s="132"/>
      <c r="I16" s="86"/>
      <c r="J16" s="86"/>
      <c r="K16" s="86"/>
      <c r="L16" s="86"/>
      <c r="M16" s="86"/>
      <c r="N16" s="86"/>
      <c r="O16" s="86"/>
      <c r="P16" s="86"/>
      <c r="Q16" s="111"/>
      <c r="R16" s="553"/>
    </row>
    <row r="17" spans="1:18" ht="13.5" customHeight="1" x14ac:dyDescent="0.2">
      <c r="A17" s="131"/>
      <c r="B17" s="132"/>
      <c r="C17" s="129"/>
      <c r="D17" s="160" t="s">
        <v>295</v>
      </c>
      <c r="E17" s="133">
        <v>6</v>
      </c>
      <c r="F17" s="165" t="s">
        <v>53</v>
      </c>
      <c r="G17" s="134"/>
      <c r="H17" s="132"/>
      <c r="I17" s="86"/>
      <c r="J17" s="86"/>
      <c r="K17" s="86"/>
      <c r="L17" s="86"/>
      <c r="M17" s="86"/>
      <c r="N17" s="86"/>
      <c r="O17" s="86"/>
      <c r="P17" s="86"/>
      <c r="Q17" s="111"/>
      <c r="R17" s="553"/>
    </row>
    <row r="18" spans="1:18" ht="13.5" customHeight="1" x14ac:dyDescent="0.2">
      <c r="A18" s="273"/>
      <c r="B18" s="272"/>
      <c r="C18" s="274"/>
      <c r="D18" s="274" t="s">
        <v>736</v>
      </c>
      <c r="E18" s="275">
        <f>'Variable Management'!B78</f>
        <v>2.8343529008422625</v>
      </c>
      <c r="F18" s="276" t="s">
        <v>286</v>
      </c>
      <c r="G18" s="134"/>
      <c r="H18" s="132"/>
      <c r="I18" s="86"/>
      <c r="J18" s="86"/>
      <c r="K18" s="86"/>
      <c r="L18" s="86"/>
      <c r="M18" s="86"/>
      <c r="N18" s="86"/>
      <c r="O18" s="86"/>
      <c r="P18" s="86"/>
      <c r="Q18" s="111"/>
      <c r="R18" s="553"/>
    </row>
    <row r="19" spans="1:18" ht="13.5" customHeight="1" x14ac:dyDescent="0.2">
      <c r="A19" s="273"/>
      <c r="B19" s="272"/>
      <c r="C19" s="274"/>
      <c r="D19" s="274" t="s">
        <v>737</v>
      </c>
      <c r="E19" s="275">
        <f>'Variable Management'!B79</f>
        <v>4.2180672343999932</v>
      </c>
      <c r="F19" s="276" t="s">
        <v>286</v>
      </c>
      <c r="G19" s="134"/>
      <c r="H19" s="132"/>
      <c r="I19" s="86"/>
      <c r="J19" s="86"/>
      <c r="K19" s="86"/>
      <c r="L19" s="86"/>
      <c r="M19" s="86"/>
      <c r="N19" s="86"/>
      <c r="O19" s="86"/>
      <c r="P19" s="86"/>
      <c r="Q19" s="111"/>
      <c r="R19" s="553"/>
    </row>
    <row r="20" spans="1:18" ht="13.5" customHeight="1" x14ac:dyDescent="0.2">
      <c r="A20" s="273"/>
      <c r="B20" s="272"/>
      <c r="C20" s="274"/>
      <c r="D20" s="274" t="s">
        <v>738</v>
      </c>
      <c r="E20" s="275">
        <f>'Variable Management'!B80</f>
        <v>5.7275267094989353</v>
      </c>
      <c r="F20" s="276" t="s">
        <v>286</v>
      </c>
      <c r="G20" s="134"/>
      <c r="H20" s="132"/>
      <c r="I20" s="86"/>
      <c r="J20" s="86"/>
      <c r="K20" s="86"/>
      <c r="L20" s="86"/>
      <c r="M20" s="86"/>
      <c r="N20" s="86"/>
      <c r="O20" s="86"/>
      <c r="P20" s="86"/>
      <c r="Q20" s="111"/>
      <c r="R20" s="553"/>
    </row>
    <row r="21" spans="1:18" ht="15" customHeight="1" x14ac:dyDescent="0.2">
      <c r="A21" s="273"/>
      <c r="B21" s="272"/>
      <c r="C21" s="274"/>
      <c r="D21" s="274" t="s">
        <v>415</v>
      </c>
      <c r="E21" s="277">
        <f>'Variable Management'!B90*100</f>
        <v>18.895686005615083</v>
      </c>
      <c r="F21" s="276" t="s">
        <v>187</v>
      </c>
      <c r="G21" s="134"/>
      <c r="H21" s="132"/>
      <c r="I21" s="86"/>
      <c r="J21" s="86"/>
      <c r="K21" s="86"/>
      <c r="L21" s="86"/>
      <c r="M21" s="86"/>
      <c r="N21" s="86"/>
      <c r="O21" s="86"/>
      <c r="P21" s="86"/>
      <c r="Q21" s="111"/>
      <c r="R21" s="553"/>
    </row>
    <row r="22" spans="1:18" ht="15" customHeight="1" x14ac:dyDescent="0.2">
      <c r="A22" s="273"/>
      <c r="B22" s="272"/>
      <c r="C22" s="274"/>
      <c r="D22" s="274" t="s">
        <v>416</v>
      </c>
      <c r="E22" s="277">
        <f>'Variable Management'!B91*100</f>
        <v>70.301120573333222</v>
      </c>
      <c r="F22" s="276" t="s">
        <v>187</v>
      </c>
      <c r="G22" s="134"/>
      <c r="H22" s="132"/>
      <c r="I22" s="86"/>
      <c r="J22" s="86"/>
      <c r="K22" s="86"/>
      <c r="L22" s="86"/>
      <c r="M22" s="86"/>
      <c r="N22" s="86"/>
      <c r="O22" s="86"/>
      <c r="P22" s="86"/>
      <c r="Q22" s="111"/>
      <c r="R22" s="553"/>
    </row>
    <row r="23" spans="1:18" ht="15.75" customHeight="1" thickBot="1" x14ac:dyDescent="0.25">
      <c r="A23" s="278"/>
      <c r="B23" s="279"/>
      <c r="C23" s="280"/>
      <c r="D23" s="280" t="s">
        <v>417</v>
      </c>
      <c r="E23" s="281">
        <f>'Variable Management'!B92*100</f>
        <v>95.458778491648928</v>
      </c>
      <c r="F23" s="282" t="s">
        <v>187</v>
      </c>
      <c r="G23" s="134"/>
      <c r="H23" s="132"/>
      <c r="I23" s="86"/>
      <c r="J23" s="86"/>
      <c r="K23" s="86"/>
      <c r="L23" s="86"/>
      <c r="M23" s="86"/>
      <c r="N23" s="86"/>
      <c r="O23" s="86"/>
      <c r="P23" s="86"/>
      <c r="Q23" s="111"/>
      <c r="R23" s="553"/>
    </row>
    <row r="24" spans="1:18" ht="14.1" customHeight="1" x14ac:dyDescent="0.2">
      <c r="A24" s="131"/>
      <c r="B24" s="132"/>
      <c r="C24" s="132"/>
      <c r="D24" s="132"/>
      <c r="E24" s="132"/>
      <c r="F24" s="132"/>
      <c r="G24" s="134"/>
      <c r="H24" s="132"/>
      <c r="I24" s="86"/>
      <c r="J24" s="86"/>
      <c r="K24" s="86"/>
      <c r="L24" s="86"/>
      <c r="M24" s="86"/>
      <c r="N24" s="86"/>
      <c r="O24" s="86"/>
      <c r="P24" s="86"/>
      <c r="Q24" s="111"/>
      <c r="R24" s="553"/>
    </row>
    <row r="25" spans="1:18" ht="20.100000000000001" customHeight="1" thickBot="1" x14ac:dyDescent="0.35">
      <c r="A25" s="194" t="s">
        <v>675</v>
      </c>
      <c r="B25" s="139"/>
      <c r="C25" s="132"/>
      <c r="D25" s="132"/>
      <c r="E25" s="132"/>
      <c r="F25" s="132"/>
      <c r="G25" s="134"/>
      <c r="H25" s="132"/>
      <c r="I25" s="86"/>
      <c r="J25" s="86"/>
      <c r="K25" s="86"/>
      <c r="L25" s="86"/>
      <c r="M25" s="86"/>
      <c r="N25" s="86"/>
      <c r="O25" s="86"/>
      <c r="P25" s="86"/>
      <c r="Q25" s="111"/>
      <c r="R25" s="553"/>
    </row>
    <row r="26" spans="1:18" ht="15" customHeight="1" x14ac:dyDescent="0.25">
      <c r="A26" s="283"/>
      <c r="B26" s="161"/>
      <c r="C26" s="161"/>
      <c r="D26" s="163" t="s">
        <v>746</v>
      </c>
      <c r="E26" s="324">
        <v>8</v>
      </c>
      <c r="F26" s="164" t="s">
        <v>2</v>
      </c>
      <c r="G26" s="134"/>
      <c r="H26" s="132"/>
      <c r="I26" s="86"/>
      <c r="J26" s="86"/>
      <c r="K26" s="86"/>
      <c r="L26" s="86"/>
      <c r="M26" s="86"/>
      <c r="N26" s="86"/>
      <c r="O26" s="86"/>
      <c r="P26" s="86"/>
      <c r="Q26" s="111"/>
      <c r="R26" s="553"/>
    </row>
    <row r="27" spans="1:18" ht="15" customHeight="1" x14ac:dyDescent="0.2">
      <c r="A27" s="273"/>
      <c r="B27" s="132"/>
      <c r="C27" s="132"/>
      <c r="D27" s="129" t="s">
        <v>421</v>
      </c>
      <c r="E27" s="326">
        <f>Rs_ideal*1000</f>
        <v>7.5263967548640807</v>
      </c>
      <c r="F27" s="170" t="s">
        <v>53</v>
      </c>
      <c r="G27" s="134"/>
      <c r="H27" s="132"/>
      <c r="I27" s="86"/>
      <c r="J27" s="86"/>
      <c r="K27" s="86"/>
      <c r="L27" s="86"/>
      <c r="M27" s="86"/>
      <c r="N27" s="86"/>
      <c r="O27" s="86"/>
      <c r="P27" s="86"/>
      <c r="Q27" s="111"/>
      <c r="R27" s="553"/>
    </row>
    <row r="28" spans="1:18" ht="13.7" customHeight="1" x14ac:dyDescent="0.25">
      <c r="A28" s="273"/>
      <c r="B28" s="132"/>
      <c r="C28" s="132"/>
      <c r="D28" s="160" t="s">
        <v>419</v>
      </c>
      <c r="E28" s="133">
        <v>8</v>
      </c>
      <c r="F28" s="165" t="s">
        <v>53</v>
      </c>
      <c r="G28" s="134"/>
      <c r="H28" s="132"/>
      <c r="I28" s="86"/>
      <c r="J28" s="86"/>
      <c r="K28" s="86"/>
      <c r="L28" s="86"/>
      <c r="M28" s="86"/>
      <c r="N28" s="86"/>
      <c r="O28" s="86"/>
      <c r="P28" s="86"/>
      <c r="Q28" s="111"/>
      <c r="R28" s="553"/>
    </row>
    <row r="29" spans="1:18" ht="13.5" customHeight="1" x14ac:dyDescent="0.3">
      <c r="A29" s="273"/>
      <c r="B29" s="132"/>
      <c r="C29" s="132"/>
      <c r="D29" s="593" t="s">
        <v>957</v>
      </c>
      <c r="E29" s="619">
        <f>'Variable Management'!B135</f>
        <v>20</v>
      </c>
      <c r="F29" s="170" t="s">
        <v>2</v>
      </c>
      <c r="G29" s="134"/>
      <c r="H29" s="132"/>
      <c r="I29" s="86"/>
      <c r="J29" s="86"/>
      <c r="K29" s="86"/>
      <c r="L29" s="86"/>
      <c r="M29" s="86"/>
      <c r="N29" s="86"/>
      <c r="O29" s="86"/>
      <c r="P29" s="86"/>
      <c r="Q29" s="111"/>
      <c r="R29" s="553"/>
    </row>
    <row r="30" spans="1:18" ht="13.7" customHeight="1" x14ac:dyDescent="0.2">
      <c r="A30" s="273"/>
      <c r="B30" s="132"/>
      <c r="C30" s="132"/>
      <c r="D30" s="593" t="str">
        <f>IF('Variable Management'!B85&gt;'Variable Management'!B83, "Power Loss in Rs at Full Load (Max VIN)", "Power Loss in Rs at Full Load (Min VIN)")</f>
        <v>Power Loss in Rs at Full Load (Min VIN)</v>
      </c>
      <c r="E30" s="594">
        <f>'Variable Management'!B86</f>
        <v>1.0774387157485168</v>
      </c>
      <c r="F30" s="170" t="s">
        <v>120</v>
      </c>
      <c r="G30" s="134"/>
      <c r="H30" s="132"/>
      <c r="I30" s="86"/>
      <c r="J30" s="86"/>
      <c r="K30" s="86"/>
      <c r="L30" s="86"/>
      <c r="M30" s="86"/>
      <c r="N30" s="86"/>
      <c r="O30" s="86"/>
      <c r="P30" s="86"/>
      <c r="Q30" s="111"/>
      <c r="R30" s="553"/>
    </row>
    <row r="31" spans="1:18" ht="13.7" customHeight="1" x14ac:dyDescent="0.2">
      <c r="A31" s="273"/>
      <c r="B31" s="132"/>
      <c r="C31" s="129"/>
      <c r="D31" s="129" t="s">
        <v>418</v>
      </c>
      <c r="E31" s="159">
        <f>'Standard Value Calculator'!O14</f>
        <v>150</v>
      </c>
      <c r="F31" s="170" t="s">
        <v>32</v>
      </c>
      <c r="G31" s="134"/>
      <c r="H31" s="132"/>
      <c r="I31" s="86"/>
      <c r="J31" s="86"/>
      <c r="K31" s="86"/>
      <c r="L31" s="86"/>
      <c r="M31" s="86"/>
      <c r="N31" s="86"/>
      <c r="O31" s="86"/>
      <c r="P31" s="86"/>
      <c r="Q31" s="111"/>
      <c r="R31" s="553"/>
    </row>
    <row r="32" spans="1:18" ht="13.7" customHeight="1" x14ac:dyDescent="0.25">
      <c r="A32" s="273"/>
      <c r="B32" s="132"/>
      <c r="C32" s="132"/>
      <c r="D32" s="160" t="s">
        <v>422</v>
      </c>
      <c r="E32" s="133">
        <v>150</v>
      </c>
      <c r="F32" s="165" t="s">
        <v>32</v>
      </c>
      <c r="G32" s="134"/>
      <c r="H32" s="132"/>
      <c r="I32" s="86"/>
      <c r="J32" s="86"/>
      <c r="K32" s="86"/>
      <c r="L32" s="86"/>
      <c r="M32" s="86"/>
      <c r="N32" s="86"/>
      <c r="O32" s="86"/>
      <c r="P32" s="86"/>
      <c r="Q32" s="111"/>
      <c r="R32" s="553"/>
    </row>
    <row r="33" spans="1:18" ht="13.5" customHeight="1" x14ac:dyDescent="0.3">
      <c r="A33" s="273"/>
      <c r="B33" s="132"/>
      <c r="C33" s="117"/>
      <c r="D33" s="325" t="s">
        <v>371</v>
      </c>
      <c r="E33" s="275">
        <f>'Variable Management'!B127</f>
        <v>7.4925694278184167</v>
      </c>
      <c r="F33" s="276" t="s">
        <v>2</v>
      </c>
      <c r="G33" s="134"/>
      <c r="H33" s="132"/>
      <c r="I33" s="86"/>
      <c r="J33" s="86"/>
      <c r="K33" s="86"/>
      <c r="L33" s="86"/>
      <c r="M33" s="86"/>
      <c r="N33" s="86"/>
      <c r="O33" s="86"/>
      <c r="P33" s="86"/>
      <c r="Q33" s="111"/>
      <c r="R33" s="553"/>
    </row>
    <row r="34" spans="1:18" ht="15" customHeight="1" x14ac:dyDescent="0.3">
      <c r="A34" s="273"/>
      <c r="B34" s="132"/>
      <c r="C34" s="129" t="s">
        <v>743</v>
      </c>
      <c r="D34" s="325" t="s">
        <v>372</v>
      </c>
      <c r="E34" s="275">
        <f>'Variable Management'!B128</f>
        <v>12.109033617199996</v>
      </c>
      <c r="F34" s="276" t="s">
        <v>2</v>
      </c>
      <c r="G34" s="134"/>
      <c r="H34" s="132"/>
      <c r="I34" s="86"/>
      <c r="J34" s="86"/>
      <c r="K34" s="86"/>
      <c r="L34" s="86"/>
      <c r="M34" s="86"/>
      <c r="N34" s="86"/>
      <c r="O34" s="86"/>
      <c r="P34" s="86"/>
      <c r="Q34" s="111"/>
      <c r="R34" s="553"/>
    </row>
    <row r="35" spans="1:18" ht="15.75" customHeight="1" x14ac:dyDescent="0.3">
      <c r="A35" s="273"/>
      <c r="B35" s="132"/>
      <c r="C35" s="132"/>
      <c r="D35" s="325" t="s">
        <v>373</v>
      </c>
      <c r="E35" s="275">
        <f>'Variable Management'!B129</f>
        <v>12.863763354749468</v>
      </c>
      <c r="F35" s="276" t="s">
        <v>2</v>
      </c>
      <c r="G35" s="134"/>
      <c r="H35" s="132"/>
      <c r="I35" s="86"/>
      <c r="J35" s="86"/>
      <c r="K35" s="86"/>
      <c r="L35" s="86"/>
      <c r="M35" s="86"/>
      <c r="N35" s="86"/>
      <c r="O35" s="86"/>
      <c r="P35" s="86"/>
      <c r="Q35" s="111"/>
      <c r="R35" s="553"/>
    </row>
    <row r="36" spans="1:18" ht="13.7" customHeight="1" x14ac:dyDescent="0.2">
      <c r="A36" s="273"/>
      <c r="B36" s="132"/>
      <c r="C36" s="132"/>
      <c r="D36" s="160" t="s">
        <v>369</v>
      </c>
      <c r="E36" s="298" t="s">
        <v>820</v>
      </c>
      <c r="F36" s="165" t="s">
        <v>2</v>
      </c>
      <c r="G36" s="134"/>
      <c r="H36" s="132"/>
      <c r="I36" s="86"/>
      <c r="J36" s="86"/>
      <c r="K36" s="86"/>
      <c r="L36" s="86"/>
      <c r="M36" s="86"/>
      <c r="N36" s="86"/>
      <c r="O36" s="86"/>
      <c r="P36" s="86"/>
      <c r="Q36" s="111"/>
      <c r="R36" s="553"/>
    </row>
    <row r="37" spans="1:18" ht="16.5" customHeight="1" thickBot="1" x14ac:dyDescent="0.35">
      <c r="A37" s="278"/>
      <c r="B37" s="167"/>
      <c r="C37" s="167"/>
      <c r="D37" s="130" t="s">
        <v>796</v>
      </c>
      <c r="E37" s="539">
        <f>Rshunt</f>
        <v>0</v>
      </c>
      <c r="F37" s="168" t="s">
        <v>53</v>
      </c>
      <c r="G37" s="136"/>
      <c r="H37" s="132"/>
      <c r="I37" s="86"/>
      <c r="J37" s="86"/>
      <c r="K37" s="86"/>
      <c r="L37" s="86"/>
      <c r="M37" s="86"/>
      <c r="N37" s="86"/>
      <c r="O37" s="86"/>
      <c r="P37" s="86"/>
      <c r="Q37" s="111"/>
      <c r="R37" s="553"/>
    </row>
    <row r="38" spans="1:18" ht="14.1" customHeight="1" x14ac:dyDescent="0.2">
      <c r="A38" s="131"/>
      <c r="B38" s="132"/>
      <c r="C38" s="142"/>
      <c r="D38" s="142"/>
      <c r="E38" s="142"/>
      <c r="F38" s="142"/>
      <c r="G38" s="132"/>
      <c r="H38" s="132"/>
      <c r="I38" s="86"/>
      <c r="J38" s="86"/>
      <c r="K38" s="86"/>
      <c r="L38" s="86"/>
      <c r="M38" s="86"/>
      <c r="N38" s="86"/>
      <c r="O38" s="86"/>
      <c r="P38" s="86"/>
      <c r="Q38" s="111"/>
      <c r="R38" s="553"/>
    </row>
    <row r="39" spans="1:18" ht="19.5" thickBot="1" x14ac:dyDescent="0.35">
      <c r="A39" s="194" t="s">
        <v>170</v>
      </c>
      <c r="B39" s="139"/>
      <c r="C39" s="140"/>
      <c r="D39" s="140"/>
      <c r="E39" s="141"/>
      <c r="F39" s="140"/>
      <c r="G39" s="132"/>
      <c r="H39" s="132"/>
      <c r="I39" s="86"/>
      <c r="J39" s="86"/>
      <c r="K39" s="86"/>
      <c r="L39" s="86"/>
      <c r="M39" s="86"/>
      <c r="N39" s="86"/>
      <c r="O39" s="86"/>
      <c r="P39" s="86"/>
      <c r="Q39" s="111"/>
      <c r="R39" s="553"/>
    </row>
    <row r="40" spans="1:18" ht="15.75" customHeight="1" x14ac:dyDescent="0.25">
      <c r="A40" s="181"/>
      <c r="B40" s="172"/>
      <c r="C40" s="162"/>
      <c r="D40" s="173" t="s">
        <v>859</v>
      </c>
      <c r="E40" s="174">
        <v>120</v>
      </c>
      <c r="F40" s="164" t="s">
        <v>287</v>
      </c>
      <c r="G40" s="132"/>
      <c r="H40" s="132"/>
      <c r="I40" s="86"/>
      <c r="J40" s="86"/>
      <c r="K40" s="86"/>
      <c r="L40" s="86"/>
      <c r="M40" s="86"/>
      <c r="N40" s="86"/>
      <c r="O40" s="86"/>
      <c r="P40" s="86"/>
      <c r="Q40" s="111"/>
      <c r="R40" s="553"/>
    </row>
    <row r="41" spans="1:18" ht="14.1" customHeight="1" x14ac:dyDescent="0.2">
      <c r="A41" s="131"/>
      <c r="B41" s="132"/>
      <c r="C41" s="129"/>
      <c r="D41" s="129" t="s">
        <v>608</v>
      </c>
      <c r="E41" s="584">
        <f>'Variable Management'!B168</f>
        <v>133.21458633958633</v>
      </c>
      <c r="F41" s="170" t="s">
        <v>271</v>
      </c>
      <c r="G41" s="132"/>
      <c r="H41" s="132"/>
      <c r="I41" s="86"/>
      <c r="J41" s="86"/>
      <c r="K41" s="86"/>
      <c r="L41" s="86"/>
      <c r="M41" s="86"/>
      <c r="N41" s="86"/>
      <c r="O41" s="86"/>
      <c r="P41" s="86"/>
      <c r="Q41" s="111"/>
      <c r="R41" s="553"/>
    </row>
    <row r="42" spans="1:18" ht="14.1" customHeight="1" x14ac:dyDescent="0.25">
      <c r="A42" s="131"/>
      <c r="B42" s="132"/>
      <c r="C42" s="129"/>
      <c r="D42" s="128" t="s">
        <v>363</v>
      </c>
      <c r="E42" s="135">
        <v>272</v>
      </c>
      <c r="F42" s="165" t="s">
        <v>271</v>
      </c>
      <c r="G42" s="134"/>
      <c r="H42" s="132"/>
      <c r="I42" s="86"/>
      <c r="J42" s="86"/>
      <c r="K42" s="86"/>
      <c r="L42" s="86"/>
      <c r="M42" s="86"/>
      <c r="N42" s="86"/>
      <c r="O42" s="86"/>
      <c r="P42" s="86"/>
      <c r="Q42" s="111"/>
      <c r="R42" s="553"/>
    </row>
    <row r="43" spans="1:18" ht="14.1" customHeight="1" x14ac:dyDescent="0.2">
      <c r="A43" s="131"/>
      <c r="B43" s="132"/>
      <c r="C43" s="129"/>
      <c r="D43" s="129" t="s">
        <v>296</v>
      </c>
      <c r="E43" s="583">
        <f>'Variable Management'!B172</f>
        <v>10.204809827971593</v>
      </c>
      <c r="F43" s="170" t="s">
        <v>53</v>
      </c>
      <c r="G43" s="134"/>
      <c r="H43" s="132"/>
      <c r="I43" s="86"/>
      <c r="J43" s="86"/>
      <c r="K43" s="86"/>
      <c r="L43" s="86"/>
      <c r="M43" s="86"/>
      <c r="N43" s="86"/>
      <c r="O43" s="86"/>
      <c r="P43" s="86"/>
      <c r="Q43" s="111"/>
      <c r="R43" s="553"/>
    </row>
    <row r="44" spans="1:18" ht="14.1" customHeight="1" x14ac:dyDescent="0.2">
      <c r="A44" s="131"/>
      <c r="B44" s="132"/>
      <c r="C44" s="129"/>
      <c r="D44" s="128" t="s">
        <v>297</v>
      </c>
      <c r="E44" s="135">
        <v>7</v>
      </c>
      <c r="F44" s="165" t="s">
        <v>53</v>
      </c>
      <c r="G44" s="134"/>
      <c r="H44" s="132"/>
      <c r="I44" s="86"/>
      <c r="J44" s="86"/>
      <c r="K44" s="86"/>
      <c r="L44" s="86"/>
      <c r="M44" s="86"/>
      <c r="N44" s="86"/>
      <c r="O44" s="86"/>
      <c r="P44" s="86"/>
      <c r="Q44" s="111"/>
      <c r="R44" s="553"/>
    </row>
    <row r="45" spans="1:18" ht="14.1" customHeight="1" x14ac:dyDescent="0.3">
      <c r="A45" s="131"/>
      <c r="B45" s="132"/>
      <c r="C45" s="132"/>
      <c r="D45" s="129" t="s">
        <v>853</v>
      </c>
      <c r="E45" s="159">
        <f>Vripple2*1000</f>
        <v>100.77114103217045</v>
      </c>
      <c r="F45" s="170" t="s">
        <v>290</v>
      </c>
      <c r="G45" s="134"/>
      <c r="H45" s="132"/>
      <c r="I45" s="86"/>
      <c r="J45" s="86"/>
      <c r="K45" s="86"/>
      <c r="L45" s="86"/>
      <c r="M45" s="86"/>
      <c r="N45" s="86"/>
      <c r="O45" s="86"/>
      <c r="P45" s="86"/>
      <c r="Q45" s="111"/>
      <c r="R45" s="553"/>
    </row>
    <row r="46" spans="1:18" ht="14.1" customHeight="1" thickBot="1" x14ac:dyDescent="0.25">
      <c r="A46" s="166"/>
      <c r="B46" s="167"/>
      <c r="C46" s="167"/>
      <c r="D46" s="130" t="s">
        <v>854</v>
      </c>
      <c r="E46" s="171">
        <f>'Variable Management'!B163</f>
        <v>7.0992957397195386</v>
      </c>
      <c r="F46" s="168" t="s">
        <v>176</v>
      </c>
      <c r="G46" s="136"/>
      <c r="H46" s="132"/>
      <c r="I46" s="86"/>
      <c r="J46" s="86"/>
      <c r="K46" s="86"/>
      <c r="L46" s="86"/>
      <c r="M46" s="86"/>
      <c r="N46" s="86"/>
      <c r="O46" s="86"/>
      <c r="P46" s="86"/>
      <c r="Q46" s="111"/>
      <c r="R46" s="553"/>
    </row>
    <row r="47" spans="1:18" ht="17.100000000000001" customHeight="1" x14ac:dyDescent="0.2">
      <c r="A47" s="196"/>
      <c r="B47" s="142"/>
      <c r="C47" s="142"/>
      <c r="D47" s="142"/>
      <c r="E47" s="142"/>
      <c r="F47" s="142"/>
      <c r="G47" s="132"/>
      <c r="H47" s="132"/>
      <c r="I47" s="86"/>
      <c r="J47" s="86"/>
      <c r="K47" s="86"/>
      <c r="L47" s="86"/>
      <c r="M47" s="289" t="s">
        <v>960</v>
      </c>
      <c r="N47" s="621" t="str">
        <f>VIN_nom&amp;"V"</f>
        <v>19V</v>
      </c>
      <c r="O47" s="86"/>
      <c r="P47" s="86"/>
      <c r="Q47" s="111"/>
      <c r="R47" s="553"/>
    </row>
    <row r="48" spans="1:18" ht="19.5" thickBot="1" x14ac:dyDescent="0.35">
      <c r="A48" s="194" t="s">
        <v>171</v>
      </c>
      <c r="B48" s="139"/>
      <c r="C48" s="140"/>
      <c r="D48" s="140"/>
      <c r="E48" s="132"/>
      <c r="F48" s="132"/>
      <c r="G48" s="132"/>
      <c r="H48" s="132"/>
      <c r="I48" s="86"/>
      <c r="J48" s="86"/>
      <c r="K48" s="86"/>
      <c r="L48" s="113"/>
      <c r="M48" s="117"/>
      <c r="N48" s="117"/>
      <c r="O48" s="86"/>
      <c r="P48" s="86"/>
      <c r="Q48" s="111"/>
      <c r="R48" s="553"/>
    </row>
    <row r="49" spans="1:18" ht="14.1" customHeight="1" x14ac:dyDescent="0.25">
      <c r="A49" s="181"/>
      <c r="B49" s="172"/>
      <c r="C49" s="161"/>
      <c r="D49" s="163" t="s">
        <v>860</v>
      </c>
      <c r="E49" s="174">
        <v>100</v>
      </c>
      <c r="F49" s="164" t="s">
        <v>287</v>
      </c>
      <c r="G49" s="132"/>
      <c r="H49" s="132"/>
      <c r="I49" s="86"/>
      <c r="J49" s="114"/>
      <c r="K49" s="86"/>
      <c r="L49" s="86"/>
      <c r="M49" s="86"/>
      <c r="N49" s="86"/>
      <c r="O49" s="86"/>
      <c r="P49" s="86"/>
      <c r="Q49" s="111"/>
      <c r="R49" s="553"/>
    </row>
    <row r="50" spans="1:18" ht="14.1" customHeight="1" x14ac:dyDescent="0.2">
      <c r="A50" s="143"/>
      <c r="B50" s="140"/>
      <c r="C50" s="132"/>
      <c r="D50" s="129" t="s">
        <v>861</v>
      </c>
      <c r="E50" s="583">
        <f>'Variable Management'!B188</f>
        <v>66.964285714285722</v>
      </c>
      <c r="F50" s="170" t="s">
        <v>271</v>
      </c>
      <c r="G50" s="132"/>
      <c r="H50" s="132"/>
      <c r="I50" s="86"/>
      <c r="J50" s="114"/>
      <c r="K50" s="86"/>
      <c r="L50" s="86"/>
      <c r="M50" s="86"/>
      <c r="N50" s="86"/>
      <c r="O50" s="86"/>
      <c r="P50" s="86"/>
      <c r="Q50" s="111"/>
      <c r="R50" s="553"/>
    </row>
    <row r="51" spans="1:18" ht="14.1" customHeight="1" x14ac:dyDescent="0.25">
      <c r="A51" s="131"/>
      <c r="B51" s="132"/>
      <c r="C51" s="140"/>
      <c r="D51" s="160" t="s">
        <v>364</v>
      </c>
      <c r="E51" s="133">
        <v>100</v>
      </c>
      <c r="F51" s="165" t="s">
        <v>271</v>
      </c>
      <c r="G51" s="132"/>
      <c r="H51" s="132"/>
      <c r="I51" s="86"/>
      <c r="J51" s="114"/>
      <c r="K51" s="86"/>
      <c r="L51" s="86"/>
      <c r="M51" s="86"/>
      <c r="N51" s="86"/>
      <c r="O51" s="86"/>
      <c r="P51" s="86"/>
      <c r="Q51" s="111"/>
      <c r="R51" s="553"/>
    </row>
    <row r="52" spans="1:18" ht="14.1" customHeight="1" x14ac:dyDescent="0.2">
      <c r="A52" s="131"/>
      <c r="B52" s="132"/>
      <c r="C52" s="140"/>
      <c r="D52" s="129" t="s">
        <v>296</v>
      </c>
      <c r="E52" s="583">
        <f>'Variable Management'!B193</f>
        <v>3.7270528288656055</v>
      </c>
      <c r="F52" s="170" t="s">
        <v>53</v>
      </c>
      <c r="G52" s="132"/>
      <c r="H52" s="132"/>
      <c r="I52" s="86"/>
      <c r="J52" s="115"/>
      <c r="K52" s="86"/>
      <c r="L52" s="86"/>
      <c r="M52" s="86"/>
      <c r="N52" s="86"/>
      <c r="O52" s="86"/>
      <c r="P52" s="86"/>
      <c r="Q52" s="111" t="s">
        <v>214</v>
      </c>
      <c r="R52" s="553"/>
    </row>
    <row r="53" spans="1:18" ht="14.1" customHeight="1" x14ac:dyDescent="0.2">
      <c r="A53" s="131"/>
      <c r="B53" s="132"/>
      <c r="C53" s="140"/>
      <c r="D53" s="160" t="s">
        <v>298</v>
      </c>
      <c r="E53" s="133">
        <v>2</v>
      </c>
      <c r="F53" s="165" t="s">
        <v>53</v>
      </c>
      <c r="G53" s="132"/>
      <c r="H53" s="132"/>
      <c r="I53" s="86"/>
      <c r="J53" s="115"/>
      <c r="K53" s="86"/>
      <c r="L53" s="86"/>
      <c r="M53" s="86"/>
      <c r="N53" s="86"/>
      <c r="O53" s="86"/>
      <c r="P53" s="86"/>
      <c r="Q53" s="111"/>
      <c r="R53" s="553"/>
    </row>
    <row r="54" spans="1:18" ht="14.1" customHeight="1" x14ac:dyDescent="0.3">
      <c r="A54" s="131"/>
      <c r="B54" s="132"/>
      <c r="C54" s="140"/>
      <c r="D54" s="129" t="s">
        <v>852</v>
      </c>
      <c r="E54" s="159">
        <f>Vinripple2*1000</f>
        <v>84.691812423784654</v>
      </c>
      <c r="F54" s="170" t="s">
        <v>290</v>
      </c>
      <c r="G54" s="132"/>
      <c r="H54" s="132"/>
      <c r="I54" s="86"/>
      <c r="J54" s="115"/>
      <c r="K54" s="86"/>
      <c r="L54" s="86"/>
      <c r="M54" s="86"/>
      <c r="N54" s="86"/>
      <c r="O54" s="86"/>
      <c r="P54" s="86"/>
      <c r="Q54" s="111"/>
      <c r="R54" s="553"/>
    </row>
    <row r="55" spans="1:18" ht="14.1" customHeight="1" thickBot="1" x14ac:dyDescent="0.25">
      <c r="A55" s="166"/>
      <c r="B55" s="167"/>
      <c r="C55" s="167"/>
      <c r="D55" s="130" t="s">
        <v>855</v>
      </c>
      <c r="E55" s="171">
        <f>'Variable Management'!B181</f>
        <v>2.9999626493186851</v>
      </c>
      <c r="F55" s="168" t="s">
        <v>176</v>
      </c>
      <c r="G55" s="132"/>
      <c r="H55" s="132"/>
      <c r="I55" s="86"/>
      <c r="J55" s="86"/>
      <c r="K55" s="86"/>
      <c r="L55" s="86"/>
      <c r="M55" s="86"/>
      <c r="N55" s="86"/>
      <c r="O55" s="86"/>
      <c r="P55" s="86"/>
      <c r="Q55" s="111"/>
      <c r="R55" s="553"/>
    </row>
    <row r="56" spans="1:18" ht="14.1" customHeight="1" x14ac:dyDescent="0.2">
      <c r="A56" s="131"/>
      <c r="B56" s="132"/>
      <c r="C56" s="132"/>
      <c r="D56" s="129"/>
      <c r="E56" s="132"/>
      <c r="F56" s="132"/>
      <c r="G56" s="132"/>
      <c r="H56" s="132"/>
      <c r="I56" s="86"/>
      <c r="J56" s="86"/>
      <c r="K56" s="86"/>
      <c r="L56" s="86"/>
      <c r="M56" s="86"/>
      <c r="N56" s="86"/>
      <c r="O56" s="86"/>
      <c r="P56" s="86"/>
      <c r="Q56" s="111"/>
      <c r="R56" s="553"/>
    </row>
    <row r="57" spans="1:18" ht="19.5" thickBot="1" x14ac:dyDescent="0.35">
      <c r="A57" s="194" t="s">
        <v>420</v>
      </c>
      <c r="B57" s="139"/>
      <c r="C57" s="132"/>
      <c r="D57" s="129"/>
      <c r="E57" s="132"/>
      <c r="F57" s="132"/>
      <c r="G57" s="132"/>
      <c r="H57" s="144"/>
      <c r="I57" s="117"/>
      <c r="J57" s="117"/>
      <c r="K57" s="117"/>
      <c r="L57" s="117"/>
      <c r="M57" s="117"/>
      <c r="N57" s="86"/>
      <c r="O57" s="86"/>
      <c r="P57" s="86"/>
      <c r="Q57" s="111"/>
      <c r="R57" s="553"/>
    </row>
    <row r="58" spans="1:18" ht="13.7" customHeight="1" x14ac:dyDescent="0.2">
      <c r="A58" s="283"/>
      <c r="B58" s="284"/>
      <c r="C58" s="284"/>
      <c r="D58" s="293" t="s">
        <v>366</v>
      </c>
      <c r="E58" s="287">
        <v>15</v>
      </c>
      <c r="F58" s="288" t="s">
        <v>180</v>
      </c>
      <c r="G58" s="132"/>
      <c r="H58" s="142"/>
      <c r="I58" s="117"/>
      <c r="J58" s="117"/>
      <c r="K58" s="117"/>
      <c r="L58" s="117"/>
      <c r="M58" s="117"/>
      <c r="N58" s="86"/>
      <c r="O58" s="86"/>
      <c r="P58" s="86"/>
      <c r="Q58" s="111"/>
      <c r="R58" s="553"/>
    </row>
    <row r="59" spans="1:18" ht="13.7" customHeight="1" x14ac:dyDescent="0.2">
      <c r="A59" s="273"/>
      <c r="B59" s="272"/>
      <c r="C59" s="272"/>
      <c r="D59" s="274" t="s">
        <v>365</v>
      </c>
      <c r="E59" s="294">
        <f>IF(Tss&gt;1.28/1000,Css_u*1000000000,"N/A")</f>
        <v>100</v>
      </c>
      <c r="F59" s="276" t="s">
        <v>172</v>
      </c>
      <c r="G59" s="132"/>
      <c r="H59" s="142"/>
      <c r="I59" s="117"/>
      <c r="J59" s="117"/>
      <c r="K59" s="117"/>
      <c r="L59" s="117"/>
      <c r="M59" s="117"/>
      <c r="N59" s="86"/>
      <c r="O59" s="86"/>
      <c r="P59" s="86"/>
      <c r="Q59" s="111"/>
      <c r="R59" s="553"/>
    </row>
    <row r="60" spans="1:18" ht="13.7" customHeight="1" x14ac:dyDescent="0.2">
      <c r="A60" s="273"/>
      <c r="B60" s="272"/>
      <c r="C60" s="272"/>
      <c r="D60" s="295" t="s">
        <v>955</v>
      </c>
      <c r="E60" s="298">
        <v>5</v>
      </c>
      <c r="F60" s="291" t="str">
        <f>IF(DITHER=1, "kHz", "")</f>
        <v>kHz</v>
      </c>
      <c r="G60" s="132"/>
      <c r="H60" s="132"/>
      <c r="I60" s="86"/>
      <c r="J60" s="84"/>
      <c r="K60" s="127"/>
      <c r="L60" s="86"/>
      <c r="M60" s="117"/>
      <c r="N60" s="86"/>
      <c r="O60" s="86"/>
      <c r="P60" s="86"/>
      <c r="Q60" s="111"/>
      <c r="R60" s="553"/>
    </row>
    <row r="61" spans="1:18" ht="13.7" customHeight="1" x14ac:dyDescent="0.2">
      <c r="A61" s="273"/>
      <c r="B61" s="272"/>
      <c r="C61" s="272"/>
      <c r="D61" s="274" t="str">
        <f>IF(DITHER=1, "DITH Capacitance, Cd", "*Short DITH pin to GND")</f>
        <v>DITH Capacitance, Cd</v>
      </c>
      <c r="E61" s="274">
        <f>IF(DITHER=1,IF(E60&gt;0,'Standard Value Calculator'!O19*1000000000,"N/A"),"")</f>
        <v>8.2000000000000011</v>
      </c>
      <c r="F61" s="276" t="str">
        <f>IF(DITHER=1, "nF", "")</f>
        <v>nF</v>
      </c>
      <c r="G61" s="132"/>
      <c r="H61" s="132"/>
      <c r="I61" s="86"/>
      <c r="J61" s="84"/>
      <c r="K61" s="127"/>
      <c r="L61" s="86"/>
      <c r="M61" s="117"/>
      <c r="N61" s="86"/>
      <c r="O61" s="86"/>
      <c r="P61" s="86"/>
      <c r="Q61" s="111"/>
      <c r="R61" s="553"/>
    </row>
    <row r="62" spans="1:18" ht="13.7" customHeight="1" x14ac:dyDescent="0.2">
      <c r="A62" s="273"/>
      <c r="B62" s="272"/>
      <c r="C62" s="296"/>
      <c r="D62" s="297" t="s">
        <v>386</v>
      </c>
      <c r="E62" s="298">
        <v>5.5</v>
      </c>
      <c r="F62" s="291" t="s">
        <v>0</v>
      </c>
      <c r="G62" s="132"/>
      <c r="H62" s="132"/>
      <c r="I62" s="86"/>
      <c r="J62" s="84"/>
      <c r="K62" s="127"/>
      <c r="L62" s="86"/>
      <c r="M62" s="117"/>
      <c r="N62" s="86"/>
      <c r="O62" s="86"/>
      <c r="P62" s="86"/>
      <c r="Q62" s="111"/>
      <c r="R62" s="553"/>
    </row>
    <row r="63" spans="1:18" ht="13.7" customHeight="1" x14ac:dyDescent="0.2">
      <c r="A63" s="273"/>
      <c r="B63" s="272"/>
      <c r="C63" s="272"/>
      <c r="D63" s="274" t="s">
        <v>346</v>
      </c>
      <c r="E63" s="300">
        <f>'Variable Management'!B216</f>
        <v>4.8439847036328869</v>
      </c>
      <c r="F63" s="276" t="s">
        <v>0</v>
      </c>
      <c r="G63" s="132"/>
      <c r="H63" s="132"/>
      <c r="I63" s="86"/>
      <c r="J63" s="84"/>
      <c r="K63" s="127"/>
      <c r="L63" s="86"/>
      <c r="M63" s="117"/>
      <c r="N63" s="86"/>
      <c r="O63" s="86"/>
      <c r="P63" s="86"/>
      <c r="Q63" s="111"/>
      <c r="R63" s="553"/>
    </row>
    <row r="64" spans="1:18" ht="13.7" customHeight="1" x14ac:dyDescent="0.2">
      <c r="A64" s="273"/>
      <c r="B64" s="272"/>
      <c r="C64" s="296"/>
      <c r="D64" s="297" t="s">
        <v>385</v>
      </c>
      <c r="E64" s="298">
        <v>200</v>
      </c>
      <c r="F64" s="276" t="s">
        <v>54</v>
      </c>
      <c r="G64" s="132"/>
      <c r="H64" s="132"/>
      <c r="I64" s="86"/>
      <c r="J64" s="84"/>
      <c r="K64" s="127"/>
      <c r="L64" s="86"/>
      <c r="M64" s="117"/>
      <c r="N64" s="86"/>
      <c r="O64" s="86"/>
      <c r="P64" s="86"/>
      <c r="Q64" s="111"/>
      <c r="R64" s="553"/>
    </row>
    <row r="65" spans="1:35" ht="15" customHeight="1" thickBot="1" x14ac:dyDescent="0.25">
      <c r="A65" s="301"/>
      <c r="B65" s="302"/>
      <c r="C65" s="302"/>
      <c r="D65" s="299" t="s">
        <v>384</v>
      </c>
      <c r="E65" s="299">
        <f>'Variable Management'!E213</f>
        <v>52.300000000000004</v>
      </c>
      <c r="F65" s="303" t="s">
        <v>54</v>
      </c>
      <c r="G65" s="132"/>
      <c r="H65" s="132"/>
      <c r="I65" s="86"/>
      <c r="J65" s="84"/>
      <c r="K65" s="127"/>
      <c r="L65" s="86"/>
      <c r="M65" s="117"/>
      <c r="N65" s="86"/>
      <c r="O65" s="86"/>
      <c r="P65" s="86"/>
      <c r="Q65" s="111"/>
      <c r="R65" s="553"/>
    </row>
    <row r="66" spans="1:35" ht="14.1" customHeight="1" x14ac:dyDescent="0.2">
      <c r="A66" s="131"/>
      <c r="B66" s="132"/>
      <c r="C66" s="132"/>
      <c r="D66" s="129"/>
      <c r="E66" s="145"/>
      <c r="F66" s="132"/>
      <c r="G66" s="132"/>
      <c r="H66" s="132"/>
      <c r="I66" s="86"/>
      <c r="J66" s="84"/>
      <c r="K66" s="127"/>
      <c r="L66" s="86"/>
      <c r="M66" s="117"/>
      <c r="N66" s="86"/>
      <c r="O66" s="86"/>
      <c r="P66" s="86"/>
      <c r="Q66" s="111"/>
      <c r="R66" s="553"/>
    </row>
    <row r="67" spans="1:35" ht="19.5" customHeight="1" thickBot="1" x14ac:dyDescent="0.25">
      <c r="A67" s="194" t="s">
        <v>292</v>
      </c>
      <c r="B67" s="147"/>
      <c r="C67" s="140"/>
      <c r="D67" s="620"/>
      <c r="E67" s="141"/>
      <c r="F67" s="140"/>
      <c r="G67" s="132"/>
      <c r="H67" s="132"/>
      <c r="I67" s="86"/>
      <c r="J67" s="86"/>
      <c r="K67" s="86"/>
      <c r="L67" s="86"/>
      <c r="M67" s="86"/>
      <c r="N67" s="86"/>
      <c r="O67" s="86"/>
      <c r="P67" s="86"/>
      <c r="Q67" s="111"/>
      <c r="R67" s="552"/>
      <c r="S67" s="54"/>
      <c r="T67" s="54"/>
      <c r="W67" s="54"/>
      <c r="X67" s="54"/>
      <c r="Y67" s="54"/>
      <c r="AB67" s="54"/>
      <c r="AC67" s="54"/>
      <c r="AD67" s="54"/>
      <c r="AG67" s="54"/>
      <c r="AH67" s="54"/>
      <c r="AI67" s="54"/>
    </row>
    <row r="68" spans="1:35" ht="15" customHeight="1" x14ac:dyDescent="0.2">
      <c r="A68" s="283"/>
      <c r="B68" s="284"/>
      <c r="C68" s="285"/>
      <c r="D68" s="285" t="s">
        <v>388</v>
      </c>
      <c r="E68" s="396">
        <f>Fp_dominant</f>
        <v>781.55008864865476</v>
      </c>
      <c r="F68" s="304" t="s">
        <v>10</v>
      </c>
      <c r="G68" s="132"/>
      <c r="H68" s="132"/>
      <c r="I68" s="86"/>
      <c r="J68" s="86"/>
      <c r="K68" s="86"/>
      <c r="L68" s="86"/>
      <c r="M68" s="86"/>
      <c r="N68" s="86"/>
      <c r="O68" s="86"/>
      <c r="P68" s="86"/>
      <c r="Q68" s="111"/>
      <c r="R68" s="552"/>
      <c r="S68" s="54"/>
      <c r="T68" s="54"/>
      <c r="W68" s="54"/>
      <c r="X68" s="54"/>
      <c r="Y68" s="54"/>
      <c r="AB68" s="54"/>
      <c r="AC68" s="54"/>
      <c r="AD68" s="54"/>
      <c r="AG68" s="54"/>
      <c r="AH68" s="54"/>
      <c r="AI68" s="54"/>
    </row>
    <row r="69" spans="1:35" ht="15" customHeight="1" x14ac:dyDescent="0.2">
      <c r="A69" s="273"/>
      <c r="B69" s="272"/>
      <c r="C69" s="274"/>
      <c r="D69" s="274" t="s">
        <v>387</v>
      </c>
      <c r="E69" s="277">
        <f>Fesr/1000</f>
        <v>83.589781131174561</v>
      </c>
      <c r="F69" s="276" t="s">
        <v>3</v>
      </c>
      <c r="G69" s="132"/>
      <c r="H69" s="132"/>
      <c r="I69" s="86"/>
      <c r="J69" s="86"/>
      <c r="K69" s="86"/>
      <c r="L69" s="86"/>
      <c r="M69" s="86"/>
      <c r="N69" s="86"/>
      <c r="O69" s="86"/>
      <c r="P69" s="86"/>
      <c r="Q69" s="111"/>
      <c r="R69" s="552"/>
      <c r="S69" s="54"/>
      <c r="T69" s="54"/>
      <c r="W69" s="54"/>
      <c r="X69" s="54"/>
      <c r="Y69" s="54"/>
      <c r="AB69" s="54"/>
      <c r="AC69" s="54"/>
      <c r="AD69" s="54"/>
      <c r="AG69" s="54"/>
      <c r="AH69" s="54"/>
      <c r="AI69" s="54"/>
    </row>
    <row r="70" spans="1:35" ht="15" customHeight="1" x14ac:dyDescent="0.2">
      <c r="A70" s="273"/>
      <c r="B70" s="272"/>
      <c r="C70" s="274"/>
      <c r="D70" s="274" t="s">
        <v>470</v>
      </c>
      <c r="E70" s="277">
        <f>Frhp/1000</f>
        <v>9.0525520370380885</v>
      </c>
      <c r="F70" s="276" t="s">
        <v>3</v>
      </c>
      <c r="G70" s="132"/>
      <c r="H70" s="132"/>
      <c r="I70" s="86"/>
      <c r="J70" s="86"/>
      <c r="K70" s="86"/>
      <c r="L70" s="86"/>
      <c r="M70" s="86"/>
      <c r="N70" s="86"/>
      <c r="O70" s="86"/>
      <c r="P70" s="86"/>
      <c r="Q70" s="111"/>
      <c r="R70" s="552"/>
      <c r="S70" s="54"/>
      <c r="T70" s="54"/>
      <c r="W70" s="54"/>
      <c r="X70" s="54"/>
      <c r="Y70" s="54"/>
      <c r="AB70" s="54"/>
      <c r="AC70" s="54"/>
      <c r="AD70" s="54"/>
      <c r="AG70" s="54"/>
      <c r="AH70" s="54"/>
      <c r="AI70" s="54"/>
    </row>
    <row r="71" spans="1:35" ht="15" customHeight="1" x14ac:dyDescent="0.2">
      <c r="A71" s="273"/>
      <c r="B71" s="272"/>
      <c r="C71" s="274"/>
      <c r="D71" s="297" t="s">
        <v>304</v>
      </c>
      <c r="E71" s="305">
        <v>10</v>
      </c>
      <c r="F71" s="306" t="str">
        <f>"     kHz "</f>
        <v xml:space="preserve">     kHz </v>
      </c>
      <c r="G71" s="132"/>
      <c r="H71" s="132"/>
      <c r="I71" s="86"/>
      <c r="J71" s="86"/>
      <c r="K71" s="86"/>
      <c r="L71" s="86"/>
      <c r="M71" s="86"/>
      <c r="N71" s="86"/>
      <c r="O71" s="86"/>
      <c r="P71" s="86"/>
      <c r="Q71" s="111"/>
      <c r="R71" s="552"/>
      <c r="S71" s="54"/>
      <c r="T71" s="54"/>
      <c r="W71" s="54"/>
      <c r="X71" s="54"/>
      <c r="Y71" s="54"/>
      <c r="AB71" s="54"/>
      <c r="AC71" s="54"/>
      <c r="AD71" s="54"/>
      <c r="AG71" s="54"/>
      <c r="AH71" s="54"/>
      <c r="AI71" s="54"/>
    </row>
    <row r="72" spans="1:35" ht="15" customHeight="1" x14ac:dyDescent="0.2">
      <c r="A72" s="273"/>
      <c r="B72" s="272"/>
      <c r="C72" s="274"/>
      <c r="D72" s="274" t="s">
        <v>526</v>
      </c>
      <c r="E72" s="277">
        <f>Fp1_u</f>
        <v>2.9455317176396494</v>
      </c>
      <c r="F72" s="276" t="s">
        <v>10</v>
      </c>
      <c r="G72" s="132"/>
      <c r="H72" s="132"/>
      <c r="I72" s="86"/>
      <c r="J72" s="86"/>
      <c r="K72" s="86"/>
      <c r="L72" s="86"/>
      <c r="M72" s="86"/>
      <c r="N72" s="86"/>
      <c r="O72" s="86"/>
      <c r="P72" s="86"/>
      <c r="Q72" s="111"/>
      <c r="R72" s="552"/>
      <c r="S72" s="54"/>
      <c r="T72" s="54"/>
      <c r="W72" s="54"/>
      <c r="X72" s="54"/>
      <c r="Y72" s="54"/>
      <c r="AB72" s="54"/>
      <c r="AC72" s="54"/>
      <c r="AD72" s="54"/>
      <c r="AG72" s="54"/>
      <c r="AH72" s="54"/>
      <c r="AI72" s="54"/>
    </row>
    <row r="73" spans="1:35" ht="15" customHeight="1" x14ac:dyDescent="0.2">
      <c r="A73" s="273"/>
      <c r="B73" s="272"/>
      <c r="C73" s="274"/>
      <c r="D73" s="297" t="s">
        <v>367</v>
      </c>
      <c r="E73" s="307">
        <v>100</v>
      </c>
      <c r="F73" s="291" t="s">
        <v>54</v>
      </c>
      <c r="G73" s="132"/>
      <c r="H73" s="132"/>
      <c r="I73" s="86"/>
      <c r="J73" s="86"/>
      <c r="K73" s="86"/>
      <c r="L73" s="86"/>
      <c r="M73" s="86"/>
      <c r="N73" s="86"/>
      <c r="O73" s="86"/>
      <c r="P73" s="86"/>
      <c r="Q73" s="111"/>
      <c r="R73" s="552"/>
      <c r="S73" s="54"/>
      <c r="T73" s="54"/>
      <c r="W73" s="54"/>
      <c r="X73" s="54"/>
      <c r="Y73" s="54"/>
      <c r="AB73" s="54"/>
      <c r="AC73" s="54"/>
      <c r="AD73" s="54"/>
      <c r="AG73" s="54"/>
      <c r="AH73" s="54"/>
      <c r="AI73" s="54"/>
    </row>
    <row r="74" spans="1:35" ht="17.25" customHeight="1" thickBot="1" x14ac:dyDescent="0.25">
      <c r="A74" s="278"/>
      <c r="B74" s="279"/>
      <c r="C74" s="280"/>
      <c r="D74" s="280" t="s">
        <v>368</v>
      </c>
      <c r="E74" s="280">
        <f>IF(Vout=Vref,"OPEN",Rfb2_u/1000)</f>
        <v>7.15</v>
      </c>
      <c r="F74" s="282" t="str">
        <f>IF(Vout=Vref,"","kΩ")</f>
        <v>kΩ</v>
      </c>
      <c r="G74" s="132"/>
      <c r="H74" s="132"/>
      <c r="I74" s="86"/>
      <c r="J74" s="86"/>
      <c r="K74" s="86"/>
      <c r="L74" s="86"/>
      <c r="M74" s="86"/>
      <c r="N74" s="86"/>
      <c r="O74" s="86"/>
      <c r="P74" s="86"/>
      <c r="Q74" s="111"/>
      <c r="R74" s="552"/>
      <c r="S74" s="54"/>
      <c r="T74" s="54"/>
      <c r="W74" s="54"/>
      <c r="X74" s="54"/>
      <c r="Y74" s="54"/>
      <c r="AB74" s="54"/>
      <c r="AC74" s="54"/>
      <c r="AD74" s="54"/>
      <c r="AG74" s="54"/>
      <c r="AH74" s="54"/>
      <c r="AI74" s="54"/>
    </row>
    <row r="75" spans="1:35" ht="13.5" customHeight="1" x14ac:dyDescent="0.2">
      <c r="A75" s="197"/>
      <c r="B75" s="614"/>
      <c r="C75" s="153"/>
      <c r="D75" s="142"/>
      <c r="E75" s="142"/>
      <c r="F75" s="142"/>
      <c r="G75" s="152"/>
      <c r="H75" s="151"/>
      <c r="I75" s="86"/>
      <c r="J75" s="86"/>
      <c r="K75" s="86"/>
      <c r="L75" s="86"/>
      <c r="M75" s="86"/>
      <c r="N75" s="86"/>
      <c r="O75" s="86"/>
      <c r="P75" s="86"/>
      <c r="Q75" s="111"/>
      <c r="R75" s="552"/>
      <c r="S75" s="54"/>
      <c r="T75" s="54"/>
      <c r="W75" s="54"/>
      <c r="X75" s="54"/>
      <c r="Y75" s="54"/>
      <c r="AB75" s="54"/>
      <c r="AC75" s="54"/>
      <c r="AD75" s="54"/>
      <c r="AG75" s="54"/>
      <c r="AH75" s="54"/>
      <c r="AI75" s="54"/>
    </row>
    <row r="76" spans="1:35" ht="15.75" customHeight="1" x14ac:dyDescent="0.25">
      <c r="A76" s="519" t="s">
        <v>284</v>
      </c>
      <c r="B76" s="154"/>
      <c r="C76" s="129"/>
      <c r="D76" s="148"/>
      <c r="E76" s="149"/>
      <c r="F76" s="150"/>
      <c r="G76" s="155"/>
      <c r="H76" s="132"/>
      <c r="I76" s="86"/>
      <c r="J76" s="86"/>
      <c r="K76" s="86"/>
      <c r="L76" s="86"/>
      <c r="M76" s="86"/>
      <c r="N76" s="86"/>
      <c r="O76" s="86"/>
      <c r="P76" s="86"/>
      <c r="Q76" s="111"/>
      <c r="R76" s="552"/>
      <c r="S76" s="200"/>
      <c r="T76" s="200"/>
      <c r="U76" s="201"/>
      <c r="V76" s="201"/>
      <c r="W76" s="200"/>
      <c r="X76" s="200"/>
      <c r="Y76" s="200"/>
      <c r="Z76" s="201"/>
      <c r="AA76" s="201"/>
      <c r="AB76" s="200"/>
      <c r="AC76" s="200"/>
      <c r="AD76" s="200"/>
      <c r="AE76" s="201"/>
      <c r="AF76" s="201"/>
      <c r="AG76" s="54"/>
      <c r="AH76" s="54"/>
      <c r="AI76" s="54"/>
    </row>
    <row r="77" spans="1:35" s="213" customFormat="1" ht="13.5" customHeight="1" thickBot="1" x14ac:dyDescent="0.25">
      <c r="A77" s="218"/>
      <c r="B77" s="219" t="s">
        <v>293</v>
      </c>
      <c r="C77" s="221" t="s">
        <v>283</v>
      </c>
      <c r="D77" s="220" t="str">
        <f>"    Selected"</f>
        <v xml:space="preserve">    Selected</v>
      </c>
      <c r="E77" s="620"/>
      <c r="F77" s="622" t="s">
        <v>285</v>
      </c>
      <c r="G77" s="622"/>
      <c r="H77" s="622"/>
      <c r="I77" s="208"/>
      <c r="J77" s="208"/>
      <c r="K77" s="208"/>
      <c r="L77" s="208"/>
      <c r="M77" s="208"/>
      <c r="N77" s="208"/>
      <c r="O77" s="208"/>
      <c r="P77" s="208"/>
      <c r="Q77" s="209"/>
      <c r="R77" s="554"/>
      <c r="S77" s="210"/>
      <c r="T77" s="210"/>
      <c r="U77" s="211"/>
      <c r="V77" s="211"/>
      <c r="W77" s="210"/>
      <c r="X77" s="210"/>
      <c r="Y77" s="210"/>
      <c r="Z77" s="211"/>
      <c r="AA77" s="211"/>
      <c r="AB77" s="210"/>
      <c r="AC77" s="210"/>
      <c r="AD77" s="210"/>
      <c r="AE77" s="211"/>
      <c r="AF77" s="211"/>
      <c r="AG77" s="212"/>
      <c r="AH77" s="212"/>
      <c r="AI77" s="212"/>
    </row>
    <row r="78" spans="1:35" ht="15.75" x14ac:dyDescent="0.3">
      <c r="A78" s="179" t="s">
        <v>469</v>
      </c>
      <c r="B78" s="192">
        <f>Rcea1/1000</f>
        <v>8.0741404800000005</v>
      </c>
      <c r="C78" s="175">
        <f>'Standard Value Calculator'!O27</f>
        <v>8.06</v>
      </c>
      <c r="D78" s="176">
        <v>12.1</v>
      </c>
      <c r="E78" s="177" t="s">
        <v>54</v>
      </c>
      <c r="F78" s="573">
        <f>Fp1_u</f>
        <v>2.9455317176396494</v>
      </c>
      <c r="G78" s="469" t="s">
        <v>632</v>
      </c>
      <c r="H78" s="142"/>
      <c r="I78" s="129" t="s">
        <v>807</v>
      </c>
      <c r="J78" s="546" t="str">
        <f>ROUND('Variable Management'!B269,2)&amp;"V"</f>
        <v>1.07V</v>
      </c>
      <c r="K78" s="132"/>
      <c r="L78" s="86"/>
      <c r="M78" s="86"/>
      <c r="N78" s="86"/>
      <c r="O78" s="86"/>
      <c r="P78" s="86"/>
      <c r="Q78" s="111"/>
      <c r="R78" s="552"/>
      <c r="S78" s="200"/>
      <c r="T78" s="200"/>
      <c r="U78" s="201"/>
      <c r="V78" s="201"/>
      <c r="W78" s="200"/>
      <c r="X78" s="200"/>
      <c r="Y78" s="200"/>
      <c r="Z78" s="201"/>
      <c r="AA78" s="201"/>
      <c r="AB78" s="200"/>
      <c r="AC78" s="200"/>
      <c r="AD78" s="200"/>
      <c r="AE78" s="201"/>
      <c r="AF78" s="201"/>
      <c r="AG78" s="54"/>
      <c r="AH78" s="54"/>
      <c r="AI78" s="54"/>
    </row>
    <row r="79" spans="1:35" ht="15.75" x14ac:dyDescent="0.3">
      <c r="A79" s="180" t="s">
        <v>288</v>
      </c>
      <c r="B79" s="530">
        <f>Cc1ea*1000000000</f>
        <v>3.9423377303872811</v>
      </c>
      <c r="C79" s="151">
        <f>'Standard Value Calculator'!O28</f>
        <v>3.9</v>
      </c>
      <c r="D79" s="156">
        <v>2.7</v>
      </c>
      <c r="E79" s="178" t="s">
        <v>172</v>
      </c>
      <c r="F79" s="470">
        <f>Fz1_u/1000</f>
        <v>4.8715929988906144</v>
      </c>
      <c r="G79" s="471" t="s">
        <v>726</v>
      </c>
      <c r="H79" s="142"/>
      <c r="I79" s="129" t="s">
        <v>806</v>
      </c>
      <c r="J79" s="546" t="str">
        <f>ROUND('Variable Management'!B270,2)&amp;"V"</f>
        <v>2.58V</v>
      </c>
      <c r="K79" s="132"/>
      <c r="L79" s="86"/>
      <c r="M79" s="86"/>
      <c r="N79" s="86"/>
      <c r="O79" s="86"/>
      <c r="P79" s="86"/>
      <c r="Q79" s="111"/>
      <c r="R79" s="552"/>
      <c r="S79" s="200"/>
      <c r="T79" s="200"/>
      <c r="U79" s="201"/>
      <c r="V79" s="201"/>
      <c r="W79" s="200"/>
      <c r="X79" s="200"/>
      <c r="Y79" s="200"/>
      <c r="Z79" s="201"/>
      <c r="AA79" s="201"/>
      <c r="AB79" s="200"/>
      <c r="AC79" s="200"/>
      <c r="AD79" s="200"/>
      <c r="AE79" s="201"/>
      <c r="AF79" s="201"/>
      <c r="AG79" s="54"/>
      <c r="AH79" s="54"/>
      <c r="AI79" s="54"/>
    </row>
    <row r="80" spans="1:35" ht="16.5" thickBot="1" x14ac:dyDescent="0.35">
      <c r="A80" s="397" t="s">
        <v>289</v>
      </c>
      <c r="B80" s="193">
        <f>IF(Cc2ea*1000000000000&lt;0, 0, Cc2ea*1000000000000)</f>
        <v>210.54872703924022</v>
      </c>
      <c r="C80" s="189">
        <f>'Standard Value Calculator'!O29</f>
        <v>220</v>
      </c>
      <c r="D80" s="190">
        <v>10</v>
      </c>
      <c r="E80" s="191" t="s">
        <v>32</v>
      </c>
      <c r="F80" s="477">
        <f>Fp2_u/1000</f>
        <v>372.97561591911386</v>
      </c>
      <c r="G80" s="472" t="s">
        <v>727</v>
      </c>
      <c r="H80" s="142"/>
      <c r="I80" s="86"/>
      <c r="J80" s="86"/>
      <c r="K80" s="86"/>
      <c r="L80" s="86"/>
      <c r="M80" s="86"/>
      <c r="N80" s="86"/>
      <c r="O80" s="86"/>
      <c r="P80" s="86"/>
      <c r="Q80" s="111"/>
      <c r="R80" s="552"/>
      <c r="S80" s="200"/>
      <c r="T80" s="200"/>
      <c r="U80" s="201"/>
      <c r="V80" s="201"/>
      <c r="W80" s="200"/>
      <c r="X80" s="200"/>
      <c r="Y80" s="200"/>
      <c r="Z80" s="201"/>
      <c r="AA80" s="201"/>
      <c r="AB80" s="200"/>
      <c r="AC80" s="200"/>
      <c r="AD80" s="200"/>
      <c r="AE80" s="201"/>
      <c r="AF80" s="201"/>
      <c r="AG80" s="54"/>
      <c r="AH80" s="54"/>
      <c r="AI80" s="54"/>
    </row>
    <row r="81" spans="1:35" ht="13.5" thickBot="1" x14ac:dyDescent="0.25">
      <c r="A81" s="131"/>
      <c r="B81" s="129"/>
      <c r="C81" s="129"/>
      <c r="D81" s="132"/>
      <c r="E81" s="132"/>
      <c r="F81" s="132"/>
      <c r="G81" s="132"/>
      <c r="H81" s="132"/>
      <c r="I81" s="86"/>
      <c r="J81" s="86"/>
      <c r="K81" s="86"/>
      <c r="L81" s="86"/>
      <c r="M81" s="86"/>
      <c r="N81" s="86"/>
      <c r="O81" s="86"/>
      <c r="P81" s="86"/>
      <c r="Q81" s="111"/>
      <c r="R81" s="552"/>
      <c r="S81" s="200"/>
      <c r="T81" s="200"/>
      <c r="U81" s="201"/>
      <c r="V81" s="201"/>
      <c r="W81" s="200"/>
      <c r="X81" s="200"/>
      <c r="Y81" s="200"/>
      <c r="Z81" s="201"/>
      <c r="AA81" s="201"/>
      <c r="AB81" s="200"/>
      <c r="AC81" s="200"/>
      <c r="AD81" s="200"/>
      <c r="AE81" s="201"/>
      <c r="AF81" s="201"/>
      <c r="AG81" s="54"/>
      <c r="AH81" s="54"/>
      <c r="AI81" s="54"/>
    </row>
    <row r="82" spans="1:35" s="89" customFormat="1" ht="18.75" thickBot="1" x14ac:dyDescent="0.3">
      <c r="A82" s="198" t="s">
        <v>291</v>
      </c>
      <c r="B82" s="146"/>
      <c r="C82" s="157"/>
      <c r="D82" s="157"/>
      <c r="E82" s="157"/>
      <c r="F82" s="157"/>
      <c r="G82" s="157"/>
      <c r="H82" s="157"/>
      <c r="I82" s="87"/>
      <c r="J82" s="87"/>
      <c r="K82" s="87"/>
      <c r="L82" s="87"/>
      <c r="M82" s="87"/>
      <c r="N82" s="87"/>
      <c r="O82" s="87"/>
      <c r="P82" s="87"/>
      <c r="Q82" s="88"/>
      <c r="R82" s="555"/>
      <c r="S82" s="202"/>
      <c r="T82" s="202"/>
      <c r="U82" s="203"/>
      <c r="V82" s="203"/>
      <c r="W82" s="202"/>
      <c r="X82" s="202"/>
      <c r="Y82" s="202"/>
      <c r="Z82" s="203"/>
      <c r="AA82" s="203"/>
      <c r="AB82" s="202"/>
      <c r="AC82" s="202"/>
      <c r="AD82" s="202"/>
      <c r="AE82" s="203"/>
      <c r="AF82" s="203"/>
      <c r="AG82" s="55"/>
      <c r="AH82" s="55"/>
      <c r="AI82" s="55"/>
    </row>
    <row r="83" spans="1:35" x14ac:dyDescent="0.2">
      <c r="A83" s="196"/>
      <c r="B83" s="142"/>
      <c r="C83" s="132"/>
      <c r="D83" s="132"/>
      <c r="E83" s="132"/>
      <c r="F83" s="132"/>
      <c r="G83" s="132"/>
      <c r="H83" s="132"/>
      <c r="I83" s="86"/>
      <c r="J83" s="86"/>
      <c r="K83" s="86"/>
      <c r="L83" s="86"/>
      <c r="M83" s="86"/>
      <c r="N83" s="86"/>
      <c r="O83" s="86"/>
      <c r="P83" s="86"/>
      <c r="Q83" s="111"/>
      <c r="R83" s="552"/>
      <c r="S83" s="200"/>
      <c r="T83" s="200"/>
      <c r="U83" s="201"/>
      <c r="V83" s="201"/>
      <c r="W83" s="200"/>
      <c r="X83" s="200"/>
      <c r="Y83" s="200"/>
      <c r="Z83" s="201"/>
      <c r="AA83" s="201"/>
      <c r="AB83" s="200"/>
      <c r="AC83" s="200"/>
      <c r="AD83" s="200"/>
      <c r="AE83" s="201"/>
      <c r="AF83" s="201"/>
      <c r="AG83" s="54"/>
      <c r="AH83" s="54"/>
      <c r="AI83" s="54"/>
    </row>
    <row r="84" spans="1:35" ht="19.5" thickBot="1" x14ac:dyDescent="0.35">
      <c r="A84" s="158" t="s">
        <v>229</v>
      </c>
      <c r="B84" s="139"/>
      <c r="C84" s="132"/>
      <c r="D84" s="132"/>
      <c r="E84" s="132"/>
      <c r="F84" s="132"/>
      <c r="G84" s="132"/>
      <c r="H84" s="132"/>
      <c r="I84" s="86"/>
      <c r="J84" s="86"/>
      <c r="K84" s="86"/>
      <c r="L84" s="86"/>
      <c r="M84" s="86"/>
      <c r="N84" s="86"/>
      <c r="O84" s="86"/>
      <c r="P84" s="86"/>
      <c r="Q84" s="111"/>
      <c r="R84" s="552"/>
      <c r="S84" s="200"/>
      <c r="T84" s="200"/>
      <c r="U84" s="201"/>
      <c r="V84" s="201"/>
      <c r="W84" s="200"/>
      <c r="X84" s="200"/>
      <c r="Y84" s="200"/>
      <c r="Z84" s="201"/>
      <c r="AA84" s="201"/>
      <c r="AB84" s="200"/>
      <c r="AC84" s="200"/>
      <c r="AD84" s="200"/>
      <c r="AE84" s="201"/>
      <c r="AF84" s="201"/>
      <c r="AG84" s="54"/>
      <c r="AH84" s="54"/>
      <c r="AI84" s="54"/>
    </row>
    <row r="85" spans="1:35" ht="18" customHeight="1" x14ac:dyDescent="0.25">
      <c r="A85" s="181"/>
      <c r="B85" s="182"/>
      <c r="C85" s="183"/>
      <c r="D85" s="214" t="s">
        <v>799</v>
      </c>
      <c r="E85" s="270" t="s">
        <v>958</v>
      </c>
      <c r="F85" s="183"/>
      <c r="G85" s="184"/>
      <c r="H85" s="132"/>
      <c r="I85" s="86"/>
      <c r="J85" s="86"/>
      <c r="K85" s="86"/>
      <c r="L85" s="86"/>
      <c r="M85" s="86"/>
      <c r="N85" s="86"/>
      <c r="O85" s="86"/>
      <c r="P85" s="86"/>
      <c r="Q85" s="111"/>
      <c r="R85" s="552"/>
      <c r="S85" s="200"/>
      <c r="T85" s="125"/>
      <c r="U85" s="125"/>
      <c r="V85" s="201"/>
      <c r="W85" s="200"/>
      <c r="X85" s="200"/>
      <c r="Y85" s="200"/>
      <c r="Z85" s="201"/>
      <c r="AA85" s="201"/>
      <c r="AB85" s="200"/>
      <c r="AC85" s="200"/>
      <c r="AD85" s="200"/>
      <c r="AE85" s="201"/>
      <c r="AF85" s="201"/>
      <c r="AG85" s="54"/>
      <c r="AH85" s="54"/>
      <c r="AI85" s="54"/>
    </row>
    <row r="86" spans="1:35" ht="14.45" customHeight="1" x14ac:dyDescent="0.2">
      <c r="A86" s="528"/>
      <c r="B86" s="117"/>
      <c r="C86" s="117"/>
      <c r="D86" s="117"/>
      <c r="E86" s="529" t="s">
        <v>771</v>
      </c>
      <c r="F86" s="626" t="s">
        <v>800</v>
      </c>
      <c r="G86" s="627"/>
      <c r="H86" s="132"/>
      <c r="I86" s="86"/>
      <c r="J86" s="86"/>
      <c r="K86" s="86"/>
      <c r="L86" s="86"/>
      <c r="M86" s="86"/>
      <c r="N86" s="86"/>
      <c r="O86" s="86"/>
      <c r="P86" s="86"/>
      <c r="Q86" s="111"/>
      <c r="R86" s="552"/>
      <c r="S86" s="200"/>
      <c r="T86" s="125"/>
      <c r="U86" s="125"/>
      <c r="V86" s="201"/>
      <c r="W86" s="200"/>
      <c r="X86" s="200"/>
      <c r="Y86" s="200"/>
      <c r="Z86" s="201"/>
      <c r="AA86" s="201"/>
      <c r="AB86" s="200"/>
      <c r="AC86" s="200"/>
      <c r="AD86" s="200"/>
      <c r="AE86" s="201"/>
      <c r="AF86" s="201"/>
      <c r="AG86" s="54"/>
      <c r="AH86" s="54"/>
      <c r="AI86" s="54"/>
    </row>
    <row r="87" spans="1:35" ht="14.45" customHeight="1" x14ac:dyDescent="0.25">
      <c r="A87" s="131"/>
      <c r="B87" s="132"/>
      <c r="C87" s="140"/>
      <c r="D87" s="128" t="s">
        <v>351</v>
      </c>
      <c r="E87" s="268">
        <v>5.7</v>
      </c>
      <c r="F87" s="268">
        <v>5.7</v>
      </c>
      <c r="G87" s="170" t="s">
        <v>53</v>
      </c>
      <c r="H87" s="132"/>
      <c r="I87" s="86"/>
      <c r="J87" s="86"/>
      <c r="K87" s="86"/>
      <c r="L87" s="86"/>
      <c r="M87" s="86"/>
      <c r="N87" s="86"/>
      <c r="O87" s="86"/>
      <c r="P87" s="86"/>
      <c r="Q87" s="111"/>
      <c r="R87" s="552"/>
      <c r="S87" s="200"/>
      <c r="T87" s="125"/>
      <c r="U87" s="125"/>
      <c r="V87" s="201"/>
      <c r="W87" s="200"/>
      <c r="X87" s="200"/>
      <c r="Y87" s="200"/>
      <c r="Z87" s="201"/>
      <c r="AA87" s="201"/>
      <c r="AB87" s="200"/>
      <c r="AC87" s="200"/>
      <c r="AD87" s="200"/>
      <c r="AE87" s="201"/>
      <c r="AF87" s="201"/>
      <c r="AG87" s="54"/>
      <c r="AH87" s="54"/>
      <c r="AI87" s="54"/>
    </row>
    <row r="88" spans="1:35" ht="14.45" customHeight="1" x14ac:dyDescent="0.25">
      <c r="A88" s="131"/>
      <c r="B88" s="132"/>
      <c r="C88" s="140"/>
      <c r="D88" s="128" t="s">
        <v>352</v>
      </c>
      <c r="E88" s="133">
        <v>11</v>
      </c>
      <c r="F88" s="133">
        <v>11</v>
      </c>
      <c r="G88" s="170" t="s">
        <v>69</v>
      </c>
      <c r="H88" s="132"/>
      <c r="I88" s="86"/>
      <c r="J88" s="86"/>
      <c r="K88" s="86"/>
      <c r="L88" s="86"/>
      <c r="M88" s="86"/>
      <c r="N88" s="86"/>
      <c r="O88" s="86"/>
      <c r="P88" s="86"/>
      <c r="Q88" s="111"/>
      <c r="R88" s="552"/>
      <c r="S88" s="200"/>
      <c r="T88" s="125"/>
      <c r="U88" s="125"/>
      <c r="V88" s="201"/>
      <c r="W88" s="200"/>
      <c r="X88" s="200"/>
      <c r="Y88" s="200"/>
      <c r="Z88" s="201"/>
      <c r="AA88" s="201"/>
      <c r="AB88" s="200"/>
      <c r="AC88" s="200"/>
      <c r="AD88" s="200"/>
      <c r="AE88" s="201"/>
      <c r="AF88" s="201"/>
      <c r="AG88" s="54"/>
      <c r="AH88" s="54"/>
      <c r="AI88" s="54"/>
    </row>
    <row r="89" spans="1:35" ht="14.45" customHeight="1" x14ac:dyDescent="0.25">
      <c r="A89" s="131"/>
      <c r="B89" s="132"/>
      <c r="C89" s="140"/>
      <c r="D89" s="128" t="s">
        <v>353</v>
      </c>
      <c r="E89" s="133">
        <v>2.9</v>
      </c>
      <c r="F89" s="133">
        <v>2.9</v>
      </c>
      <c r="G89" s="170" t="s">
        <v>69</v>
      </c>
      <c r="H89" s="132"/>
      <c r="I89" s="86"/>
      <c r="J89" s="86"/>
      <c r="K89" s="86"/>
      <c r="L89" s="86"/>
      <c r="M89" s="86"/>
      <c r="N89" s="86"/>
      <c r="O89" s="86"/>
      <c r="P89" s="86"/>
      <c r="Q89" s="111"/>
      <c r="R89" s="552"/>
      <c r="S89" s="200"/>
      <c r="T89" s="125"/>
      <c r="U89" s="125"/>
      <c r="V89" s="201"/>
      <c r="W89" s="200"/>
      <c r="X89" s="200"/>
      <c r="Y89" s="200"/>
      <c r="Z89" s="201"/>
      <c r="AA89" s="201"/>
      <c r="AB89" s="200"/>
      <c r="AC89" s="200"/>
      <c r="AD89" s="200"/>
      <c r="AE89" s="201"/>
      <c r="AF89" s="201"/>
      <c r="AG89" s="54"/>
      <c r="AH89" s="54"/>
      <c r="AI89" s="54"/>
    </row>
    <row r="90" spans="1:35" ht="14.45" customHeight="1" x14ac:dyDescent="0.25">
      <c r="A90" s="131"/>
      <c r="B90" s="132"/>
      <c r="C90" s="140"/>
      <c r="D90" s="128" t="s">
        <v>354</v>
      </c>
      <c r="E90" s="133">
        <v>3.3</v>
      </c>
      <c r="F90" s="133">
        <v>3.3</v>
      </c>
      <c r="G90" s="170" t="s">
        <v>69</v>
      </c>
      <c r="H90" s="132"/>
      <c r="I90" s="86"/>
      <c r="J90" s="86"/>
      <c r="K90" s="86"/>
      <c r="L90" s="86"/>
      <c r="M90" s="86"/>
      <c r="N90" s="86"/>
      <c r="O90" s="86"/>
      <c r="P90" s="86"/>
      <c r="Q90" s="111"/>
      <c r="R90" s="552"/>
      <c r="S90" s="200"/>
      <c r="T90" s="125"/>
      <c r="U90" s="125"/>
      <c r="V90" s="201"/>
      <c r="W90" s="200"/>
      <c r="X90" s="200"/>
      <c r="Y90" s="200"/>
      <c r="Z90" s="201"/>
      <c r="AA90" s="201"/>
      <c r="AB90" s="200"/>
      <c r="AC90" s="200"/>
      <c r="AD90" s="200"/>
      <c r="AE90" s="201"/>
      <c r="AF90" s="201"/>
      <c r="AG90" s="54"/>
      <c r="AH90" s="54"/>
      <c r="AI90" s="54"/>
    </row>
    <row r="91" spans="1:35" ht="14.45" customHeight="1" x14ac:dyDescent="0.25">
      <c r="A91" s="131"/>
      <c r="B91" s="132"/>
      <c r="C91" s="140"/>
      <c r="D91" s="128" t="s">
        <v>355</v>
      </c>
      <c r="E91" s="133">
        <v>1.5</v>
      </c>
      <c r="F91" s="133">
        <v>1.5</v>
      </c>
      <c r="G91" s="170" t="s">
        <v>169</v>
      </c>
      <c r="H91" s="132"/>
      <c r="I91" s="86"/>
      <c r="J91" s="86"/>
      <c r="K91" s="86"/>
      <c r="L91" s="86"/>
      <c r="M91" s="86"/>
      <c r="N91" s="86"/>
      <c r="O91" s="86"/>
      <c r="P91" s="86"/>
      <c r="Q91" s="111"/>
      <c r="R91" s="552"/>
      <c r="S91" s="200"/>
      <c r="T91" s="125"/>
      <c r="U91" s="125"/>
      <c r="V91" s="201"/>
      <c r="W91" s="200"/>
      <c r="X91" s="200"/>
      <c r="Y91" s="200"/>
      <c r="Z91" s="201"/>
      <c r="AA91" s="201"/>
      <c r="AB91" s="200"/>
      <c r="AC91" s="200"/>
      <c r="AD91" s="200"/>
      <c r="AE91" s="201"/>
      <c r="AF91" s="201"/>
      <c r="AG91" s="54"/>
      <c r="AH91" s="54"/>
      <c r="AI91" s="54"/>
    </row>
    <row r="92" spans="1:35" ht="14.45" customHeight="1" x14ac:dyDescent="0.25">
      <c r="A92" s="131"/>
      <c r="B92" s="132"/>
      <c r="C92" s="140"/>
      <c r="D92" s="128" t="s">
        <v>356</v>
      </c>
      <c r="E92" s="133">
        <v>60</v>
      </c>
      <c r="F92" s="133">
        <v>60</v>
      </c>
      <c r="G92" s="170" t="s">
        <v>70</v>
      </c>
      <c r="H92" s="132"/>
      <c r="I92" s="86"/>
      <c r="J92" s="86"/>
      <c r="K92" s="86"/>
      <c r="L92" s="86"/>
      <c r="M92" s="86"/>
      <c r="N92" s="86"/>
      <c r="O92" s="86"/>
      <c r="P92" s="86"/>
      <c r="Q92" s="111"/>
      <c r="R92" s="552"/>
      <c r="S92" s="200"/>
      <c r="T92" s="125"/>
      <c r="U92" s="125"/>
      <c r="V92" s="201"/>
      <c r="W92" s="200"/>
      <c r="X92" s="200"/>
      <c r="Y92" s="200"/>
      <c r="Z92" s="201"/>
      <c r="AA92" s="201"/>
      <c r="AB92" s="200"/>
      <c r="AC92" s="200"/>
      <c r="AD92" s="200"/>
      <c r="AE92" s="201"/>
      <c r="AF92" s="201"/>
      <c r="AG92" s="54"/>
      <c r="AH92" s="54"/>
      <c r="AI92" s="54"/>
    </row>
    <row r="93" spans="1:35" ht="14.45" customHeight="1" x14ac:dyDescent="0.25">
      <c r="A93" s="131"/>
      <c r="B93" s="132"/>
      <c r="C93" s="140"/>
      <c r="D93" s="128" t="s">
        <v>794</v>
      </c>
      <c r="E93" s="133">
        <v>4</v>
      </c>
      <c r="F93" s="133">
        <v>4</v>
      </c>
      <c r="G93" s="170" t="s">
        <v>0</v>
      </c>
      <c r="H93" s="132"/>
      <c r="I93" s="86"/>
      <c r="J93" s="86"/>
      <c r="K93" s="86"/>
      <c r="L93" s="86"/>
      <c r="M93" s="86"/>
      <c r="N93" s="86"/>
      <c r="O93" s="86"/>
      <c r="P93" s="86"/>
      <c r="Q93" s="111"/>
      <c r="R93" s="552"/>
      <c r="S93" s="200"/>
      <c r="T93" s="125"/>
      <c r="U93" s="125"/>
      <c r="V93" s="201"/>
      <c r="W93" s="200"/>
      <c r="X93" s="200"/>
      <c r="Y93" s="200"/>
      <c r="Z93" s="201"/>
      <c r="AA93" s="201"/>
      <c r="AB93" s="200"/>
      <c r="AC93" s="200"/>
      <c r="AD93" s="200"/>
      <c r="AE93" s="201"/>
      <c r="AF93" s="201"/>
      <c r="AG93" s="54"/>
      <c r="AH93" s="54"/>
      <c r="AI93" s="54"/>
    </row>
    <row r="94" spans="1:35" ht="14.45" customHeight="1" x14ac:dyDescent="0.25">
      <c r="A94" s="131"/>
      <c r="B94" s="132"/>
      <c r="C94" s="140"/>
      <c r="D94" s="128" t="s">
        <v>791</v>
      </c>
      <c r="E94" s="133">
        <v>0.8</v>
      </c>
      <c r="F94" s="133">
        <v>0.8</v>
      </c>
      <c r="G94" s="170" t="s">
        <v>0</v>
      </c>
      <c r="H94" s="132"/>
      <c r="I94" s="86"/>
      <c r="J94" s="86"/>
      <c r="K94" s="86"/>
      <c r="L94" s="86"/>
      <c r="M94" s="86"/>
      <c r="N94" s="86"/>
      <c r="O94" s="86"/>
      <c r="P94" s="86"/>
      <c r="Q94" s="111"/>
      <c r="R94" s="552"/>
      <c r="S94" s="200"/>
      <c r="T94" s="125"/>
      <c r="U94" s="125"/>
      <c r="V94" s="201"/>
      <c r="W94" s="200"/>
      <c r="X94" s="200"/>
      <c r="Y94" s="200"/>
      <c r="Z94" s="201"/>
      <c r="AA94" s="201"/>
      <c r="AB94" s="200"/>
      <c r="AC94" s="200"/>
      <c r="AD94" s="200"/>
      <c r="AE94" s="201"/>
      <c r="AF94" s="201"/>
      <c r="AG94" s="54"/>
      <c r="AH94" s="54"/>
      <c r="AI94" s="54"/>
    </row>
    <row r="95" spans="1:35" ht="14.45" customHeight="1" x14ac:dyDescent="0.25">
      <c r="A95" s="131"/>
      <c r="B95" s="132"/>
      <c r="C95" s="132"/>
      <c r="D95" s="128" t="s">
        <v>793</v>
      </c>
      <c r="E95" s="2"/>
      <c r="F95" s="133">
        <v>63</v>
      </c>
      <c r="G95" s="170" t="s">
        <v>69</v>
      </c>
      <c r="H95" s="132"/>
      <c r="I95" s="86"/>
      <c r="J95" s="86"/>
      <c r="K95" s="86"/>
      <c r="L95" s="86"/>
      <c r="M95" s="86"/>
      <c r="N95" s="86"/>
      <c r="O95" s="86"/>
      <c r="P95" s="86"/>
      <c r="Q95" s="111"/>
      <c r="R95" s="552"/>
      <c r="S95" s="200"/>
      <c r="T95" s="125"/>
      <c r="U95" s="125"/>
      <c r="V95" s="201"/>
      <c r="W95" s="200"/>
      <c r="X95" s="200"/>
      <c r="Y95" s="200"/>
      <c r="Z95" s="201"/>
      <c r="AA95" s="201"/>
      <c r="AB95" s="200"/>
      <c r="AC95" s="200"/>
      <c r="AD95" s="200"/>
      <c r="AE95" s="201"/>
      <c r="AF95" s="201"/>
      <c r="AG95" s="54"/>
      <c r="AH95" s="54"/>
      <c r="AI95" s="54"/>
    </row>
    <row r="96" spans="1:35" ht="14.45" customHeight="1" thickBot="1" x14ac:dyDescent="0.3">
      <c r="A96" s="205"/>
      <c r="B96" s="186"/>
      <c r="C96" s="206"/>
      <c r="D96" s="187" t="s">
        <v>357</v>
      </c>
      <c r="E96" s="264">
        <v>50</v>
      </c>
      <c r="F96" s="264">
        <v>50</v>
      </c>
      <c r="G96" s="188" t="s">
        <v>241</v>
      </c>
      <c r="H96" s="132"/>
      <c r="I96" s="86"/>
      <c r="J96" s="86"/>
      <c r="K96" s="86"/>
      <c r="L96" s="86"/>
      <c r="M96" s="86"/>
      <c r="N96" s="86"/>
      <c r="O96" s="86"/>
      <c r="P96" s="86"/>
      <c r="Q96" s="111"/>
      <c r="R96" s="552"/>
      <c r="S96" s="200"/>
      <c r="T96" s="125"/>
      <c r="U96" s="125"/>
      <c r="V96" s="201"/>
      <c r="W96" s="200"/>
      <c r="X96" s="200"/>
      <c r="Y96" s="200"/>
      <c r="Z96" s="201"/>
      <c r="AA96" s="201"/>
      <c r="AB96" s="200"/>
      <c r="AC96" s="200"/>
      <c r="AD96" s="200"/>
      <c r="AE96" s="201"/>
      <c r="AF96" s="201"/>
      <c r="AG96" s="54"/>
      <c r="AH96" s="54"/>
      <c r="AI96" s="54"/>
    </row>
    <row r="97" spans="1:35" ht="18" customHeight="1" thickBot="1" x14ac:dyDescent="0.25">
      <c r="A97" s="131"/>
      <c r="B97" s="132"/>
      <c r="C97" s="140"/>
      <c r="D97" s="128"/>
      <c r="E97" s="204"/>
      <c r="F97" s="207"/>
      <c r="G97" s="132"/>
      <c r="H97" s="132"/>
      <c r="I97" s="86"/>
      <c r="J97" s="86"/>
      <c r="K97" s="86"/>
      <c r="L97" s="86"/>
      <c r="M97" s="86"/>
      <c r="N97" s="86"/>
      <c r="O97" s="86"/>
      <c r="P97" s="86"/>
      <c r="Q97" s="111"/>
      <c r="R97" s="552"/>
      <c r="S97" s="200"/>
      <c r="T97" s="125"/>
      <c r="U97" s="125"/>
      <c r="V97" s="201"/>
      <c r="W97" s="200"/>
      <c r="X97" s="200"/>
      <c r="Y97" s="200"/>
      <c r="Z97" s="201"/>
      <c r="AA97" s="201"/>
      <c r="AB97" s="200"/>
      <c r="AC97" s="200"/>
      <c r="AD97" s="200"/>
      <c r="AE97" s="201"/>
      <c r="AF97" s="201"/>
      <c r="AG97" s="54"/>
      <c r="AH97" s="54"/>
      <c r="AI97" s="54"/>
    </row>
    <row r="98" spans="1:35" ht="14.45" customHeight="1" x14ac:dyDescent="0.25">
      <c r="A98" s="181"/>
      <c r="B98" s="182"/>
      <c r="C98" s="185"/>
      <c r="D98" s="214" t="s">
        <v>798</v>
      </c>
      <c r="E98" s="270" t="s">
        <v>959</v>
      </c>
      <c r="F98" s="183"/>
      <c r="G98" s="184"/>
      <c r="H98" s="132"/>
      <c r="I98" s="86"/>
      <c r="J98" s="86"/>
      <c r="K98" s="86"/>
      <c r="L98" s="86"/>
      <c r="M98" s="86"/>
      <c r="N98" s="86"/>
      <c r="O98" s="86"/>
      <c r="P98" s="86"/>
      <c r="Q98" s="111"/>
      <c r="R98" s="552"/>
      <c r="S98" s="200"/>
      <c r="T98" s="125"/>
      <c r="U98" s="125"/>
      <c r="V98" s="201"/>
      <c r="W98" s="200"/>
      <c r="X98" s="200"/>
      <c r="Y98" s="200"/>
      <c r="Z98" s="201"/>
      <c r="AA98" s="201"/>
      <c r="AB98" s="200"/>
      <c r="AC98" s="200"/>
      <c r="AD98" s="200"/>
      <c r="AE98" s="201"/>
      <c r="AF98" s="201"/>
      <c r="AG98" s="54"/>
      <c r="AH98" s="54"/>
      <c r="AI98" s="54"/>
    </row>
    <row r="99" spans="1:35" ht="14.45" customHeight="1" x14ac:dyDescent="0.2">
      <c r="A99" s="528"/>
      <c r="B99" s="117"/>
      <c r="C99" s="117"/>
      <c r="D99" s="117"/>
      <c r="E99" s="540" t="s">
        <v>771</v>
      </c>
      <c r="F99" s="538" t="s">
        <v>800</v>
      </c>
      <c r="G99" s="276"/>
      <c r="H99" s="132"/>
      <c r="I99" s="86"/>
      <c r="J99" s="86"/>
      <c r="K99" s="86"/>
      <c r="L99" s="86"/>
      <c r="M99" s="86"/>
      <c r="N99" s="86"/>
      <c r="O99" s="86"/>
      <c r="P99" s="86"/>
      <c r="Q99" s="111"/>
      <c r="R99" s="552"/>
      <c r="S99" s="200"/>
      <c r="T99" s="125"/>
      <c r="U99" s="125"/>
      <c r="V99" s="201"/>
      <c r="W99" s="200"/>
      <c r="X99" s="200"/>
      <c r="Y99" s="200"/>
      <c r="Z99" s="201"/>
      <c r="AA99" s="201"/>
      <c r="AB99" s="200"/>
      <c r="AC99" s="200"/>
      <c r="AD99" s="200"/>
      <c r="AE99" s="201"/>
      <c r="AF99" s="201"/>
      <c r="AG99" s="54"/>
      <c r="AH99" s="54"/>
      <c r="AI99" s="54"/>
    </row>
    <row r="100" spans="1:35" ht="14.45" customHeight="1" x14ac:dyDescent="0.25">
      <c r="A100" s="131"/>
      <c r="B100" s="132"/>
      <c r="C100" s="132"/>
      <c r="D100" s="128" t="s">
        <v>351</v>
      </c>
      <c r="E100" s="133">
        <v>1.9</v>
      </c>
      <c r="F100" s="133">
        <v>1.9</v>
      </c>
      <c r="G100" s="170" t="s">
        <v>53</v>
      </c>
      <c r="H100" s="132"/>
      <c r="I100" s="86"/>
      <c r="J100" s="86"/>
      <c r="K100" s="86"/>
      <c r="L100" s="86"/>
      <c r="M100" s="86"/>
      <c r="N100" s="86"/>
      <c r="O100" s="86"/>
      <c r="P100" s="86"/>
      <c r="Q100" s="111"/>
      <c r="R100" s="552"/>
      <c r="S100" s="200"/>
      <c r="T100" s="125"/>
      <c r="U100" s="125"/>
      <c r="V100" s="201"/>
      <c r="W100" s="200"/>
      <c r="X100" s="200"/>
      <c r="Y100" s="200"/>
      <c r="Z100" s="201"/>
      <c r="AA100" s="201"/>
      <c r="AB100" s="200"/>
      <c r="AC100" s="200"/>
      <c r="AD100" s="200"/>
      <c r="AE100" s="201"/>
      <c r="AF100" s="201"/>
      <c r="AG100" s="54"/>
      <c r="AH100" s="54"/>
      <c r="AI100" s="54"/>
    </row>
    <row r="101" spans="1:35" ht="14.45" customHeight="1" x14ac:dyDescent="0.25">
      <c r="A101" s="131"/>
      <c r="B101" s="132"/>
      <c r="C101" s="132"/>
      <c r="D101" s="128" t="s">
        <v>352</v>
      </c>
      <c r="E101" s="133">
        <v>22</v>
      </c>
      <c r="F101" s="133">
        <v>22</v>
      </c>
      <c r="G101" s="170" t="s">
        <v>69</v>
      </c>
      <c r="H101" s="132"/>
      <c r="I101" s="86"/>
      <c r="J101" s="86"/>
      <c r="K101" s="86"/>
      <c r="L101" s="86"/>
      <c r="M101" s="86"/>
      <c r="N101" s="86"/>
      <c r="O101" s="86"/>
      <c r="P101" s="86"/>
      <c r="Q101" s="111"/>
      <c r="R101" s="552"/>
      <c r="S101" s="200"/>
      <c r="T101" s="125"/>
      <c r="U101" s="125"/>
      <c r="V101" s="201"/>
      <c r="W101" s="200"/>
      <c r="X101" s="200"/>
      <c r="Y101" s="200"/>
      <c r="Z101" s="201"/>
      <c r="AA101" s="201"/>
      <c r="AB101" s="200"/>
      <c r="AC101" s="200"/>
      <c r="AD101" s="200"/>
      <c r="AE101" s="201"/>
      <c r="AF101" s="201"/>
      <c r="AG101" s="54"/>
      <c r="AH101" s="54"/>
      <c r="AI101" s="54"/>
    </row>
    <row r="102" spans="1:35" ht="14.45" customHeight="1" x14ac:dyDescent="0.25">
      <c r="A102" s="131"/>
      <c r="B102" s="132"/>
      <c r="C102" s="140"/>
      <c r="D102" s="128" t="s">
        <v>353</v>
      </c>
      <c r="E102" s="133">
        <v>2.5</v>
      </c>
      <c r="F102" s="133">
        <v>2.5</v>
      </c>
      <c r="G102" s="170" t="s">
        <v>69</v>
      </c>
      <c r="H102" s="132"/>
      <c r="I102" s="86"/>
      <c r="J102" s="86"/>
      <c r="K102" s="86"/>
      <c r="L102" s="86"/>
      <c r="M102" s="86"/>
      <c r="N102" s="86"/>
      <c r="O102" s="86"/>
      <c r="P102" s="86"/>
      <c r="Q102" s="111"/>
      <c r="R102" s="552"/>
      <c r="S102" s="200"/>
      <c r="T102" s="125"/>
      <c r="U102" s="125"/>
      <c r="V102" s="201"/>
      <c r="W102" s="200"/>
      <c r="X102" s="200"/>
      <c r="Y102" s="200"/>
      <c r="Z102" s="201"/>
      <c r="AA102" s="201"/>
      <c r="AB102" s="200"/>
      <c r="AC102" s="200"/>
      <c r="AD102" s="200"/>
      <c r="AE102" s="201"/>
      <c r="AF102" s="201"/>
      <c r="AG102" s="54"/>
      <c r="AH102" s="54"/>
      <c r="AI102" s="54"/>
    </row>
    <row r="103" spans="1:35" ht="14.45" customHeight="1" x14ac:dyDescent="0.25">
      <c r="A103" s="131"/>
      <c r="B103" s="132"/>
      <c r="C103" s="140"/>
      <c r="D103" s="128" t="s">
        <v>354</v>
      </c>
      <c r="E103" s="133">
        <v>4</v>
      </c>
      <c r="F103" s="133">
        <v>4</v>
      </c>
      <c r="G103" s="170" t="s">
        <v>69</v>
      </c>
      <c r="H103" s="132"/>
      <c r="I103" s="86"/>
      <c r="J103" s="86"/>
      <c r="K103" s="86"/>
      <c r="L103" s="86"/>
      <c r="M103" s="86"/>
      <c r="N103" s="86"/>
      <c r="O103" s="86"/>
      <c r="P103" s="86"/>
      <c r="Q103" s="111"/>
      <c r="R103" s="552"/>
      <c r="S103" s="200"/>
      <c r="T103" s="125"/>
      <c r="U103" s="125"/>
      <c r="V103" s="201"/>
      <c r="W103" s="200"/>
      <c r="X103" s="200"/>
      <c r="Y103" s="200"/>
      <c r="Z103" s="201"/>
      <c r="AA103" s="201"/>
      <c r="AB103" s="200"/>
      <c r="AC103" s="200"/>
      <c r="AD103" s="200"/>
      <c r="AE103" s="201"/>
      <c r="AF103" s="201"/>
      <c r="AG103" s="54"/>
      <c r="AH103" s="54"/>
      <c r="AI103" s="54"/>
    </row>
    <row r="104" spans="1:35" ht="14.45" customHeight="1" x14ac:dyDescent="0.25">
      <c r="A104" s="131"/>
      <c r="B104" s="132"/>
      <c r="C104" s="140"/>
      <c r="D104" s="128" t="s">
        <v>355</v>
      </c>
      <c r="E104" s="133">
        <v>1.5</v>
      </c>
      <c r="F104" s="133">
        <v>1.5</v>
      </c>
      <c r="G104" s="170" t="s">
        <v>169</v>
      </c>
      <c r="H104" s="132"/>
      <c r="I104" s="86"/>
      <c r="J104" s="86"/>
      <c r="K104" s="86"/>
      <c r="L104" s="86"/>
      <c r="M104" s="86"/>
      <c r="N104" s="86"/>
      <c r="O104" s="86"/>
      <c r="P104" s="86"/>
      <c r="Q104" s="111"/>
      <c r="R104" s="552"/>
      <c r="S104" s="200"/>
      <c r="T104" s="125"/>
      <c r="U104" s="125"/>
      <c r="V104" s="201"/>
      <c r="W104" s="200"/>
      <c r="X104" s="200"/>
      <c r="Y104" s="200"/>
      <c r="Z104" s="201"/>
      <c r="AA104" s="201"/>
      <c r="AB104" s="200"/>
      <c r="AC104" s="200"/>
      <c r="AD104" s="200"/>
      <c r="AE104" s="201"/>
      <c r="AF104" s="201"/>
      <c r="AG104" s="54"/>
      <c r="AH104" s="54"/>
      <c r="AI104" s="54"/>
    </row>
    <row r="105" spans="1:35" ht="14.45" customHeight="1" x14ac:dyDescent="0.25">
      <c r="A105" s="131"/>
      <c r="B105" s="132"/>
      <c r="C105" s="140"/>
      <c r="D105" s="128" t="s">
        <v>356</v>
      </c>
      <c r="E105" s="133">
        <v>150</v>
      </c>
      <c r="F105" s="133">
        <v>150</v>
      </c>
      <c r="G105" s="170" t="s">
        <v>70</v>
      </c>
      <c r="H105" s="132"/>
      <c r="I105" s="86"/>
      <c r="J105" s="86"/>
      <c r="K105" s="86"/>
      <c r="L105" s="86"/>
      <c r="M105" s="86"/>
      <c r="N105" s="86"/>
      <c r="O105" s="86"/>
      <c r="P105" s="86"/>
      <c r="Q105" s="111"/>
      <c r="R105" s="552"/>
      <c r="S105" s="54"/>
      <c r="T105" s="6"/>
      <c r="U105" s="6"/>
      <c r="W105" s="54"/>
      <c r="X105" s="54"/>
      <c r="Y105" s="54"/>
      <c r="AB105" s="54"/>
      <c r="AC105" s="54"/>
      <c r="AD105" s="54"/>
      <c r="AG105" s="54"/>
      <c r="AH105" s="54"/>
      <c r="AI105" s="54"/>
    </row>
    <row r="106" spans="1:35" ht="14.45" customHeight="1" x14ac:dyDescent="0.25">
      <c r="A106" s="131"/>
      <c r="B106" s="132"/>
      <c r="C106" s="140"/>
      <c r="D106" s="128" t="s">
        <v>794</v>
      </c>
      <c r="E106" s="133">
        <v>2</v>
      </c>
      <c r="F106" s="133">
        <v>2</v>
      </c>
      <c r="G106" s="170" t="s">
        <v>0</v>
      </c>
      <c r="H106" s="132"/>
      <c r="I106" s="86"/>
      <c r="J106" s="86"/>
      <c r="K106" s="86"/>
      <c r="L106" s="86"/>
      <c r="M106" s="86"/>
      <c r="N106" s="86"/>
      <c r="O106" s="86"/>
      <c r="P106" s="86"/>
      <c r="Q106" s="111"/>
      <c r="R106" s="552"/>
      <c r="S106" s="54"/>
      <c r="T106" s="54"/>
      <c r="W106" s="54"/>
      <c r="X106" s="54"/>
      <c r="Y106" s="54"/>
      <c r="AB106" s="54"/>
      <c r="AC106" s="54"/>
      <c r="AD106" s="54"/>
      <c r="AG106" s="54"/>
      <c r="AH106" s="54"/>
      <c r="AI106" s="54"/>
    </row>
    <row r="107" spans="1:35" ht="14.45" customHeight="1" x14ac:dyDescent="0.25">
      <c r="A107" s="131"/>
      <c r="B107" s="132"/>
      <c r="C107" s="132"/>
      <c r="D107" s="128" t="s">
        <v>791</v>
      </c>
      <c r="E107" s="133">
        <v>0.8</v>
      </c>
      <c r="F107" s="133">
        <v>0.8</v>
      </c>
      <c r="G107" s="170" t="s">
        <v>0</v>
      </c>
      <c r="H107" s="132"/>
      <c r="I107" s="86"/>
      <c r="J107" s="86"/>
      <c r="K107" s="86"/>
      <c r="L107" s="86"/>
      <c r="M107" s="86"/>
      <c r="N107" s="86"/>
      <c r="O107" s="86"/>
      <c r="P107" s="86"/>
      <c r="Q107" s="111"/>
      <c r="R107" s="552"/>
      <c r="S107" s="54"/>
      <c r="T107" s="54"/>
      <c r="W107" s="54"/>
      <c r="X107" s="54"/>
      <c r="Y107" s="54"/>
      <c r="AB107" s="54"/>
      <c r="AC107" s="54"/>
      <c r="AD107" s="54"/>
      <c r="AG107" s="54"/>
      <c r="AH107" s="54"/>
      <c r="AI107" s="54"/>
    </row>
    <row r="108" spans="1:35" ht="14.45" customHeight="1" x14ac:dyDescent="0.25">
      <c r="A108" s="131"/>
      <c r="B108" s="132"/>
      <c r="C108" s="132"/>
      <c r="D108" s="128" t="s">
        <v>793</v>
      </c>
      <c r="E108" s="133">
        <v>33</v>
      </c>
      <c r="F108" s="2"/>
      <c r="G108" s="170" t="s">
        <v>69</v>
      </c>
      <c r="H108" s="132"/>
      <c r="I108" s="86"/>
      <c r="J108" s="86"/>
      <c r="K108" s="86"/>
      <c r="L108" s="86"/>
      <c r="M108" s="86"/>
      <c r="N108" s="86"/>
      <c r="O108" s="86"/>
      <c r="P108" s="86"/>
      <c r="Q108" s="111"/>
      <c r="R108" s="552"/>
      <c r="S108" s="54"/>
      <c r="T108" s="54"/>
      <c r="W108" s="54"/>
      <c r="X108" s="54"/>
      <c r="Y108" s="54"/>
      <c r="AB108" s="54"/>
      <c r="AC108" s="54"/>
      <c r="AD108" s="54"/>
      <c r="AG108" s="54"/>
      <c r="AH108" s="54"/>
      <c r="AI108" s="54"/>
    </row>
    <row r="109" spans="1:35" ht="14.25" customHeight="1" thickBot="1" x14ac:dyDescent="0.3">
      <c r="A109" s="205"/>
      <c r="B109" s="186"/>
      <c r="C109" s="186"/>
      <c r="D109" s="187" t="s">
        <v>357</v>
      </c>
      <c r="E109" s="264">
        <v>50</v>
      </c>
      <c r="F109" s="264">
        <v>50</v>
      </c>
      <c r="G109" s="188" t="s">
        <v>241</v>
      </c>
      <c r="H109" s="132"/>
      <c r="I109" s="86"/>
      <c r="J109" s="86"/>
      <c r="K109" s="86"/>
      <c r="L109" s="86"/>
      <c r="M109" s="86"/>
      <c r="N109" s="86"/>
      <c r="O109" s="86"/>
      <c r="P109" s="86"/>
      <c r="Q109" s="111"/>
      <c r="R109" s="552"/>
      <c r="S109" s="54"/>
      <c r="T109" s="54"/>
      <c r="W109" s="54"/>
      <c r="X109" s="54"/>
      <c r="Y109" s="54"/>
      <c r="AB109" s="54"/>
      <c r="AC109" s="54"/>
      <c r="AD109" s="54"/>
      <c r="AG109" s="54"/>
      <c r="AH109" s="54"/>
      <c r="AI109" s="54"/>
    </row>
    <row r="110" spans="1:35" ht="14.45" customHeight="1" thickBot="1" x14ac:dyDescent="0.25">
      <c r="A110" s="131"/>
      <c r="B110" s="132"/>
      <c r="C110" s="132"/>
      <c r="D110" s="128"/>
      <c r="E110" s="515"/>
      <c r="F110" s="207"/>
      <c r="G110" s="132"/>
      <c r="H110" s="132"/>
      <c r="I110" s="90"/>
      <c r="J110" s="91"/>
      <c r="K110" s="86"/>
      <c r="L110" s="86"/>
      <c r="M110" s="86"/>
      <c r="N110" s="86"/>
      <c r="O110" s="86"/>
      <c r="P110" s="86"/>
      <c r="Q110" s="111"/>
      <c r="R110" s="552"/>
      <c r="S110" s="54"/>
      <c r="T110" s="54"/>
      <c r="W110" s="54"/>
      <c r="X110" s="54"/>
      <c r="Y110" s="54"/>
      <c r="AB110" s="54"/>
      <c r="AC110" s="54"/>
      <c r="AD110" s="54"/>
      <c r="AG110" s="54"/>
      <c r="AH110" s="54"/>
      <c r="AI110" s="54"/>
    </row>
    <row r="111" spans="1:35" ht="14.45" customHeight="1" x14ac:dyDescent="0.2">
      <c r="A111" s="531" t="s">
        <v>725</v>
      </c>
      <c r="B111" s="516"/>
      <c r="C111" s="517"/>
      <c r="D111" s="531"/>
      <c r="E111" s="536" t="s">
        <v>790</v>
      </c>
      <c r="F111" s="537" t="s">
        <v>801</v>
      </c>
      <c r="G111" s="518"/>
      <c r="H111" s="132"/>
      <c r="I111" s="86"/>
      <c r="J111" s="86"/>
      <c r="K111" s="86"/>
      <c r="L111" s="86"/>
      <c r="M111" s="86"/>
      <c r="N111" s="86"/>
      <c r="O111" s="86"/>
      <c r="P111" s="86"/>
      <c r="Q111" s="111"/>
      <c r="R111" s="552"/>
      <c r="S111" s="54"/>
      <c r="T111" s="54"/>
      <c r="W111" s="54"/>
      <c r="X111" s="54"/>
      <c r="Y111" s="54"/>
      <c r="AB111" s="54"/>
      <c r="AC111" s="54"/>
      <c r="AD111" s="54"/>
      <c r="AG111" s="54"/>
      <c r="AH111" s="54"/>
      <c r="AI111" s="54"/>
    </row>
    <row r="112" spans="1:35" ht="14.45" customHeight="1" x14ac:dyDescent="0.25">
      <c r="A112" s="131"/>
      <c r="B112" s="132"/>
      <c r="C112" s="132"/>
      <c r="D112" s="128" t="s">
        <v>795</v>
      </c>
      <c r="E112" s="265">
        <v>0</v>
      </c>
      <c r="F112" s="265">
        <v>0</v>
      </c>
      <c r="G112" s="170" t="s">
        <v>0</v>
      </c>
      <c r="H112" s="132"/>
      <c r="I112" s="86"/>
      <c r="J112" s="86"/>
      <c r="K112" s="86"/>
      <c r="L112" s="86"/>
      <c r="M112" s="86"/>
      <c r="N112" s="86"/>
      <c r="O112" s="86"/>
      <c r="P112" s="86"/>
      <c r="Q112" s="111"/>
      <c r="R112" s="552"/>
      <c r="S112" s="54"/>
      <c r="T112" s="54"/>
      <c r="W112" s="54"/>
      <c r="X112" s="54"/>
      <c r="Y112" s="54"/>
      <c r="AB112" s="54"/>
      <c r="AC112" s="54"/>
      <c r="AD112" s="54"/>
      <c r="AG112" s="54"/>
      <c r="AH112" s="54"/>
      <c r="AI112" s="54"/>
    </row>
    <row r="113" spans="1:35" ht="14.45" customHeight="1" thickBot="1" x14ac:dyDescent="0.3">
      <c r="A113" s="205"/>
      <c r="B113" s="186"/>
      <c r="C113" s="186"/>
      <c r="D113" s="187" t="s">
        <v>792</v>
      </c>
      <c r="E113" s="266">
        <v>0</v>
      </c>
      <c r="F113" s="266">
        <v>0</v>
      </c>
      <c r="G113" s="188" t="s">
        <v>69</v>
      </c>
      <c r="H113" s="132"/>
      <c r="I113" s="86"/>
      <c r="J113" s="86"/>
      <c r="K113" s="86"/>
      <c r="L113" s="86"/>
      <c r="M113" s="86"/>
      <c r="N113" s="86"/>
      <c r="O113" s="86"/>
      <c r="P113" s="86"/>
      <c r="Q113" s="111"/>
      <c r="R113" s="552"/>
      <c r="S113" s="54"/>
      <c r="T113" s="54"/>
      <c r="W113" s="54"/>
      <c r="X113" s="54"/>
      <c r="Y113" s="54"/>
      <c r="AB113" s="54"/>
      <c r="AC113" s="54"/>
      <c r="AD113" s="54"/>
      <c r="AG113" s="54"/>
      <c r="AH113" s="54"/>
      <c r="AI113" s="54"/>
    </row>
    <row r="114" spans="1:35" ht="13.5" thickBot="1" x14ac:dyDescent="0.25">
      <c r="A114" s="166"/>
      <c r="B114" s="167"/>
      <c r="C114" s="167"/>
      <c r="D114" s="167"/>
      <c r="E114" s="215"/>
      <c r="F114" s="167"/>
      <c r="G114" s="167"/>
      <c r="H114" s="167"/>
      <c r="I114" s="216"/>
      <c r="J114" s="216"/>
      <c r="K114" s="216"/>
      <c r="L114" s="216"/>
      <c r="M114" s="216"/>
      <c r="N114" s="216"/>
      <c r="O114" s="216"/>
      <c r="P114" s="216"/>
      <c r="Q114" s="217"/>
      <c r="R114" s="552"/>
      <c r="S114" s="54"/>
      <c r="T114" s="54"/>
      <c r="W114" s="54"/>
      <c r="X114" s="54"/>
      <c r="Y114" s="54"/>
      <c r="AB114" s="54"/>
      <c r="AC114" s="54"/>
      <c r="AD114" s="54"/>
      <c r="AG114" s="54"/>
      <c r="AH114" s="54"/>
      <c r="AI114" s="54"/>
    </row>
    <row r="115" spans="1:35" x14ac:dyDescent="0.2">
      <c r="A115" s="549"/>
      <c r="B115" s="550"/>
      <c r="C115" s="551"/>
      <c r="D115" s="551"/>
      <c r="E115" s="551"/>
      <c r="F115" s="551"/>
      <c r="G115" s="551"/>
      <c r="H115" s="551"/>
      <c r="I115" s="551"/>
      <c r="J115" s="551"/>
      <c r="K115" s="551"/>
      <c r="L115" s="551"/>
      <c r="M115" s="551"/>
      <c r="N115" s="551"/>
      <c r="O115" s="551"/>
      <c r="P115" s="551"/>
      <c r="Q115" s="551"/>
      <c r="R115" s="552"/>
      <c r="S115" s="54"/>
      <c r="T115" s="54"/>
      <c r="W115" s="54"/>
      <c r="X115" s="54"/>
      <c r="Y115" s="54"/>
      <c r="AB115" s="54"/>
      <c r="AC115" s="54"/>
      <c r="AD115" s="54"/>
      <c r="AG115" s="54"/>
      <c r="AH115" s="54"/>
      <c r="AI115" s="54"/>
    </row>
    <row r="116" spans="1:35" x14ac:dyDescent="0.2">
      <c r="A116" s="82"/>
      <c r="R116" s="54"/>
      <c r="S116" s="54"/>
      <c r="T116" s="54"/>
      <c r="W116" s="54"/>
      <c r="X116" s="54"/>
      <c r="Y116" s="54"/>
      <c r="AB116" s="54"/>
      <c r="AC116" s="54"/>
      <c r="AD116" s="54"/>
      <c r="AG116" s="54"/>
      <c r="AH116" s="54"/>
      <c r="AI116" s="54"/>
    </row>
    <row r="117" spans="1:35" x14ac:dyDescent="0.2">
      <c r="R117" s="54"/>
      <c r="S117" s="54"/>
      <c r="T117" s="54"/>
      <c r="W117" s="54"/>
      <c r="X117" s="54"/>
      <c r="Y117" s="54"/>
      <c r="AB117" s="54"/>
      <c r="AC117" s="54"/>
      <c r="AD117" s="54"/>
      <c r="AG117" s="54"/>
      <c r="AH117" s="54"/>
      <c r="AI117" s="54"/>
    </row>
    <row r="118" spans="1:35" x14ac:dyDescent="0.2">
      <c r="R118" s="54"/>
      <c r="S118" s="54"/>
      <c r="T118" s="54"/>
      <c r="W118" s="54"/>
      <c r="X118" s="54"/>
      <c r="Y118" s="54"/>
      <c r="AB118" s="54"/>
      <c r="AC118" s="54"/>
      <c r="AD118" s="54"/>
      <c r="AG118" s="54"/>
      <c r="AH118" s="54"/>
      <c r="AI118" s="54"/>
    </row>
    <row r="119" spans="1:35" x14ac:dyDescent="0.2">
      <c r="R119" s="54"/>
      <c r="S119" s="54"/>
      <c r="T119" s="54"/>
      <c r="W119" s="54"/>
      <c r="X119" s="54"/>
      <c r="Y119" s="54"/>
      <c r="AB119" s="54"/>
      <c r="AC119" s="54"/>
      <c r="AD119" s="54"/>
      <c r="AG119" s="54"/>
      <c r="AH119" s="54"/>
      <c r="AI119" s="54"/>
    </row>
    <row r="120" spans="1:35" x14ac:dyDescent="0.2">
      <c r="R120" s="54"/>
      <c r="S120" s="54"/>
      <c r="T120" s="54"/>
      <c r="W120" s="54"/>
      <c r="X120" s="54"/>
      <c r="Y120" s="54"/>
      <c r="AB120" s="54"/>
      <c r="AC120" s="54"/>
      <c r="AD120" s="54"/>
      <c r="AG120" s="54"/>
      <c r="AH120" s="54"/>
      <c r="AI120" s="54"/>
    </row>
    <row r="121" spans="1:35" x14ac:dyDescent="0.2">
      <c r="R121" s="54"/>
      <c r="S121" s="54"/>
      <c r="T121" s="54"/>
      <c r="W121" s="54"/>
      <c r="X121" s="54"/>
      <c r="Y121" s="54"/>
      <c r="AB121" s="54"/>
      <c r="AC121" s="54"/>
      <c r="AD121" s="54"/>
      <c r="AG121" s="54"/>
      <c r="AH121" s="54"/>
      <c r="AI121" s="54"/>
    </row>
    <row r="122" spans="1:35" x14ac:dyDescent="0.2">
      <c r="R122" s="54"/>
      <c r="S122" s="54"/>
      <c r="T122" s="54"/>
      <c r="W122" s="54"/>
      <c r="X122" s="54"/>
      <c r="Y122" s="54"/>
      <c r="AB122" s="54"/>
      <c r="AC122" s="54"/>
      <c r="AD122" s="54"/>
      <c r="AG122" s="54"/>
      <c r="AH122" s="54"/>
      <c r="AI122" s="54"/>
    </row>
    <row r="123" spans="1:35" x14ac:dyDescent="0.2">
      <c r="R123" s="54"/>
      <c r="S123" s="54"/>
      <c r="T123" s="54"/>
      <c r="W123" s="54"/>
      <c r="X123" s="54"/>
      <c r="Y123" s="54"/>
      <c r="AB123" s="54"/>
      <c r="AC123" s="54"/>
      <c r="AD123" s="54"/>
      <c r="AG123" s="54"/>
      <c r="AH123" s="54"/>
      <c r="AI123" s="54"/>
    </row>
    <row r="124" spans="1:35" x14ac:dyDescent="0.2">
      <c r="R124" s="54"/>
      <c r="S124" s="54"/>
      <c r="T124" s="54"/>
      <c r="W124" s="54"/>
      <c r="X124" s="54"/>
      <c r="Y124" s="54"/>
      <c r="AB124" s="54"/>
      <c r="AC124" s="54"/>
      <c r="AD124" s="54"/>
      <c r="AG124" s="54"/>
      <c r="AH124" s="54"/>
      <c r="AI124" s="54"/>
    </row>
    <row r="125" spans="1:35" x14ac:dyDescent="0.2">
      <c r="R125" s="54"/>
      <c r="S125" s="54"/>
      <c r="T125" s="54"/>
      <c r="W125" s="54"/>
      <c r="X125" s="54"/>
      <c r="Y125" s="54"/>
      <c r="AB125" s="54"/>
      <c r="AC125" s="54"/>
      <c r="AD125" s="54"/>
      <c r="AG125" s="54"/>
      <c r="AH125" s="54"/>
      <c r="AI125" s="54"/>
    </row>
    <row r="126" spans="1:35" x14ac:dyDescent="0.2">
      <c r="R126" s="54"/>
      <c r="S126" s="54"/>
      <c r="T126" s="54"/>
      <c r="W126" s="54"/>
      <c r="X126" s="54"/>
      <c r="Y126" s="54"/>
      <c r="AB126" s="54"/>
      <c r="AC126" s="54"/>
      <c r="AD126" s="54"/>
      <c r="AG126" s="54"/>
      <c r="AH126" s="54"/>
      <c r="AI126" s="54"/>
    </row>
    <row r="127" spans="1:35" x14ac:dyDescent="0.2">
      <c r="R127" s="54"/>
      <c r="S127" s="54"/>
      <c r="T127" s="54"/>
      <c r="W127" s="54"/>
      <c r="X127" s="54"/>
      <c r="Y127" s="54"/>
      <c r="AB127" s="54"/>
      <c r="AC127" s="54"/>
      <c r="AD127" s="54"/>
      <c r="AG127" s="54"/>
      <c r="AH127" s="54"/>
      <c r="AI127" s="54"/>
    </row>
    <row r="128" spans="1:35" x14ac:dyDescent="0.2">
      <c r="R128" s="54"/>
      <c r="S128" s="54"/>
      <c r="T128" s="54"/>
      <c r="W128" s="54"/>
      <c r="X128" s="54"/>
      <c r="Y128" s="54"/>
      <c r="AB128" s="54"/>
      <c r="AC128" s="54"/>
      <c r="AD128" s="54"/>
      <c r="AG128" s="54"/>
      <c r="AH128" s="54"/>
      <c r="AI128" s="54"/>
    </row>
    <row r="129" spans="18:35" x14ac:dyDescent="0.2">
      <c r="R129" s="54"/>
      <c r="S129" s="54"/>
      <c r="T129" s="54"/>
      <c r="W129" s="54"/>
      <c r="X129" s="54"/>
      <c r="Y129" s="54"/>
      <c r="AB129" s="54"/>
      <c r="AC129" s="54"/>
      <c r="AD129" s="54"/>
      <c r="AG129" s="54"/>
      <c r="AH129" s="54"/>
      <c r="AI129" s="54"/>
    </row>
    <row r="130" spans="18:35" x14ac:dyDescent="0.2">
      <c r="R130" s="54"/>
      <c r="S130" s="54"/>
      <c r="T130" s="54"/>
      <c r="W130" s="54"/>
      <c r="X130" s="54"/>
      <c r="Y130" s="54"/>
      <c r="AB130" s="54"/>
      <c r="AC130" s="54"/>
      <c r="AD130" s="54"/>
      <c r="AG130" s="54"/>
      <c r="AH130" s="54"/>
      <c r="AI130" s="54"/>
    </row>
    <row r="131" spans="18:35" x14ac:dyDescent="0.2">
      <c r="R131" s="54"/>
      <c r="S131" s="54"/>
      <c r="T131" s="54"/>
      <c r="W131" s="54"/>
      <c r="X131" s="54"/>
      <c r="Y131" s="54"/>
      <c r="AB131" s="54"/>
      <c r="AC131" s="54"/>
      <c r="AD131" s="54"/>
      <c r="AG131" s="54"/>
      <c r="AH131" s="54"/>
      <c r="AI131" s="54"/>
    </row>
    <row r="132" spans="18:35" x14ac:dyDescent="0.2">
      <c r="R132" s="54"/>
      <c r="S132" s="54"/>
      <c r="T132" s="54"/>
      <c r="W132" s="54"/>
      <c r="X132" s="54"/>
      <c r="Y132" s="54"/>
      <c r="AB132" s="54"/>
      <c r="AC132" s="54"/>
      <c r="AD132" s="54"/>
      <c r="AG132" s="54"/>
      <c r="AH132" s="54"/>
      <c r="AI132" s="54"/>
    </row>
    <row r="133" spans="18:35" x14ac:dyDescent="0.2">
      <c r="R133" s="54"/>
      <c r="S133" s="54"/>
      <c r="T133" s="54"/>
      <c r="W133" s="54"/>
      <c r="X133" s="54"/>
      <c r="Y133" s="54"/>
      <c r="AB133" s="54"/>
      <c r="AC133" s="54"/>
      <c r="AD133" s="54"/>
      <c r="AG133" s="54"/>
      <c r="AH133" s="54"/>
      <c r="AI133" s="54"/>
    </row>
    <row r="134" spans="18:35" x14ac:dyDescent="0.2">
      <c r="R134" s="54"/>
      <c r="S134" s="54"/>
      <c r="T134" s="54"/>
      <c r="W134" s="54"/>
      <c r="X134" s="54"/>
      <c r="Y134" s="54"/>
      <c r="AB134" s="54"/>
      <c r="AC134" s="54"/>
      <c r="AD134" s="54"/>
      <c r="AG134" s="54"/>
      <c r="AH134" s="54"/>
      <c r="AI134" s="54"/>
    </row>
    <row r="135" spans="18:35" x14ac:dyDescent="0.2">
      <c r="R135" s="54"/>
      <c r="S135" s="54"/>
      <c r="T135" s="54"/>
      <c r="W135" s="54"/>
      <c r="X135" s="54"/>
      <c r="Y135" s="54"/>
      <c r="AB135" s="54"/>
      <c r="AC135" s="54"/>
      <c r="AD135" s="54"/>
      <c r="AG135" s="54"/>
      <c r="AH135" s="54"/>
      <c r="AI135" s="54"/>
    </row>
    <row r="136" spans="18:35" x14ac:dyDescent="0.2">
      <c r="R136" s="54"/>
      <c r="S136" s="54"/>
      <c r="T136" s="54"/>
      <c r="W136" s="54"/>
      <c r="X136" s="54"/>
      <c r="Y136" s="54"/>
      <c r="AB136" s="54"/>
      <c r="AC136" s="54"/>
      <c r="AD136" s="54"/>
      <c r="AG136" s="54"/>
      <c r="AH136" s="54"/>
      <c r="AI136" s="54"/>
    </row>
    <row r="137" spans="18:35" x14ac:dyDescent="0.2">
      <c r="R137" s="54"/>
      <c r="S137" s="54"/>
      <c r="T137" s="54"/>
      <c r="W137" s="54"/>
      <c r="X137" s="54"/>
      <c r="Y137" s="54"/>
      <c r="AB137" s="54"/>
      <c r="AC137" s="54"/>
      <c r="AD137" s="54"/>
      <c r="AG137" s="54"/>
      <c r="AH137" s="54"/>
      <c r="AI137" s="54"/>
    </row>
    <row r="138" spans="18:35" x14ac:dyDescent="0.2">
      <c r="R138" s="54"/>
      <c r="S138" s="54"/>
      <c r="T138" s="54"/>
      <c r="W138" s="54"/>
      <c r="X138" s="54"/>
      <c r="Y138" s="54"/>
      <c r="AB138" s="54"/>
      <c r="AC138" s="54"/>
      <c r="AD138" s="54"/>
      <c r="AG138" s="54"/>
      <c r="AH138" s="54"/>
      <c r="AI138" s="54"/>
    </row>
    <row r="139" spans="18:35" x14ac:dyDescent="0.2">
      <c r="R139" s="54"/>
      <c r="S139" s="54"/>
      <c r="T139" s="54"/>
      <c r="W139" s="54"/>
      <c r="X139" s="54"/>
      <c r="Y139" s="54"/>
      <c r="AB139" s="54"/>
      <c r="AC139" s="54"/>
      <c r="AD139" s="54"/>
      <c r="AG139" s="54"/>
      <c r="AH139" s="54"/>
      <c r="AI139" s="54"/>
    </row>
    <row r="140" spans="18:35" x14ac:dyDescent="0.2">
      <c r="R140" s="54"/>
      <c r="S140" s="54"/>
      <c r="T140" s="54"/>
      <c r="W140" s="54"/>
      <c r="X140" s="54"/>
      <c r="Y140" s="54"/>
      <c r="AB140" s="54"/>
      <c r="AC140" s="54"/>
      <c r="AD140" s="54"/>
      <c r="AG140" s="54"/>
      <c r="AH140" s="54"/>
      <c r="AI140" s="54"/>
    </row>
    <row r="141" spans="18:35" x14ac:dyDescent="0.2">
      <c r="R141" s="54"/>
      <c r="S141" s="54"/>
      <c r="T141" s="54"/>
      <c r="W141" s="54"/>
      <c r="X141" s="54"/>
      <c r="Y141" s="54"/>
      <c r="AB141" s="54"/>
      <c r="AC141" s="54"/>
      <c r="AD141" s="54"/>
      <c r="AG141" s="54"/>
      <c r="AH141" s="54"/>
      <c r="AI141" s="54"/>
    </row>
    <row r="142" spans="18:35" x14ac:dyDescent="0.2">
      <c r="R142" s="54"/>
      <c r="S142" s="54"/>
      <c r="T142" s="54"/>
      <c r="W142" s="54"/>
      <c r="X142" s="54"/>
      <c r="Y142" s="54"/>
      <c r="AB142" s="54"/>
      <c r="AC142" s="54"/>
      <c r="AD142" s="54"/>
      <c r="AG142" s="54"/>
      <c r="AH142" s="54"/>
      <c r="AI142" s="54"/>
    </row>
    <row r="143" spans="18:35" x14ac:dyDescent="0.2">
      <c r="R143" s="54"/>
      <c r="S143" s="54"/>
      <c r="T143" s="54"/>
      <c r="W143" s="54"/>
      <c r="X143" s="54"/>
      <c r="Y143" s="54"/>
      <c r="AB143" s="54"/>
      <c r="AC143" s="54"/>
      <c r="AD143" s="54"/>
      <c r="AG143" s="54"/>
      <c r="AH143" s="54"/>
      <c r="AI143" s="54"/>
    </row>
    <row r="144" spans="18:35" x14ac:dyDescent="0.2">
      <c r="R144" s="54"/>
      <c r="S144" s="54"/>
      <c r="T144" s="54"/>
      <c r="W144" s="54"/>
      <c r="X144" s="54"/>
      <c r="Y144" s="54"/>
      <c r="AB144" s="54"/>
      <c r="AC144" s="54"/>
      <c r="AD144" s="54"/>
      <c r="AG144" s="54"/>
      <c r="AH144" s="54"/>
      <c r="AI144" s="54"/>
    </row>
    <row r="145" spans="18:35" x14ac:dyDescent="0.2">
      <c r="R145" s="54"/>
      <c r="S145" s="54"/>
      <c r="T145" s="54"/>
      <c r="W145" s="54"/>
      <c r="X145" s="54"/>
      <c r="Y145" s="54"/>
      <c r="AB145" s="54"/>
      <c r="AC145" s="54"/>
      <c r="AD145" s="54"/>
      <c r="AG145" s="54"/>
      <c r="AH145" s="54"/>
      <c r="AI145" s="54"/>
    </row>
    <row r="146" spans="18:35" x14ac:dyDescent="0.2">
      <c r="R146" s="54"/>
      <c r="S146" s="54"/>
      <c r="T146" s="54"/>
      <c r="W146" s="54"/>
      <c r="X146" s="54"/>
      <c r="Y146" s="54"/>
      <c r="AB146" s="54"/>
      <c r="AC146" s="54"/>
      <c r="AD146" s="54"/>
      <c r="AG146" s="54"/>
      <c r="AH146" s="54"/>
      <c r="AI146" s="54"/>
    </row>
    <row r="147" spans="18:35" x14ac:dyDescent="0.2">
      <c r="R147" s="54"/>
      <c r="S147" s="54"/>
      <c r="T147" s="54"/>
      <c r="W147" s="54"/>
      <c r="X147" s="54"/>
      <c r="Y147" s="54"/>
      <c r="AB147" s="54"/>
      <c r="AC147" s="54"/>
      <c r="AD147" s="54"/>
      <c r="AG147" s="54"/>
      <c r="AH147" s="54"/>
      <c r="AI147" s="54"/>
    </row>
    <row r="148" spans="18:35" x14ac:dyDescent="0.2">
      <c r="R148" s="54"/>
      <c r="S148" s="54"/>
      <c r="T148" s="54"/>
      <c r="W148" s="54"/>
      <c r="X148" s="54"/>
      <c r="Y148" s="54"/>
      <c r="AB148" s="54"/>
      <c r="AC148" s="54"/>
      <c r="AD148" s="54"/>
      <c r="AG148" s="54"/>
      <c r="AH148" s="54"/>
      <c r="AI148" s="54"/>
    </row>
    <row r="149" spans="18:35" x14ac:dyDescent="0.2">
      <c r="R149" s="54"/>
      <c r="S149" s="54"/>
      <c r="T149" s="54"/>
      <c r="W149" s="54"/>
      <c r="X149" s="54"/>
      <c r="Y149" s="54"/>
      <c r="AB149" s="54"/>
      <c r="AC149" s="54"/>
      <c r="AD149" s="54"/>
      <c r="AG149" s="54"/>
      <c r="AH149" s="54"/>
      <c r="AI149" s="54"/>
    </row>
    <row r="150" spans="18:35" x14ac:dyDescent="0.2">
      <c r="R150" s="54"/>
      <c r="S150" s="54"/>
      <c r="T150" s="54"/>
      <c r="W150" s="54"/>
      <c r="X150" s="54"/>
      <c r="Y150" s="54"/>
      <c r="AB150" s="54"/>
      <c r="AC150" s="54"/>
      <c r="AD150" s="54"/>
      <c r="AG150" s="54"/>
      <c r="AH150" s="54"/>
      <c r="AI150" s="54"/>
    </row>
    <row r="151" spans="18:35" x14ac:dyDescent="0.2">
      <c r="R151" s="54"/>
      <c r="S151" s="54"/>
      <c r="T151" s="54"/>
      <c r="W151" s="54"/>
      <c r="X151" s="54"/>
      <c r="Y151" s="54"/>
      <c r="AB151" s="54"/>
      <c r="AC151" s="54"/>
      <c r="AD151" s="54"/>
      <c r="AG151" s="54"/>
      <c r="AH151" s="54"/>
      <c r="AI151" s="54"/>
    </row>
    <row r="152" spans="18:35" x14ac:dyDescent="0.2">
      <c r="R152" s="54"/>
      <c r="S152" s="54"/>
      <c r="T152" s="54"/>
      <c r="W152" s="54"/>
      <c r="X152" s="54"/>
      <c r="Y152" s="54"/>
      <c r="AB152" s="54"/>
      <c r="AC152" s="54"/>
      <c r="AD152" s="54"/>
      <c r="AG152" s="54"/>
      <c r="AH152" s="54"/>
      <c r="AI152" s="54"/>
    </row>
    <row r="153" spans="18:35" x14ac:dyDescent="0.2">
      <c r="R153" s="54"/>
      <c r="S153" s="54"/>
      <c r="T153" s="54"/>
      <c r="W153" s="54"/>
      <c r="X153" s="54"/>
      <c r="Y153" s="54"/>
      <c r="AB153" s="54"/>
      <c r="AC153" s="54"/>
      <c r="AD153" s="54"/>
      <c r="AG153" s="54"/>
      <c r="AH153" s="54"/>
      <c r="AI153" s="54"/>
    </row>
    <row r="154" spans="18:35" x14ac:dyDescent="0.2">
      <c r="R154" s="54"/>
      <c r="S154" s="54"/>
      <c r="T154" s="54"/>
      <c r="W154" s="54"/>
      <c r="X154" s="54"/>
      <c r="Y154" s="54"/>
      <c r="AB154" s="54"/>
      <c r="AC154" s="54"/>
      <c r="AD154" s="54"/>
      <c r="AG154" s="54"/>
      <c r="AH154" s="54"/>
      <c r="AI154" s="54"/>
    </row>
    <row r="155" spans="18:35" x14ac:dyDescent="0.2">
      <c r="R155" s="54"/>
      <c r="S155" s="54"/>
      <c r="T155" s="54"/>
      <c r="W155" s="54"/>
      <c r="X155" s="54"/>
      <c r="Y155" s="54"/>
      <c r="AB155" s="54"/>
      <c r="AC155" s="54"/>
      <c r="AD155" s="54"/>
      <c r="AG155" s="54"/>
      <c r="AH155" s="54"/>
      <c r="AI155" s="54"/>
    </row>
    <row r="156" spans="18:35" x14ac:dyDescent="0.2">
      <c r="R156" s="54"/>
      <c r="S156" s="54"/>
      <c r="T156" s="54"/>
      <c r="W156" s="54"/>
      <c r="X156" s="54"/>
      <c r="Y156" s="54"/>
      <c r="AB156" s="54"/>
      <c r="AC156" s="54"/>
      <c r="AD156" s="54"/>
      <c r="AG156" s="54"/>
      <c r="AH156" s="54"/>
      <c r="AI156" s="54"/>
    </row>
    <row r="157" spans="18:35" x14ac:dyDescent="0.2">
      <c r="R157" s="54"/>
      <c r="S157" s="54"/>
      <c r="T157" s="54"/>
      <c r="W157" s="54"/>
      <c r="X157" s="54"/>
      <c r="Y157" s="54"/>
      <c r="AB157" s="54"/>
      <c r="AC157" s="54"/>
      <c r="AD157" s="54"/>
      <c r="AG157" s="54"/>
      <c r="AH157" s="54"/>
      <c r="AI157" s="54"/>
    </row>
    <row r="158" spans="18:35" x14ac:dyDescent="0.2">
      <c r="R158" s="54"/>
      <c r="S158" s="54"/>
      <c r="T158" s="54"/>
      <c r="W158" s="54"/>
      <c r="X158" s="54"/>
      <c r="Y158" s="54"/>
      <c r="AB158" s="54"/>
      <c r="AC158" s="54"/>
      <c r="AD158" s="54"/>
      <c r="AG158" s="54"/>
      <c r="AH158" s="54"/>
      <c r="AI158" s="54"/>
    </row>
    <row r="159" spans="18:35" x14ac:dyDescent="0.2">
      <c r="R159" s="54"/>
      <c r="S159" s="54"/>
      <c r="T159" s="54"/>
      <c r="W159" s="54"/>
      <c r="X159" s="54"/>
      <c r="Y159" s="54"/>
      <c r="AB159" s="54"/>
      <c r="AC159" s="54"/>
      <c r="AD159" s="54"/>
      <c r="AG159" s="54"/>
      <c r="AH159" s="54"/>
      <c r="AI159" s="54"/>
    </row>
    <row r="160" spans="18:35" x14ac:dyDescent="0.2">
      <c r="R160" s="54"/>
      <c r="S160" s="54"/>
      <c r="T160" s="54"/>
      <c r="W160" s="54"/>
      <c r="X160" s="54"/>
      <c r="Y160" s="54"/>
      <c r="AB160" s="54"/>
      <c r="AC160" s="54"/>
      <c r="AD160" s="54"/>
      <c r="AG160" s="54"/>
      <c r="AH160" s="54"/>
      <c r="AI160" s="54"/>
    </row>
    <row r="161" spans="18:35" x14ac:dyDescent="0.2">
      <c r="R161" s="54"/>
      <c r="S161" s="54"/>
      <c r="T161" s="54"/>
      <c r="W161" s="54"/>
      <c r="X161" s="54"/>
      <c r="Y161" s="54"/>
      <c r="AB161" s="54"/>
      <c r="AC161" s="54"/>
      <c r="AD161" s="54"/>
      <c r="AG161" s="54"/>
      <c r="AH161" s="54"/>
      <c r="AI161" s="54"/>
    </row>
    <row r="162" spans="18:35" x14ac:dyDescent="0.2">
      <c r="R162" s="54"/>
      <c r="S162" s="54"/>
      <c r="T162" s="54"/>
      <c r="W162" s="54"/>
      <c r="X162" s="54"/>
      <c r="Y162" s="54"/>
      <c r="AB162" s="54"/>
      <c r="AC162" s="54"/>
      <c r="AD162" s="54"/>
      <c r="AG162" s="54"/>
      <c r="AH162" s="54"/>
      <c r="AI162" s="54"/>
    </row>
    <row r="163" spans="18:35" x14ac:dyDescent="0.2">
      <c r="R163" s="54"/>
      <c r="S163" s="54"/>
      <c r="T163" s="54"/>
      <c r="W163" s="54"/>
      <c r="X163" s="54"/>
      <c r="Y163" s="54"/>
      <c r="AB163" s="54"/>
      <c r="AC163" s="54"/>
      <c r="AD163" s="54"/>
      <c r="AG163" s="54"/>
      <c r="AH163" s="54"/>
      <c r="AI163" s="54"/>
    </row>
    <row r="164" spans="18:35" x14ac:dyDescent="0.2">
      <c r="R164" s="54"/>
      <c r="S164" s="54"/>
      <c r="T164" s="54"/>
      <c r="W164" s="54"/>
      <c r="X164" s="54"/>
      <c r="Y164" s="54"/>
      <c r="AB164" s="54"/>
      <c r="AC164" s="54"/>
      <c r="AD164" s="54"/>
      <c r="AG164" s="54"/>
      <c r="AH164" s="54"/>
      <c r="AI164" s="54"/>
    </row>
    <row r="165" spans="18:35" x14ac:dyDescent="0.2">
      <c r="R165" s="54"/>
      <c r="S165" s="54"/>
      <c r="T165" s="54"/>
      <c r="W165" s="54"/>
      <c r="X165" s="54"/>
      <c r="Y165" s="54"/>
      <c r="AB165" s="54"/>
      <c r="AC165" s="54"/>
      <c r="AD165" s="54"/>
      <c r="AG165" s="54"/>
      <c r="AH165" s="54"/>
      <c r="AI165" s="54"/>
    </row>
    <row r="166" spans="18:35" x14ac:dyDescent="0.2">
      <c r="R166" s="54"/>
      <c r="S166" s="54"/>
      <c r="T166" s="54"/>
      <c r="W166" s="54"/>
      <c r="X166" s="54"/>
      <c r="Y166" s="54"/>
      <c r="AB166" s="54"/>
      <c r="AC166" s="54"/>
      <c r="AD166" s="54"/>
      <c r="AG166" s="54"/>
      <c r="AH166" s="54"/>
      <c r="AI166" s="54"/>
    </row>
    <row r="167" spans="18:35" x14ac:dyDescent="0.2">
      <c r="R167" s="54"/>
      <c r="S167" s="54"/>
      <c r="T167" s="54"/>
      <c r="W167" s="54"/>
      <c r="X167" s="54"/>
      <c r="Y167" s="54"/>
      <c r="AB167" s="54"/>
      <c r="AC167" s="54"/>
      <c r="AD167" s="54"/>
      <c r="AG167" s="54"/>
      <c r="AH167" s="54"/>
      <c r="AI167" s="54"/>
    </row>
    <row r="168" spans="18:35" x14ac:dyDescent="0.2">
      <c r="R168" s="54"/>
      <c r="S168" s="54"/>
      <c r="T168" s="54"/>
      <c r="W168" s="54"/>
      <c r="X168" s="54"/>
      <c r="Y168" s="54"/>
      <c r="AB168" s="54"/>
      <c r="AC168" s="54"/>
      <c r="AD168" s="54"/>
      <c r="AG168" s="54"/>
      <c r="AH168" s="54"/>
      <c r="AI168" s="54"/>
    </row>
    <row r="169" spans="18:35" x14ac:dyDescent="0.2">
      <c r="R169" s="54"/>
      <c r="S169" s="54"/>
      <c r="T169" s="54"/>
      <c r="W169" s="54"/>
      <c r="X169" s="54"/>
      <c r="Y169" s="54"/>
      <c r="AB169" s="54"/>
      <c r="AC169" s="54"/>
      <c r="AD169" s="54"/>
      <c r="AG169" s="54"/>
      <c r="AH169" s="54"/>
      <c r="AI169" s="54"/>
    </row>
    <row r="170" spans="18:35" x14ac:dyDescent="0.2">
      <c r="R170" s="54"/>
      <c r="S170" s="54"/>
      <c r="T170" s="54"/>
      <c r="W170" s="54"/>
      <c r="X170" s="54"/>
      <c r="Y170" s="54"/>
      <c r="AB170" s="54"/>
      <c r="AC170" s="54"/>
      <c r="AD170" s="54"/>
      <c r="AG170" s="54"/>
      <c r="AH170" s="54"/>
      <c r="AI170" s="54"/>
    </row>
    <row r="171" spans="18:35" x14ac:dyDescent="0.2">
      <c r="R171" s="54"/>
      <c r="S171" s="54"/>
      <c r="T171" s="54"/>
      <c r="W171" s="54"/>
      <c r="X171" s="54"/>
      <c r="Y171" s="54"/>
      <c r="AB171" s="54"/>
      <c r="AC171" s="54"/>
      <c r="AD171" s="54"/>
      <c r="AG171" s="54"/>
      <c r="AH171" s="54"/>
      <c r="AI171" s="54"/>
    </row>
    <row r="172" spans="18:35" x14ac:dyDescent="0.2">
      <c r="R172" s="54"/>
      <c r="S172" s="54"/>
      <c r="T172" s="54"/>
      <c r="W172" s="54"/>
      <c r="X172" s="54"/>
      <c r="Y172" s="54"/>
      <c r="AB172" s="54"/>
      <c r="AC172" s="54"/>
      <c r="AD172" s="54"/>
      <c r="AG172" s="54"/>
      <c r="AH172" s="54"/>
      <c r="AI172" s="54"/>
    </row>
    <row r="173" spans="18:35" x14ac:dyDescent="0.2">
      <c r="R173" s="54"/>
      <c r="S173" s="54"/>
      <c r="T173" s="54"/>
      <c r="W173" s="54"/>
      <c r="X173" s="54"/>
      <c r="Y173" s="54"/>
      <c r="AB173" s="54"/>
      <c r="AC173" s="54"/>
      <c r="AD173" s="54"/>
      <c r="AG173" s="54"/>
      <c r="AH173" s="54"/>
      <c r="AI173" s="54"/>
    </row>
    <row r="174" spans="18:35" x14ac:dyDescent="0.2">
      <c r="R174" s="54"/>
      <c r="S174" s="54"/>
      <c r="T174" s="54"/>
      <c r="W174" s="54"/>
      <c r="X174" s="54"/>
      <c r="Y174" s="54"/>
      <c r="AB174" s="54"/>
      <c r="AC174" s="54"/>
      <c r="AD174" s="54"/>
      <c r="AG174" s="54"/>
      <c r="AH174" s="54"/>
      <c r="AI174" s="54"/>
    </row>
    <row r="175" spans="18:35" x14ac:dyDescent="0.2">
      <c r="R175" s="54"/>
      <c r="S175" s="54"/>
      <c r="T175" s="54"/>
      <c r="W175" s="54"/>
      <c r="X175" s="54"/>
      <c r="Y175" s="54"/>
      <c r="AB175" s="54"/>
      <c r="AC175" s="54"/>
      <c r="AD175" s="54"/>
      <c r="AG175" s="54"/>
      <c r="AH175" s="54"/>
      <c r="AI175" s="54"/>
    </row>
    <row r="176" spans="18:35" x14ac:dyDescent="0.2">
      <c r="R176" s="54"/>
      <c r="S176" s="54"/>
      <c r="T176" s="54"/>
      <c r="W176" s="54"/>
      <c r="X176" s="54"/>
      <c r="Y176" s="54"/>
      <c r="AB176" s="54"/>
      <c r="AC176" s="54"/>
      <c r="AD176" s="54"/>
      <c r="AG176" s="54"/>
      <c r="AH176" s="54"/>
      <c r="AI176" s="54"/>
    </row>
    <row r="177" spans="18:35" x14ac:dyDescent="0.2">
      <c r="R177" s="54"/>
      <c r="S177" s="54"/>
      <c r="T177" s="54"/>
      <c r="W177" s="54"/>
      <c r="X177" s="54"/>
      <c r="Y177" s="54"/>
      <c r="AB177" s="54"/>
      <c r="AC177" s="54"/>
      <c r="AD177" s="54"/>
      <c r="AG177" s="54"/>
      <c r="AH177" s="54"/>
      <c r="AI177" s="54"/>
    </row>
    <row r="178" spans="18:35" x14ac:dyDescent="0.2">
      <c r="R178" s="54"/>
      <c r="S178" s="54"/>
      <c r="T178" s="54"/>
      <c r="W178" s="54"/>
      <c r="X178" s="54"/>
      <c r="Y178" s="54"/>
      <c r="AB178" s="54"/>
      <c r="AC178" s="54"/>
      <c r="AD178" s="54"/>
      <c r="AG178" s="54"/>
      <c r="AH178" s="54"/>
      <c r="AI178" s="54"/>
    </row>
    <row r="179" spans="18:35" x14ac:dyDescent="0.2">
      <c r="R179" s="54"/>
      <c r="S179" s="54"/>
      <c r="T179" s="54"/>
      <c r="W179" s="54"/>
      <c r="X179" s="54"/>
      <c r="Y179" s="54"/>
      <c r="AB179" s="54"/>
      <c r="AC179" s="54"/>
      <c r="AD179" s="54"/>
      <c r="AG179" s="54"/>
      <c r="AH179" s="54"/>
      <c r="AI179" s="54"/>
    </row>
    <row r="180" spans="18:35" x14ac:dyDescent="0.2">
      <c r="R180" s="54"/>
      <c r="S180" s="54"/>
      <c r="T180" s="54"/>
      <c r="W180" s="54"/>
      <c r="X180" s="54"/>
      <c r="Y180" s="54"/>
      <c r="AB180" s="54"/>
      <c r="AC180" s="54"/>
      <c r="AD180" s="54"/>
      <c r="AG180" s="54"/>
      <c r="AH180" s="54"/>
      <c r="AI180" s="54"/>
    </row>
    <row r="181" spans="18:35" x14ac:dyDescent="0.2">
      <c r="R181" s="54"/>
      <c r="S181" s="54"/>
      <c r="T181" s="54"/>
      <c r="W181" s="54"/>
      <c r="X181" s="54"/>
      <c r="Y181" s="54"/>
      <c r="AB181" s="54"/>
      <c r="AC181" s="54"/>
      <c r="AD181" s="54"/>
      <c r="AG181" s="54"/>
      <c r="AH181" s="54"/>
      <c r="AI181" s="54"/>
    </row>
    <row r="182" spans="18:35" x14ac:dyDescent="0.2">
      <c r="R182" s="54"/>
      <c r="S182" s="54"/>
      <c r="T182" s="54"/>
      <c r="W182" s="54"/>
      <c r="X182" s="54"/>
      <c r="Y182" s="54"/>
      <c r="AB182" s="54"/>
      <c r="AC182" s="54"/>
      <c r="AD182" s="54"/>
      <c r="AG182" s="54"/>
      <c r="AH182" s="54"/>
      <c r="AI182" s="54"/>
    </row>
    <row r="183" spans="18:35" x14ac:dyDescent="0.2">
      <c r="R183" s="54"/>
      <c r="S183" s="54"/>
      <c r="T183" s="54"/>
      <c r="W183" s="54"/>
      <c r="X183" s="54"/>
      <c r="Y183" s="54"/>
      <c r="AB183" s="54"/>
      <c r="AC183" s="54"/>
      <c r="AD183" s="54"/>
      <c r="AG183" s="54"/>
      <c r="AH183" s="54"/>
      <c r="AI183" s="54"/>
    </row>
    <row r="184" spans="18:35" x14ac:dyDescent="0.2">
      <c r="R184" s="54"/>
      <c r="S184" s="54"/>
      <c r="T184" s="54"/>
      <c r="W184" s="54"/>
      <c r="X184" s="54"/>
      <c r="Y184" s="54"/>
      <c r="AB184" s="54"/>
      <c r="AC184" s="54"/>
      <c r="AD184" s="54"/>
      <c r="AG184" s="54"/>
      <c r="AH184" s="54"/>
      <c r="AI184" s="54"/>
    </row>
    <row r="185" spans="18:35" x14ac:dyDescent="0.2">
      <c r="R185" s="54"/>
      <c r="S185" s="54"/>
      <c r="T185" s="54"/>
      <c r="W185" s="54"/>
      <c r="X185" s="54"/>
      <c r="Y185" s="54"/>
      <c r="AB185" s="54"/>
      <c r="AC185" s="54"/>
      <c r="AD185" s="54"/>
      <c r="AG185" s="54"/>
      <c r="AH185" s="54"/>
      <c r="AI185" s="54"/>
    </row>
    <row r="186" spans="18:35" x14ac:dyDescent="0.2">
      <c r="R186" s="54"/>
      <c r="S186" s="54"/>
      <c r="T186" s="54"/>
      <c r="W186" s="54"/>
      <c r="X186" s="54"/>
      <c r="Y186" s="54"/>
      <c r="AB186" s="54"/>
      <c r="AC186" s="54"/>
      <c r="AD186" s="54"/>
      <c r="AG186" s="54"/>
      <c r="AH186" s="54"/>
      <c r="AI186" s="54"/>
    </row>
    <row r="187" spans="18:35" x14ac:dyDescent="0.2">
      <c r="R187" s="54"/>
      <c r="S187" s="54"/>
      <c r="T187" s="54"/>
      <c r="W187" s="54"/>
      <c r="X187" s="54"/>
      <c r="Y187" s="54"/>
      <c r="AB187" s="54"/>
      <c r="AC187" s="54"/>
      <c r="AD187" s="54"/>
      <c r="AG187" s="54"/>
      <c r="AH187" s="54"/>
      <c r="AI187" s="54"/>
    </row>
    <row r="188" spans="18:35" x14ac:dyDescent="0.2">
      <c r="R188" s="54"/>
      <c r="S188" s="54"/>
      <c r="T188" s="54"/>
      <c r="W188" s="54"/>
      <c r="X188" s="54"/>
      <c r="Y188" s="54"/>
      <c r="AB188" s="54"/>
      <c r="AC188" s="54"/>
      <c r="AD188" s="54"/>
      <c r="AG188" s="54"/>
      <c r="AH188" s="54"/>
      <c r="AI188" s="54"/>
    </row>
    <row r="189" spans="18:35" x14ac:dyDescent="0.2">
      <c r="R189" s="54"/>
      <c r="S189" s="54"/>
      <c r="T189" s="54"/>
      <c r="W189" s="54"/>
      <c r="X189" s="54"/>
      <c r="Y189" s="54"/>
      <c r="AB189" s="54"/>
      <c r="AC189" s="54"/>
      <c r="AD189" s="54"/>
      <c r="AG189" s="54"/>
      <c r="AH189" s="54"/>
      <c r="AI189" s="54"/>
    </row>
    <row r="190" spans="18:35" x14ac:dyDescent="0.2">
      <c r="R190" s="54"/>
      <c r="S190" s="54"/>
      <c r="T190" s="54"/>
      <c r="W190" s="54"/>
      <c r="X190" s="54"/>
      <c r="Y190" s="54"/>
      <c r="AB190" s="54"/>
      <c r="AC190" s="54"/>
      <c r="AD190" s="54"/>
      <c r="AG190" s="54"/>
      <c r="AH190" s="54"/>
      <c r="AI190" s="54"/>
    </row>
    <row r="191" spans="18:35" x14ac:dyDescent="0.2">
      <c r="R191" s="54"/>
      <c r="S191" s="54"/>
      <c r="T191" s="54"/>
      <c r="W191" s="54"/>
      <c r="X191" s="54"/>
      <c r="Y191" s="54"/>
      <c r="AB191" s="54"/>
      <c r="AC191" s="54"/>
      <c r="AD191" s="54"/>
      <c r="AG191" s="54"/>
      <c r="AH191" s="54"/>
      <c r="AI191" s="54"/>
    </row>
    <row r="192" spans="18:35" x14ac:dyDescent="0.2">
      <c r="R192" s="54"/>
      <c r="S192" s="54"/>
      <c r="T192" s="54"/>
      <c r="W192" s="54"/>
      <c r="X192" s="54"/>
      <c r="Y192" s="54"/>
      <c r="AB192" s="54"/>
      <c r="AC192" s="54"/>
      <c r="AD192" s="54"/>
      <c r="AG192" s="54"/>
      <c r="AH192" s="54"/>
      <c r="AI192" s="54"/>
    </row>
    <row r="193" spans="18:35" x14ac:dyDescent="0.2">
      <c r="R193" s="54"/>
      <c r="S193" s="54"/>
      <c r="T193" s="54"/>
      <c r="W193" s="54"/>
      <c r="X193" s="54"/>
      <c r="Y193" s="54"/>
      <c r="AB193" s="54"/>
      <c r="AC193" s="54"/>
      <c r="AD193" s="54"/>
      <c r="AG193" s="54"/>
      <c r="AH193" s="54"/>
      <c r="AI193" s="54"/>
    </row>
    <row r="194" spans="18:35" x14ac:dyDescent="0.2">
      <c r="R194" s="54"/>
      <c r="S194" s="54"/>
      <c r="T194" s="54"/>
      <c r="W194" s="54"/>
      <c r="X194" s="54"/>
      <c r="Y194" s="54"/>
      <c r="AB194" s="54"/>
      <c r="AC194" s="54"/>
      <c r="AD194" s="54"/>
      <c r="AG194" s="54"/>
      <c r="AH194" s="54"/>
      <c r="AI194" s="54"/>
    </row>
    <row r="195" spans="18:35" x14ac:dyDescent="0.2">
      <c r="R195" s="54"/>
      <c r="S195" s="54"/>
      <c r="T195" s="54"/>
      <c r="W195" s="54"/>
      <c r="X195" s="54"/>
      <c r="Y195" s="54"/>
      <c r="AB195" s="54"/>
      <c r="AC195" s="54"/>
      <c r="AD195" s="54"/>
      <c r="AG195" s="54"/>
      <c r="AH195" s="54"/>
      <c r="AI195" s="54"/>
    </row>
    <row r="196" spans="18:35" x14ac:dyDescent="0.2">
      <c r="R196" s="54"/>
      <c r="S196" s="54"/>
      <c r="T196" s="54"/>
      <c r="W196" s="54"/>
      <c r="X196" s="54"/>
      <c r="Y196" s="54"/>
      <c r="AB196" s="54"/>
      <c r="AC196" s="54"/>
      <c r="AD196" s="54"/>
      <c r="AG196" s="54"/>
      <c r="AH196" s="54"/>
      <c r="AI196" s="54"/>
    </row>
    <row r="197" spans="18:35" x14ac:dyDescent="0.2">
      <c r="R197" s="54"/>
      <c r="S197" s="54"/>
      <c r="T197" s="54"/>
      <c r="W197" s="54"/>
      <c r="X197" s="54"/>
      <c r="Y197" s="54"/>
      <c r="AB197" s="54"/>
      <c r="AC197" s="54"/>
      <c r="AD197" s="54"/>
      <c r="AG197" s="54"/>
      <c r="AH197" s="54"/>
      <c r="AI197" s="54"/>
    </row>
    <row r="198" spans="18:35" x14ac:dyDescent="0.2">
      <c r="R198" s="54"/>
      <c r="S198" s="54"/>
      <c r="T198" s="54"/>
      <c r="W198" s="54"/>
      <c r="X198" s="54"/>
      <c r="Y198" s="54"/>
      <c r="AB198" s="54"/>
      <c r="AC198" s="54"/>
      <c r="AD198" s="54"/>
      <c r="AG198" s="54"/>
      <c r="AH198" s="54"/>
      <c r="AI198" s="54"/>
    </row>
    <row r="199" spans="18:35" x14ac:dyDescent="0.2">
      <c r="R199" s="54"/>
      <c r="S199" s="54"/>
      <c r="T199" s="54"/>
      <c r="W199" s="54"/>
      <c r="X199" s="54"/>
      <c r="Y199" s="54"/>
      <c r="AB199" s="54"/>
      <c r="AC199" s="54"/>
      <c r="AD199" s="54"/>
      <c r="AG199" s="54"/>
      <c r="AH199" s="54"/>
      <c r="AI199" s="54"/>
    </row>
    <row r="200" spans="18:35" x14ac:dyDescent="0.2">
      <c r="R200" s="54"/>
      <c r="S200" s="54"/>
      <c r="T200" s="54"/>
      <c r="W200" s="54"/>
      <c r="X200" s="54"/>
      <c r="Y200" s="54"/>
      <c r="AB200" s="54"/>
      <c r="AC200" s="54"/>
      <c r="AD200" s="54"/>
      <c r="AG200" s="54"/>
      <c r="AH200" s="54"/>
      <c r="AI200" s="54"/>
    </row>
    <row r="201" spans="18:35" x14ac:dyDescent="0.2">
      <c r="R201" s="54"/>
      <c r="S201" s="54"/>
      <c r="T201" s="54"/>
      <c r="W201" s="54"/>
      <c r="X201" s="54"/>
      <c r="Y201" s="54"/>
      <c r="AB201" s="54"/>
      <c r="AC201" s="54"/>
      <c r="AD201" s="54"/>
      <c r="AG201" s="54"/>
      <c r="AH201" s="54"/>
      <c r="AI201" s="54"/>
    </row>
    <row r="202" spans="18:35" x14ac:dyDescent="0.2">
      <c r="R202" s="54"/>
      <c r="S202" s="54"/>
      <c r="T202" s="54"/>
      <c r="W202" s="54"/>
      <c r="X202" s="54"/>
      <c r="Y202" s="54"/>
      <c r="AB202" s="54"/>
      <c r="AC202" s="54"/>
      <c r="AD202" s="54"/>
      <c r="AG202" s="54"/>
      <c r="AH202" s="54"/>
      <c r="AI202" s="54"/>
    </row>
    <row r="203" spans="18:35" x14ac:dyDescent="0.2">
      <c r="R203" s="54"/>
      <c r="S203" s="54"/>
      <c r="T203" s="54"/>
      <c r="W203" s="54"/>
      <c r="X203" s="54"/>
      <c r="Y203" s="54"/>
      <c r="AB203" s="54"/>
      <c r="AC203" s="54"/>
      <c r="AD203" s="54"/>
      <c r="AG203" s="54"/>
      <c r="AH203" s="54"/>
      <c r="AI203" s="54"/>
    </row>
    <row r="204" spans="18:35" x14ac:dyDescent="0.2">
      <c r="R204" s="54"/>
      <c r="S204" s="54"/>
      <c r="T204" s="54"/>
      <c r="W204" s="54"/>
      <c r="X204" s="54"/>
      <c r="Y204" s="54"/>
      <c r="AB204" s="54"/>
      <c r="AC204" s="54"/>
      <c r="AD204" s="54"/>
      <c r="AG204" s="54"/>
      <c r="AH204" s="54"/>
      <c r="AI204" s="54"/>
    </row>
    <row r="205" spans="18:35" x14ac:dyDescent="0.2">
      <c r="R205" s="54"/>
      <c r="S205" s="54"/>
      <c r="T205" s="54"/>
      <c r="W205" s="54"/>
      <c r="X205" s="54"/>
      <c r="Y205" s="54"/>
      <c r="AB205" s="54"/>
      <c r="AC205" s="54"/>
      <c r="AD205" s="54"/>
      <c r="AG205" s="54"/>
      <c r="AH205" s="54"/>
      <c r="AI205" s="54"/>
    </row>
    <row r="206" spans="18:35" x14ac:dyDescent="0.2">
      <c r="R206" s="54"/>
      <c r="S206" s="54"/>
      <c r="T206" s="54"/>
      <c r="W206" s="54"/>
      <c r="X206" s="54"/>
      <c r="Y206" s="54"/>
      <c r="AB206" s="54"/>
      <c r="AC206" s="54"/>
      <c r="AD206" s="54"/>
      <c r="AG206" s="54"/>
      <c r="AH206" s="54"/>
      <c r="AI206" s="54"/>
    </row>
    <row r="207" spans="18:35" x14ac:dyDescent="0.2">
      <c r="R207" s="54"/>
      <c r="S207" s="54"/>
      <c r="T207" s="54"/>
      <c r="W207" s="54"/>
      <c r="X207" s="54"/>
      <c r="Y207" s="54"/>
      <c r="AB207" s="54"/>
      <c r="AC207" s="54"/>
      <c r="AD207" s="54"/>
      <c r="AG207" s="54"/>
      <c r="AH207" s="54"/>
      <c r="AI207" s="54"/>
    </row>
    <row r="208" spans="18:35" x14ac:dyDescent="0.2">
      <c r="R208" s="54"/>
      <c r="S208" s="54"/>
      <c r="T208" s="54"/>
      <c r="W208" s="54"/>
      <c r="X208" s="54"/>
      <c r="Y208" s="54"/>
      <c r="AB208" s="54"/>
      <c r="AC208" s="54"/>
      <c r="AD208" s="54"/>
      <c r="AG208" s="54"/>
      <c r="AH208" s="54"/>
      <c r="AI208" s="54"/>
    </row>
    <row r="209" spans="18:35" x14ac:dyDescent="0.2">
      <c r="R209" s="54"/>
      <c r="S209" s="54"/>
      <c r="T209" s="54"/>
      <c r="W209" s="54"/>
      <c r="X209" s="54"/>
      <c r="Y209" s="54"/>
      <c r="AB209" s="54"/>
      <c r="AC209" s="54"/>
      <c r="AD209" s="54"/>
      <c r="AG209" s="54"/>
      <c r="AH209" s="54"/>
      <c r="AI209" s="54"/>
    </row>
    <row r="210" spans="18:35" x14ac:dyDescent="0.2">
      <c r="R210" s="54"/>
      <c r="S210" s="54"/>
      <c r="T210" s="54"/>
      <c r="W210" s="54"/>
      <c r="X210" s="54"/>
      <c r="Y210" s="54"/>
      <c r="AB210" s="54"/>
      <c r="AC210" s="54"/>
      <c r="AD210" s="54"/>
      <c r="AG210" s="54"/>
      <c r="AH210" s="54"/>
      <c r="AI210" s="54"/>
    </row>
    <row r="211" spans="18:35" x14ac:dyDescent="0.2">
      <c r="R211" s="54"/>
      <c r="S211" s="54"/>
      <c r="T211" s="54"/>
      <c r="W211" s="54"/>
      <c r="X211" s="54"/>
      <c r="Y211" s="54"/>
      <c r="AB211" s="54"/>
      <c r="AC211" s="54"/>
      <c r="AD211" s="54"/>
      <c r="AG211" s="54"/>
      <c r="AH211" s="54"/>
      <c r="AI211" s="54"/>
    </row>
    <row r="212" spans="18:35" x14ac:dyDescent="0.2">
      <c r="R212" s="54"/>
      <c r="S212" s="54"/>
      <c r="T212" s="54"/>
      <c r="W212" s="54"/>
      <c r="X212" s="54"/>
      <c r="Y212" s="54"/>
      <c r="AB212" s="54"/>
      <c r="AC212" s="54"/>
      <c r="AD212" s="54"/>
      <c r="AG212" s="54"/>
      <c r="AH212" s="54"/>
      <c r="AI212" s="54"/>
    </row>
    <row r="213" spans="18:35" x14ac:dyDescent="0.2">
      <c r="R213" s="54"/>
      <c r="S213" s="54"/>
      <c r="T213" s="54"/>
      <c r="W213" s="54"/>
      <c r="X213" s="54"/>
      <c r="Y213" s="54"/>
      <c r="AB213" s="54"/>
      <c r="AC213" s="54"/>
      <c r="AD213" s="54"/>
      <c r="AG213" s="54"/>
      <c r="AH213" s="54"/>
      <c r="AI213" s="54"/>
    </row>
    <row r="214" spans="18:35" x14ac:dyDescent="0.2">
      <c r="R214" s="54"/>
      <c r="S214" s="54"/>
      <c r="T214" s="54"/>
      <c r="W214" s="54"/>
      <c r="X214" s="54"/>
      <c r="Y214" s="54"/>
      <c r="AB214" s="54"/>
      <c r="AC214" s="54"/>
      <c r="AD214" s="54"/>
      <c r="AG214" s="54"/>
      <c r="AH214" s="54"/>
      <c r="AI214" s="54"/>
    </row>
    <row r="215" spans="18:35" x14ac:dyDescent="0.2">
      <c r="R215" s="54"/>
      <c r="S215" s="54"/>
      <c r="T215" s="54"/>
      <c r="W215" s="54"/>
      <c r="X215" s="54"/>
      <c r="Y215" s="54"/>
      <c r="AB215" s="54"/>
      <c r="AC215" s="54"/>
      <c r="AD215" s="54"/>
      <c r="AG215" s="54"/>
      <c r="AH215" s="54"/>
      <c r="AI215" s="54"/>
    </row>
    <row r="216" spans="18:35" x14ac:dyDescent="0.2">
      <c r="R216" s="54"/>
      <c r="S216" s="54"/>
      <c r="T216" s="54"/>
      <c r="W216" s="54"/>
      <c r="X216" s="54"/>
      <c r="Y216" s="54"/>
      <c r="AB216" s="54"/>
      <c r="AC216" s="54"/>
      <c r="AD216" s="54"/>
      <c r="AG216" s="54"/>
      <c r="AH216" s="54"/>
      <c r="AI216" s="54"/>
    </row>
    <row r="217" spans="18:35" x14ac:dyDescent="0.2">
      <c r="R217" s="54"/>
      <c r="S217" s="54"/>
      <c r="T217" s="54"/>
      <c r="W217" s="54"/>
      <c r="X217" s="54"/>
      <c r="Y217" s="54"/>
      <c r="AB217" s="54"/>
      <c r="AC217" s="54"/>
      <c r="AD217" s="54"/>
      <c r="AG217" s="54"/>
      <c r="AH217" s="54"/>
      <c r="AI217" s="54"/>
    </row>
    <row r="218" spans="18:35" x14ac:dyDescent="0.2">
      <c r="R218" s="54"/>
      <c r="S218" s="54"/>
      <c r="T218" s="54"/>
      <c r="W218" s="54"/>
      <c r="X218" s="54"/>
      <c r="Y218" s="54"/>
      <c r="AB218" s="54"/>
      <c r="AC218" s="54"/>
      <c r="AD218" s="54"/>
      <c r="AG218" s="54"/>
      <c r="AH218" s="54"/>
      <c r="AI218" s="54"/>
    </row>
    <row r="219" spans="18:35" x14ac:dyDescent="0.2">
      <c r="R219" s="54"/>
      <c r="S219" s="54"/>
      <c r="T219" s="54"/>
      <c r="W219" s="54"/>
      <c r="X219" s="54"/>
      <c r="Y219" s="54"/>
      <c r="AB219" s="54"/>
      <c r="AC219" s="54"/>
      <c r="AD219" s="54"/>
      <c r="AG219" s="54"/>
      <c r="AH219" s="54"/>
      <c r="AI219" s="54"/>
    </row>
    <row r="220" spans="18:35" x14ac:dyDescent="0.2">
      <c r="R220" s="54"/>
      <c r="S220" s="54"/>
      <c r="T220" s="54"/>
      <c r="W220" s="54"/>
      <c r="X220" s="54"/>
      <c r="Y220" s="54"/>
      <c r="AB220" s="54"/>
      <c r="AC220" s="54"/>
      <c r="AD220" s="54"/>
      <c r="AG220" s="54"/>
      <c r="AH220" s="54"/>
      <c r="AI220" s="54"/>
    </row>
    <row r="221" spans="18:35" x14ac:dyDescent="0.2">
      <c r="R221" s="54"/>
      <c r="S221" s="54"/>
      <c r="T221" s="54"/>
      <c r="W221" s="54"/>
      <c r="X221" s="54"/>
      <c r="Y221" s="54"/>
      <c r="AB221" s="54"/>
      <c r="AC221" s="54"/>
      <c r="AD221" s="54"/>
      <c r="AG221" s="54"/>
      <c r="AH221" s="54"/>
      <c r="AI221" s="54"/>
    </row>
    <row r="222" spans="18:35" x14ac:dyDescent="0.2">
      <c r="R222" s="54"/>
      <c r="S222" s="54"/>
      <c r="T222" s="54"/>
      <c r="W222" s="54"/>
      <c r="X222" s="54"/>
      <c r="Y222" s="54"/>
      <c r="AB222" s="54"/>
      <c r="AC222" s="54"/>
      <c r="AD222" s="54"/>
      <c r="AG222" s="54"/>
      <c r="AH222" s="54"/>
      <c r="AI222" s="54"/>
    </row>
    <row r="223" spans="18:35" x14ac:dyDescent="0.2">
      <c r="R223" s="54"/>
      <c r="S223" s="54"/>
      <c r="T223" s="54"/>
      <c r="W223" s="54"/>
      <c r="X223" s="54"/>
      <c r="Y223" s="54"/>
      <c r="AB223" s="54"/>
      <c r="AC223" s="54"/>
      <c r="AD223" s="54"/>
      <c r="AG223" s="54"/>
      <c r="AH223" s="54"/>
      <c r="AI223" s="54"/>
    </row>
    <row r="224" spans="18:35" x14ac:dyDescent="0.2">
      <c r="R224" s="54"/>
      <c r="S224" s="54"/>
      <c r="T224" s="54"/>
      <c r="W224" s="54"/>
      <c r="X224" s="54"/>
      <c r="Y224" s="54"/>
      <c r="AB224" s="54"/>
      <c r="AC224" s="54"/>
      <c r="AD224" s="54"/>
      <c r="AG224" s="54"/>
      <c r="AH224" s="54"/>
      <c r="AI224" s="54"/>
    </row>
    <row r="225" spans="18:35" x14ac:dyDescent="0.2">
      <c r="R225" s="54"/>
      <c r="S225" s="54"/>
      <c r="T225" s="54"/>
      <c r="W225" s="54"/>
      <c r="X225" s="54"/>
      <c r="Y225" s="54"/>
      <c r="AB225" s="54"/>
      <c r="AC225" s="54"/>
      <c r="AD225" s="54"/>
      <c r="AG225" s="54"/>
      <c r="AH225" s="54"/>
      <c r="AI225" s="54"/>
    </row>
    <row r="226" spans="18:35" x14ac:dyDescent="0.2">
      <c r="R226" s="54"/>
      <c r="S226" s="54"/>
      <c r="T226" s="54"/>
      <c r="W226" s="54"/>
      <c r="X226" s="54"/>
      <c r="Y226" s="54"/>
      <c r="AB226" s="54"/>
      <c r="AC226" s="54"/>
      <c r="AD226" s="54"/>
      <c r="AG226" s="54"/>
      <c r="AH226" s="54"/>
      <c r="AI226" s="54"/>
    </row>
    <row r="227" spans="18:35" x14ac:dyDescent="0.2">
      <c r="R227" s="54"/>
      <c r="S227" s="54"/>
      <c r="T227" s="54"/>
      <c r="W227" s="54"/>
      <c r="X227" s="54"/>
      <c r="Y227" s="54"/>
      <c r="AB227" s="54"/>
      <c r="AC227" s="54"/>
      <c r="AD227" s="54"/>
      <c r="AG227" s="54"/>
      <c r="AH227" s="54"/>
      <c r="AI227" s="54"/>
    </row>
    <row r="228" spans="18:35" x14ac:dyDescent="0.2">
      <c r="R228" s="54"/>
      <c r="S228" s="54"/>
      <c r="T228" s="54"/>
      <c r="W228" s="54"/>
      <c r="X228" s="54"/>
      <c r="Y228" s="54"/>
      <c r="AB228" s="54"/>
      <c r="AC228" s="54"/>
      <c r="AD228" s="54"/>
      <c r="AG228" s="54"/>
      <c r="AH228" s="54"/>
      <c r="AI228" s="54"/>
    </row>
    <row r="229" spans="18:35" x14ac:dyDescent="0.2">
      <c r="R229" s="54"/>
      <c r="S229" s="54"/>
      <c r="T229" s="54"/>
      <c r="W229" s="54"/>
      <c r="X229" s="54"/>
      <c r="Y229" s="54"/>
      <c r="AB229" s="54"/>
      <c r="AC229" s="54"/>
      <c r="AD229" s="54"/>
      <c r="AG229" s="54"/>
      <c r="AH229" s="54"/>
      <c r="AI229" s="54"/>
    </row>
    <row r="230" spans="18:35" x14ac:dyDescent="0.2">
      <c r="R230" s="54"/>
      <c r="S230" s="54"/>
      <c r="T230" s="54"/>
      <c r="W230" s="54"/>
      <c r="X230" s="54"/>
      <c r="Y230" s="54"/>
      <c r="AB230" s="54"/>
      <c r="AC230" s="54"/>
      <c r="AD230" s="54"/>
      <c r="AG230" s="54"/>
      <c r="AH230" s="54"/>
      <c r="AI230" s="54"/>
    </row>
    <row r="231" spans="18:35" x14ac:dyDescent="0.2">
      <c r="R231" s="54"/>
      <c r="S231" s="54"/>
      <c r="T231" s="54"/>
      <c r="W231" s="54"/>
      <c r="X231" s="54"/>
      <c r="Y231" s="54"/>
      <c r="AB231" s="54"/>
      <c r="AC231" s="54"/>
      <c r="AD231" s="54"/>
      <c r="AG231" s="54"/>
      <c r="AH231" s="54"/>
      <c r="AI231" s="54"/>
    </row>
    <row r="232" spans="18:35" x14ac:dyDescent="0.2">
      <c r="R232" s="54"/>
      <c r="S232" s="54"/>
      <c r="T232" s="54"/>
      <c r="W232" s="54"/>
      <c r="X232" s="54"/>
      <c r="Y232" s="54"/>
      <c r="AB232" s="54"/>
      <c r="AC232" s="54"/>
      <c r="AD232" s="54"/>
      <c r="AG232" s="54"/>
      <c r="AH232" s="54"/>
      <c r="AI232" s="54"/>
    </row>
    <row r="233" spans="18:35" x14ac:dyDescent="0.2">
      <c r="R233" s="54"/>
      <c r="S233" s="54"/>
      <c r="T233" s="54"/>
      <c r="W233" s="54"/>
      <c r="X233" s="54"/>
      <c r="Y233" s="54"/>
      <c r="AB233" s="54"/>
      <c r="AC233" s="54"/>
      <c r="AD233" s="54"/>
      <c r="AG233" s="54"/>
      <c r="AH233" s="54"/>
      <c r="AI233" s="54"/>
    </row>
    <row r="234" spans="18:35" x14ac:dyDescent="0.2">
      <c r="R234" s="54"/>
      <c r="S234" s="54"/>
      <c r="T234" s="54"/>
      <c r="W234" s="54"/>
      <c r="X234" s="54"/>
      <c r="Y234" s="54"/>
      <c r="AB234" s="54"/>
      <c r="AC234" s="54"/>
      <c r="AD234" s="54"/>
      <c r="AG234" s="54"/>
      <c r="AH234" s="54"/>
      <c r="AI234" s="54"/>
    </row>
    <row r="235" spans="18:35" x14ac:dyDescent="0.2">
      <c r="R235" s="54"/>
      <c r="S235" s="54"/>
      <c r="T235" s="54"/>
      <c r="W235" s="54"/>
      <c r="X235" s="54"/>
      <c r="Y235" s="54"/>
      <c r="AB235" s="54"/>
      <c r="AC235" s="54"/>
      <c r="AD235" s="54"/>
      <c r="AG235" s="54"/>
      <c r="AH235" s="54"/>
      <c r="AI235" s="54"/>
    </row>
    <row r="236" spans="18:35" x14ac:dyDescent="0.2">
      <c r="R236" s="54"/>
      <c r="S236" s="54"/>
      <c r="T236" s="54"/>
      <c r="W236" s="54"/>
      <c r="X236" s="54"/>
      <c r="Y236" s="54"/>
      <c r="AB236" s="54"/>
      <c r="AC236" s="54"/>
      <c r="AD236" s="54"/>
      <c r="AG236" s="54"/>
      <c r="AH236" s="54"/>
      <c r="AI236" s="54"/>
    </row>
    <row r="237" spans="18:35" x14ac:dyDescent="0.2">
      <c r="R237" s="54"/>
      <c r="S237" s="54"/>
      <c r="T237" s="54"/>
      <c r="W237" s="54"/>
      <c r="X237" s="54"/>
      <c r="Y237" s="54"/>
      <c r="AB237" s="54"/>
      <c r="AC237" s="54"/>
      <c r="AD237" s="54"/>
      <c r="AG237" s="54"/>
      <c r="AH237" s="54"/>
      <c r="AI237" s="54"/>
    </row>
    <row r="238" spans="18:35" x14ac:dyDescent="0.2">
      <c r="R238" s="54"/>
      <c r="S238" s="54"/>
      <c r="T238" s="54"/>
      <c r="W238" s="54"/>
      <c r="X238" s="54"/>
      <c r="Y238" s="54"/>
      <c r="AB238" s="54"/>
      <c r="AC238" s="54"/>
      <c r="AD238" s="54"/>
      <c r="AG238" s="54"/>
      <c r="AH238" s="54"/>
      <c r="AI238" s="54"/>
    </row>
    <row r="239" spans="18:35" x14ac:dyDescent="0.2">
      <c r="R239" s="54"/>
      <c r="S239" s="54"/>
      <c r="T239" s="54"/>
      <c r="W239" s="54"/>
      <c r="X239" s="54"/>
      <c r="Y239" s="54"/>
      <c r="AB239" s="54"/>
      <c r="AC239" s="54"/>
      <c r="AD239" s="54"/>
      <c r="AG239" s="54"/>
      <c r="AH239" s="54"/>
      <c r="AI239" s="54"/>
    </row>
    <row r="240" spans="18:35" x14ac:dyDescent="0.2">
      <c r="R240" s="54"/>
      <c r="S240" s="54"/>
      <c r="T240" s="54"/>
      <c r="W240" s="54"/>
      <c r="X240" s="54"/>
      <c r="Y240" s="54"/>
      <c r="AB240" s="54"/>
      <c r="AC240" s="54"/>
      <c r="AD240" s="54"/>
      <c r="AG240" s="54"/>
      <c r="AH240" s="54"/>
      <c r="AI240" s="54"/>
    </row>
    <row r="241" spans="18:35" x14ac:dyDescent="0.2">
      <c r="R241" s="54"/>
      <c r="S241" s="54"/>
      <c r="T241" s="54"/>
      <c r="W241" s="54"/>
      <c r="X241" s="54"/>
      <c r="Y241" s="54"/>
      <c r="AB241" s="54"/>
      <c r="AC241" s="54"/>
      <c r="AD241" s="54"/>
      <c r="AG241" s="54"/>
      <c r="AH241" s="54"/>
      <c r="AI241" s="54"/>
    </row>
    <row r="242" spans="18:35" x14ac:dyDescent="0.2">
      <c r="R242" s="54"/>
      <c r="S242" s="54"/>
      <c r="T242" s="54"/>
      <c r="W242" s="54"/>
      <c r="X242" s="54"/>
      <c r="Y242" s="54"/>
      <c r="AB242" s="54"/>
      <c r="AC242" s="54"/>
      <c r="AD242" s="54"/>
      <c r="AG242" s="54"/>
      <c r="AH242" s="54"/>
      <c r="AI242" s="54"/>
    </row>
    <row r="243" spans="18:35" x14ac:dyDescent="0.2">
      <c r="R243" s="54"/>
      <c r="S243" s="54"/>
      <c r="T243" s="54"/>
      <c r="W243" s="54"/>
      <c r="X243" s="54"/>
      <c r="Y243" s="54"/>
      <c r="AB243" s="54"/>
      <c r="AC243" s="54"/>
      <c r="AD243" s="54"/>
      <c r="AG243" s="54"/>
      <c r="AH243" s="54"/>
      <c r="AI243" s="54"/>
    </row>
    <row r="244" spans="18:35" x14ac:dyDescent="0.2">
      <c r="R244" s="54"/>
      <c r="S244" s="54"/>
      <c r="T244" s="54"/>
      <c r="W244" s="54"/>
      <c r="X244" s="54"/>
      <c r="Y244" s="54"/>
      <c r="AB244" s="54"/>
      <c r="AC244" s="54"/>
      <c r="AD244" s="54"/>
      <c r="AG244" s="54"/>
      <c r="AH244" s="54"/>
      <c r="AI244" s="54"/>
    </row>
    <row r="245" spans="18:35" x14ac:dyDescent="0.2">
      <c r="R245" s="54"/>
      <c r="S245" s="54"/>
      <c r="T245" s="54"/>
      <c r="W245" s="54"/>
      <c r="X245" s="54"/>
      <c r="Y245" s="54"/>
      <c r="AB245" s="54"/>
      <c r="AC245" s="54"/>
      <c r="AD245" s="54"/>
      <c r="AG245" s="54"/>
      <c r="AH245" s="54"/>
      <c r="AI245" s="54"/>
    </row>
    <row r="246" spans="18:35" x14ac:dyDescent="0.2">
      <c r="R246" s="54"/>
      <c r="S246" s="54"/>
      <c r="T246" s="54"/>
      <c r="W246" s="54"/>
      <c r="X246" s="54"/>
      <c r="Y246" s="54"/>
      <c r="AB246" s="54"/>
      <c r="AC246" s="54"/>
      <c r="AD246" s="54"/>
      <c r="AG246" s="54"/>
      <c r="AH246" s="54"/>
      <c r="AI246" s="54"/>
    </row>
    <row r="247" spans="18:35" x14ac:dyDescent="0.2">
      <c r="R247" s="54"/>
      <c r="S247" s="54"/>
      <c r="T247" s="54"/>
      <c r="W247" s="54"/>
      <c r="X247" s="54"/>
      <c r="Y247" s="54"/>
      <c r="AB247" s="54"/>
      <c r="AC247" s="54"/>
      <c r="AD247" s="54"/>
      <c r="AG247" s="54"/>
      <c r="AH247" s="54"/>
      <c r="AI247" s="54"/>
    </row>
    <row r="248" spans="18:35" x14ac:dyDescent="0.2">
      <c r="R248" s="54"/>
      <c r="S248" s="54"/>
      <c r="T248" s="54"/>
      <c r="W248" s="54"/>
      <c r="X248" s="54"/>
      <c r="Y248" s="54"/>
      <c r="AB248" s="54"/>
      <c r="AC248" s="54"/>
      <c r="AD248" s="54"/>
      <c r="AG248" s="54"/>
      <c r="AH248" s="54"/>
      <c r="AI248" s="54"/>
    </row>
    <row r="249" spans="18:35" x14ac:dyDescent="0.2">
      <c r="R249" s="54"/>
      <c r="S249" s="54"/>
      <c r="T249" s="54"/>
      <c r="W249" s="54"/>
      <c r="X249" s="54"/>
      <c r="Y249" s="54"/>
      <c r="AB249" s="54"/>
      <c r="AC249" s="54"/>
      <c r="AD249" s="54"/>
      <c r="AG249" s="54"/>
      <c r="AH249" s="54"/>
      <c r="AI249" s="54"/>
    </row>
    <row r="250" spans="18:35" x14ac:dyDescent="0.2">
      <c r="R250" s="54"/>
      <c r="S250" s="54"/>
      <c r="T250" s="54"/>
      <c r="W250" s="54"/>
      <c r="X250" s="54"/>
      <c r="Y250" s="54"/>
      <c r="AB250" s="54"/>
      <c r="AC250" s="54"/>
      <c r="AD250" s="54"/>
      <c r="AG250" s="54"/>
      <c r="AH250" s="54"/>
      <c r="AI250" s="54"/>
    </row>
    <row r="251" spans="18:35" x14ac:dyDescent="0.2">
      <c r="R251" s="54"/>
      <c r="S251" s="54"/>
      <c r="T251" s="54"/>
      <c r="W251" s="54"/>
      <c r="X251" s="54"/>
      <c r="Y251" s="54"/>
      <c r="AB251" s="54"/>
      <c r="AC251" s="54"/>
      <c r="AD251" s="54"/>
      <c r="AG251" s="54"/>
      <c r="AH251" s="54"/>
      <c r="AI251" s="54"/>
    </row>
    <row r="252" spans="18:35" x14ac:dyDescent="0.2">
      <c r="R252" s="54"/>
      <c r="S252" s="54"/>
      <c r="T252" s="54"/>
      <c r="W252" s="54"/>
      <c r="X252" s="54"/>
      <c r="Y252" s="54"/>
      <c r="AB252" s="54"/>
      <c r="AC252" s="54"/>
      <c r="AD252" s="54"/>
      <c r="AG252" s="54"/>
      <c r="AH252" s="54"/>
      <c r="AI252" s="54"/>
    </row>
    <row r="253" spans="18:35" x14ac:dyDescent="0.2">
      <c r="R253" s="54"/>
      <c r="S253" s="54"/>
      <c r="T253" s="54"/>
      <c r="W253" s="54"/>
      <c r="X253" s="54"/>
      <c r="Y253" s="54"/>
      <c r="AB253" s="54"/>
      <c r="AC253" s="54"/>
      <c r="AD253" s="54"/>
      <c r="AG253" s="54"/>
      <c r="AH253" s="54"/>
      <c r="AI253" s="54"/>
    </row>
    <row r="254" spans="18:35" x14ac:dyDescent="0.2">
      <c r="R254" s="54"/>
      <c r="S254" s="54"/>
      <c r="T254" s="54"/>
      <c r="W254" s="54"/>
      <c r="X254" s="54"/>
      <c r="Y254" s="54"/>
      <c r="AB254" s="54"/>
      <c r="AC254" s="54"/>
      <c r="AD254" s="54"/>
      <c r="AG254" s="54"/>
      <c r="AH254" s="54"/>
      <c r="AI254" s="54"/>
    </row>
    <row r="255" spans="18:35" x14ac:dyDescent="0.2">
      <c r="R255" s="54"/>
      <c r="S255" s="54"/>
      <c r="T255" s="54"/>
      <c r="W255" s="54"/>
      <c r="X255" s="54"/>
      <c r="Y255" s="54"/>
      <c r="AB255" s="54"/>
      <c r="AC255" s="54"/>
      <c r="AD255" s="54"/>
      <c r="AG255" s="54"/>
      <c r="AH255" s="54"/>
      <c r="AI255" s="54"/>
    </row>
    <row r="256" spans="18:35" x14ac:dyDescent="0.2">
      <c r="R256" s="54"/>
      <c r="S256" s="54"/>
      <c r="T256" s="54"/>
      <c r="W256" s="54"/>
      <c r="X256" s="54"/>
      <c r="Y256" s="54"/>
      <c r="AB256" s="54"/>
      <c r="AC256" s="54"/>
      <c r="AD256" s="54"/>
      <c r="AG256" s="54"/>
      <c r="AH256" s="54"/>
      <c r="AI256" s="54"/>
    </row>
    <row r="257" spans="18:35" x14ac:dyDescent="0.2">
      <c r="R257" s="54"/>
      <c r="S257" s="54"/>
      <c r="T257" s="54"/>
      <c r="W257" s="54"/>
      <c r="X257" s="54"/>
      <c r="Y257" s="54"/>
      <c r="AB257" s="54"/>
      <c r="AC257" s="54"/>
      <c r="AD257" s="54"/>
      <c r="AG257" s="54"/>
      <c r="AH257" s="54"/>
      <c r="AI257" s="54"/>
    </row>
    <row r="258" spans="18:35" x14ac:dyDescent="0.2">
      <c r="R258" s="54"/>
      <c r="S258" s="54"/>
      <c r="T258" s="54"/>
      <c r="W258" s="54"/>
      <c r="X258" s="54"/>
      <c r="Y258" s="54"/>
      <c r="AB258" s="54"/>
      <c r="AC258" s="54"/>
      <c r="AD258" s="54"/>
      <c r="AG258" s="54"/>
      <c r="AH258" s="54"/>
      <c r="AI258" s="54"/>
    </row>
    <row r="259" spans="18:35" x14ac:dyDescent="0.2">
      <c r="R259" s="54"/>
      <c r="S259" s="54"/>
      <c r="T259" s="54"/>
      <c r="W259" s="54"/>
      <c r="X259" s="54"/>
      <c r="Y259" s="54"/>
      <c r="AB259" s="54"/>
      <c r="AC259" s="54"/>
      <c r="AD259" s="54"/>
      <c r="AG259" s="54"/>
      <c r="AH259" s="54"/>
      <c r="AI259" s="54"/>
    </row>
    <row r="260" spans="18:35" x14ac:dyDescent="0.2">
      <c r="R260" s="54"/>
      <c r="S260" s="54"/>
      <c r="T260" s="54"/>
      <c r="W260" s="54"/>
      <c r="X260" s="54"/>
      <c r="Y260" s="54"/>
      <c r="AB260" s="54"/>
      <c r="AC260" s="54"/>
      <c r="AD260" s="54"/>
      <c r="AG260" s="54"/>
      <c r="AH260" s="54"/>
      <c r="AI260" s="54"/>
    </row>
    <row r="261" spans="18:35" x14ac:dyDescent="0.2">
      <c r="R261" s="54"/>
      <c r="S261" s="54"/>
      <c r="T261" s="54"/>
      <c r="W261" s="54"/>
      <c r="X261" s="54"/>
      <c r="Y261" s="54"/>
      <c r="AB261" s="54"/>
      <c r="AC261" s="54"/>
      <c r="AD261" s="54"/>
      <c r="AG261" s="54"/>
      <c r="AH261" s="54"/>
      <c r="AI261" s="54"/>
    </row>
    <row r="262" spans="18:35" x14ac:dyDescent="0.2">
      <c r="R262" s="54"/>
      <c r="S262" s="54"/>
      <c r="T262" s="54"/>
      <c r="W262" s="54"/>
      <c r="X262" s="54"/>
      <c r="Y262" s="54"/>
      <c r="AB262" s="54"/>
      <c r="AC262" s="54"/>
      <c r="AD262" s="54"/>
      <c r="AG262" s="54"/>
      <c r="AH262" s="54"/>
      <c r="AI262" s="54"/>
    </row>
    <row r="263" spans="18:35" x14ac:dyDescent="0.2">
      <c r="R263" s="54"/>
      <c r="S263" s="54"/>
      <c r="T263" s="54"/>
      <c r="W263" s="54"/>
      <c r="X263" s="54"/>
      <c r="Y263" s="54"/>
      <c r="AB263" s="54"/>
      <c r="AC263" s="54"/>
      <c r="AD263" s="54"/>
      <c r="AG263" s="54"/>
      <c r="AH263" s="54"/>
      <c r="AI263" s="54"/>
    </row>
    <row r="264" spans="18:35" x14ac:dyDescent="0.2">
      <c r="R264" s="54"/>
      <c r="S264" s="54"/>
      <c r="T264" s="54"/>
      <c r="W264" s="54"/>
      <c r="X264" s="54"/>
      <c r="Y264" s="54"/>
      <c r="AB264" s="54"/>
      <c r="AC264" s="54"/>
      <c r="AD264" s="54"/>
      <c r="AG264" s="54"/>
      <c r="AH264" s="54"/>
      <c r="AI264" s="54"/>
    </row>
    <row r="265" spans="18:35" x14ac:dyDescent="0.2">
      <c r="R265" s="54"/>
      <c r="S265" s="54"/>
      <c r="T265" s="54"/>
      <c r="W265" s="54"/>
      <c r="X265" s="54"/>
      <c r="Y265" s="54"/>
      <c r="AB265" s="54"/>
      <c r="AC265" s="54"/>
      <c r="AD265" s="54"/>
      <c r="AG265" s="54"/>
      <c r="AH265" s="54"/>
      <c r="AI265" s="54"/>
    </row>
    <row r="266" spans="18:35" x14ac:dyDescent="0.2">
      <c r="R266" s="54"/>
      <c r="S266" s="54"/>
      <c r="T266" s="54"/>
      <c r="W266" s="54"/>
      <c r="X266" s="54"/>
      <c r="Y266" s="54"/>
      <c r="AB266" s="54"/>
      <c r="AC266" s="54"/>
      <c r="AD266" s="54"/>
      <c r="AG266" s="54"/>
      <c r="AH266" s="54"/>
      <c r="AI266" s="54"/>
    </row>
    <row r="267" spans="18:35" x14ac:dyDescent="0.2">
      <c r="R267" s="54"/>
      <c r="S267" s="54"/>
      <c r="T267" s="54"/>
      <c r="W267" s="54"/>
      <c r="X267" s="54"/>
      <c r="Y267" s="54"/>
      <c r="AB267" s="54"/>
      <c r="AC267" s="54"/>
      <c r="AD267" s="54"/>
      <c r="AG267" s="54"/>
      <c r="AH267" s="54"/>
      <c r="AI267" s="54"/>
    </row>
    <row r="268" spans="18:35" x14ac:dyDescent="0.2">
      <c r="R268" s="54"/>
      <c r="S268" s="54"/>
      <c r="T268" s="54"/>
      <c r="W268" s="54"/>
      <c r="X268" s="54"/>
      <c r="Y268" s="54"/>
      <c r="AB268" s="54"/>
      <c r="AC268" s="54"/>
      <c r="AD268" s="54"/>
      <c r="AG268" s="54"/>
      <c r="AH268" s="54"/>
      <c r="AI268" s="54"/>
    </row>
    <row r="269" spans="18:35" x14ac:dyDescent="0.2">
      <c r="R269" s="54"/>
      <c r="S269" s="54"/>
      <c r="T269" s="54"/>
      <c r="W269" s="54"/>
      <c r="X269" s="54"/>
      <c r="Y269" s="54"/>
      <c r="AB269" s="54"/>
      <c r="AC269" s="54"/>
      <c r="AD269" s="54"/>
      <c r="AG269" s="54"/>
      <c r="AH269" s="54"/>
      <c r="AI269" s="54"/>
    </row>
    <row r="270" spans="18:35" x14ac:dyDescent="0.2">
      <c r="R270" s="54"/>
      <c r="S270" s="54"/>
      <c r="T270" s="54"/>
      <c r="W270" s="54"/>
      <c r="X270" s="54"/>
      <c r="Y270" s="54"/>
      <c r="AB270" s="54"/>
      <c r="AC270" s="54"/>
      <c r="AD270" s="54"/>
      <c r="AG270" s="54"/>
      <c r="AH270" s="54"/>
      <c r="AI270" s="54"/>
    </row>
    <row r="271" spans="18:35" x14ac:dyDescent="0.2">
      <c r="R271" s="54"/>
      <c r="S271" s="54"/>
      <c r="T271" s="54"/>
      <c r="W271" s="54"/>
      <c r="X271" s="54"/>
      <c r="Y271" s="54"/>
      <c r="AB271" s="54"/>
      <c r="AC271" s="54"/>
      <c r="AD271" s="54"/>
      <c r="AG271" s="54"/>
      <c r="AH271" s="54"/>
      <c r="AI271" s="54"/>
    </row>
    <row r="272" spans="18:35" x14ac:dyDescent="0.2">
      <c r="R272" s="54"/>
      <c r="S272" s="54"/>
      <c r="T272" s="54"/>
      <c r="W272" s="54"/>
      <c r="X272" s="54"/>
      <c r="Y272" s="54"/>
      <c r="AB272" s="54"/>
      <c r="AC272" s="54"/>
      <c r="AD272" s="54"/>
      <c r="AG272" s="54"/>
      <c r="AH272" s="54"/>
      <c r="AI272" s="54"/>
    </row>
    <row r="273" spans="18:35" x14ac:dyDescent="0.2">
      <c r="R273" s="54"/>
      <c r="S273" s="54"/>
      <c r="T273" s="54"/>
      <c r="W273" s="54"/>
      <c r="X273" s="54"/>
      <c r="Y273" s="54"/>
      <c r="AB273" s="54"/>
      <c r="AC273" s="54"/>
      <c r="AD273" s="54"/>
      <c r="AG273" s="54"/>
      <c r="AH273" s="54"/>
      <c r="AI273" s="54"/>
    </row>
    <row r="274" spans="18:35" x14ac:dyDescent="0.2">
      <c r="R274" s="54"/>
      <c r="S274" s="54"/>
      <c r="T274" s="54"/>
      <c r="W274" s="54"/>
      <c r="X274" s="54"/>
      <c r="Y274" s="54"/>
      <c r="AB274" s="54"/>
      <c r="AC274" s="54"/>
      <c r="AD274" s="54"/>
      <c r="AG274" s="54"/>
      <c r="AH274" s="54"/>
      <c r="AI274" s="54"/>
    </row>
    <row r="275" spans="18:35" x14ac:dyDescent="0.2">
      <c r="R275" s="54"/>
      <c r="S275" s="54"/>
      <c r="T275" s="54"/>
      <c r="W275" s="54"/>
      <c r="X275" s="54"/>
      <c r="Y275" s="54"/>
      <c r="AB275" s="54"/>
      <c r="AC275" s="54"/>
      <c r="AD275" s="54"/>
      <c r="AG275" s="54"/>
      <c r="AH275" s="54"/>
      <c r="AI275" s="54"/>
    </row>
    <row r="276" spans="18:35" x14ac:dyDescent="0.2">
      <c r="R276" s="54"/>
      <c r="S276" s="54"/>
      <c r="T276" s="54"/>
      <c r="W276" s="54"/>
      <c r="X276" s="54"/>
      <c r="Y276" s="54"/>
      <c r="AB276" s="54"/>
      <c r="AC276" s="54"/>
      <c r="AD276" s="54"/>
      <c r="AG276" s="54"/>
      <c r="AH276" s="54"/>
      <c r="AI276" s="54"/>
    </row>
    <row r="277" spans="18:35" x14ac:dyDescent="0.2">
      <c r="R277" s="54"/>
      <c r="S277" s="54"/>
      <c r="T277" s="54"/>
      <c r="W277" s="54"/>
      <c r="X277" s="54"/>
      <c r="Y277" s="54"/>
      <c r="AB277" s="54"/>
      <c r="AC277" s="54"/>
      <c r="AD277" s="54"/>
      <c r="AG277" s="54"/>
      <c r="AH277" s="54"/>
      <c r="AI277" s="54"/>
    </row>
    <row r="278" spans="18:35" x14ac:dyDescent="0.2">
      <c r="R278" s="54"/>
      <c r="S278" s="54"/>
      <c r="T278" s="54"/>
      <c r="W278" s="54"/>
      <c r="X278" s="54"/>
      <c r="Y278" s="54"/>
      <c r="AB278" s="54"/>
      <c r="AC278" s="54"/>
      <c r="AD278" s="54"/>
      <c r="AG278" s="54"/>
      <c r="AH278" s="54"/>
      <c r="AI278" s="54"/>
    </row>
    <row r="279" spans="18:35" x14ac:dyDescent="0.2">
      <c r="R279" s="54"/>
      <c r="S279" s="54"/>
      <c r="T279" s="54"/>
      <c r="W279" s="54"/>
      <c r="X279" s="54"/>
      <c r="Y279" s="54"/>
      <c r="AB279" s="54"/>
      <c r="AC279" s="54"/>
      <c r="AD279" s="54"/>
      <c r="AG279" s="54"/>
      <c r="AH279" s="54"/>
      <c r="AI279" s="54"/>
    </row>
    <row r="280" spans="18:35" x14ac:dyDescent="0.2">
      <c r="R280" s="54"/>
      <c r="S280" s="54"/>
      <c r="T280" s="54"/>
      <c r="W280" s="54"/>
      <c r="X280" s="54"/>
      <c r="Y280" s="54"/>
      <c r="AB280" s="54"/>
      <c r="AC280" s="54"/>
      <c r="AD280" s="54"/>
      <c r="AG280" s="54"/>
      <c r="AH280" s="54"/>
      <c r="AI280" s="54"/>
    </row>
    <row r="281" spans="18:35" x14ac:dyDescent="0.2">
      <c r="R281" s="54"/>
      <c r="S281" s="54"/>
      <c r="T281" s="54"/>
      <c r="W281" s="54"/>
      <c r="X281" s="54"/>
      <c r="Y281" s="54"/>
      <c r="AB281" s="54"/>
      <c r="AC281" s="54"/>
      <c r="AD281" s="54"/>
      <c r="AG281" s="54"/>
      <c r="AH281" s="54"/>
      <c r="AI281" s="54"/>
    </row>
    <row r="282" spans="18:35" x14ac:dyDescent="0.2">
      <c r="R282" s="54"/>
      <c r="S282" s="54"/>
      <c r="T282" s="54"/>
      <c r="W282" s="54"/>
      <c r="X282" s="54"/>
      <c r="Y282" s="54"/>
      <c r="AB282" s="54"/>
      <c r="AC282" s="54"/>
      <c r="AD282" s="54"/>
      <c r="AG282" s="54"/>
      <c r="AH282" s="54"/>
      <c r="AI282" s="54"/>
    </row>
    <row r="283" spans="18:35" x14ac:dyDescent="0.2">
      <c r="R283" s="54"/>
      <c r="S283" s="54"/>
      <c r="T283" s="54"/>
      <c r="W283" s="54"/>
      <c r="X283" s="54"/>
      <c r="Y283" s="54"/>
      <c r="AB283" s="54"/>
      <c r="AC283" s="54"/>
      <c r="AD283" s="54"/>
      <c r="AG283" s="54"/>
      <c r="AH283" s="54"/>
      <c r="AI283" s="54"/>
    </row>
    <row r="284" spans="18:35" x14ac:dyDescent="0.2">
      <c r="R284" s="54"/>
      <c r="S284" s="54"/>
      <c r="T284" s="54"/>
      <c r="W284" s="54"/>
      <c r="X284" s="54"/>
      <c r="Y284" s="54"/>
      <c r="AB284" s="54"/>
      <c r="AC284" s="54"/>
      <c r="AD284" s="54"/>
      <c r="AG284" s="54"/>
      <c r="AH284" s="54"/>
      <c r="AI284" s="54"/>
    </row>
    <row r="285" spans="18:35" x14ac:dyDescent="0.2">
      <c r="R285" s="54"/>
      <c r="S285" s="54"/>
      <c r="T285" s="54"/>
      <c r="W285" s="54"/>
      <c r="X285" s="54"/>
      <c r="Y285" s="54"/>
      <c r="AB285" s="54"/>
      <c r="AC285" s="54"/>
      <c r="AD285" s="54"/>
      <c r="AG285" s="54"/>
      <c r="AH285" s="54"/>
      <c r="AI285" s="54"/>
    </row>
    <row r="286" spans="18:35" x14ac:dyDescent="0.2">
      <c r="R286" s="54"/>
      <c r="S286" s="54"/>
      <c r="T286" s="54"/>
      <c r="W286" s="54"/>
      <c r="X286" s="54"/>
      <c r="Y286" s="54"/>
      <c r="AB286" s="54"/>
      <c r="AC286" s="54"/>
      <c r="AD286" s="54"/>
      <c r="AG286" s="54"/>
      <c r="AH286" s="54"/>
      <c r="AI286" s="54"/>
    </row>
    <row r="287" spans="18:35" x14ac:dyDescent="0.2">
      <c r="R287" s="54"/>
      <c r="S287" s="54"/>
      <c r="T287" s="54"/>
      <c r="W287" s="54"/>
      <c r="X287" s="54"/>
      <c r="Y287" s="54"/>
      <c r="AB287" s="54"/>
      <c r="AC287" s="54"/>
      <c r="AD287" s="54"/>
      <c r="AG287" s="54"/>
      <c r="AH287" s="54"/>
      <c r="AI287" s="54"/>
    </row>
    <row r="288" spans="18:35" x14ac:dyDescent="0.2">
      <c r="R288" s="54"/>
      <c r="S288" s="54"/>
      <c r="T288" s="54"/>
      <c r="W288" s="54"/>
      <c r="X288" s="54"/>
      <c r="Y288" s="54"/>
      <c r="AB288" s="54"/>
      <c r="AC288" s="54"/>
      <c r="AD288" s="54"/>
      <c r="AG288" s="54"/>
      <c r="AH288" s="54"/>
      <c r="AI288" s="54"/>
    </row>
    <row r="289" spans="18:35" x14ac:dyDescent="0.2">
      <c r="R289" s="54"/>
      <c r="S289" s="54"/>
      <c r="T289" s="54"/>
      <c r="W289" s="54"/>
      <c r="X289" s="54"/>
      <c r="Y289" s="54"/>
      <c r="AB289" s="54"/>
      <c r="AC289" s="54"/>
      <c r="AD289" s="54"/>
      <c r="AG289" s="54"/>
      <c r="AH289" s="54"/>
      <c r="AI289" s="54"/>
    </row>
    <row r="290" spans="18:35" x14ac:dyDescent="0.2">
      <c r="R290" s="54"/>
      <c r="S290" s="54"/>
      <c r="T290" s="54"/>
      <c r="W290" s="54"/>
      <c r="X290" s="54"/>
      <c r="Y290" s="54"/>
      <c r="AB290" s="54"/>
      <c r="AC290" s="54"/>
      <c r="AD290" s="54"/>
      <c r="AG290" s="54"/>
      <c r="AH290" s="54"/>
      <c r="AI290" s="54"/>
    </row>
    <row r="291" spans="18:35" x14ac:dyDescent="0.2">
      <c r="R291" s="54"/>
      <c r="S291" s="54"/>
      <c r="T291" s="54"/>
      <c r="W291" s="54"/>
      <c r="X291" s="54"/>
      <c r="Y291" s="54"/>
      <c r="AB291" s="54"/>
      <c r="AC291" s="54"/>
      <c r="AD291" s="54"/>
      <c r="AG291" s="54"/>
      <c r="AH291" s="54"/>
      <c r="AI291" s="54"/>
    </row>
    <row r="292" spans="18:35" x14ac:dyDescent="0.2">
      <c r="R292" s="54"/>
      <c r="S292" s="54"/>
      <c r="T292" s="54"/>
      <c r="W292" s="54"/>
      <c r="X292" s="54"/>
      <c r="Y292" s="54"/>
      <c r="AB292" s="54"/>
      <c r="AC292" s="54"/>
      <c r="AD292" s="54"/>
      <c r="AG292" s="54"/>
      <c r="AH292" s="54"/>
      <c r="AI292" s="54"/>
    </row>
    <row r="293" spans="18:35" x14ac:dyDescent="0.2">
      <c r="R293" s="54"/>
      <c r="S293" s="54"/>
      <c r="T293" s="54"/>
      <c r="W293" s="54"/>
      <c r="X293" s="54"/>
      <c r="Y293" s="54"/>
      <c r="AB293" s="54"/>
      <c r="AC293" s="54"/>
      <c r="AD293" s="54"/>
      <c r="AG293" s="54"/>
      <c r="AH293" s="54"/>
      <c r="AI293" s="54"/>
    </row>
    <row r="294" spans="18:35" x14ac:dyDescent="0.2">
      <c r="R294" s="54"/>
      <c r="S294" s="54"/>
      <c r="T294" s="54"/>
      <c r="W294" s="54"/>
      <c r="X294" s="54"/>
      <c r="Y294" s="54"/>
      <c r="AB294" s="54"/>
      <c r="AC294" s="54"/>
      <c r="AD294" s="54"/>
      <c r="AG294" s="54"/>
      <c r="AH294" s="54"/>
      <c r="AI294" s="54"/>
    </row>
    <row r="295" spans="18:35" x14ac:dyDescent="0.2">
      <c r="R295" s="54"/>
      <c r="S295" s="54"/>
      <c r="T295" s="54"/>
      <c r="W295" s="54"/>
      <c r="X295" s="54"/>
      <c r="Y295" s="54"/>
      <c r="AB295" s="54"/>
      <c r="AC295" s="54"/>
      <c r="AD295" s="54"/>
      <c r="AG295" s="54"/>
      <c r="AH295" s="54"/>
      <c r="AI295" s="54"/>
    </row>
    <row r="296" spans="18:35" x14ac:dyDescent="0.2">
      <c r="R296" s="54"/>
      <c r="S296" s="54"/>
      <c r="T296" s="54"/>
      <c r="W296" s="54"/>
      <c r="X296" s="54"/>
      <c r="Y296" s="54"/>
      <c r="AB296" s="54"/>
      <c r="AC296" s="54"/>
      <c r="AD296" s="54"/>
      <c r="AG296" s="54"/>
      <c r="AH296" s="54"/>
      <c r="AI296" s="54"/>
    </row>
    <row r="297" spans="18:35" x14ac:dyDescent="0.2">
      <c r="R297" s="54"/>
      <c r="S297" s="54"/>
      <c r="T297" s="54"/>
      <c r="W297" s="54"/>
      <c r="X297" s="54"/>
      <c r="Y297" s="54"/>
      <c r="AB297" s="54"/>
      <c r="AC297" s="54"/>
      <c r="AD297" s="54"/>
      <c r="AG297" s="54"/>
      <c r="AH297" s="54"/>
      <c r="AI297" s="54"/>
    </row>
    <row r="298" spans="18:35" x14ac:dyDescent="0.2">
      <c r="R298" s="54"/>
      <c r="S298" s="54"/>
      <c r="T298" s="54"/>
      <c r="W298" s="54"/>
      <c r="X298" s="54"/>
      <c r="Y298" s="54"/>
      <c r="AB298" s="54"/>
      <c r="AC298" s="54"/>
      <c r="AD298" s="54"/>
      <c r="AG298" s="54"/>
      <c r="AH298" s="54"/>
      <c r="AI298" s="54"/>
    </row>
    <row r="299" spans="18:35" x14ac:dyDescent="0.2">
      <c r="R299" s="54"/>
      <c r="S299" s="54"/>
      <c r="T299" s="54"/>
      <c r="W299" s="54"/>
      <c r="X299" s="54"/>
      <c r="Y299" s="54"/>
      <c r="AB299" s="54"/>
      <c r="AC299" s="54"/>
      <c r="AD299" s="54"/>
      <c r="AG299" s="54"/>
      <c r="AH299" s="54"/>
      <c r="AI299" s="54"/>
    </row>
    <row r="300" spans="18:35" x14ac:dyDescent="0.2">
      <c r="R300" s="54"/>
      <c r="S300" s="54"/>
      <c r="T300" s="54"/>
      <c r="W300" s="54"/>
      <c r="X300" s="54"/>
      <c r="Y300" s="54"/>
      <c r="AB300" s="54"/>
      <c r="AC300" s="54"/>
      <c r="AD300" s="54"/>
      <c r="AG300" s="54"/>
      <c r="AH300" s="54"/>
      <c r="AI300" s="54"/>
    </row>
    <row r="301" spans="18:35" x14ac:dyDescent="0.2">
      <c r="R301" s="54"/>
      <c r="S301" s="54"/>
      <c r="T301" s="54"/>
      <c r="W301" s="54"/>
      <c r="X301" s="54"/>
      <c r="Y301" s="54"/>
      <c r="AB301" s="54"/>
      <c r="AC301" s="54"/>
      <c r="AD301" s="54"/>
      <c r="AG301" s="54"/>
      <c r="AH301" s="54"/>
      <c r="AI301" s="54"/>
    </row>
    <row r="302" spans="18:35" x14ac:dyDescent="0.2">
      <c r="R302" s="54"/>
      <c r="S302" s="54"/>
      <c r="T302" s="54"/>
      <c r="W302" s="54"/>
      <c r="X302" s="54"/>
      <c r="Y302" s="54"/>
      <c r="AB302" s="54"/>
      <c r="AC302" s="54"/>
      <c r="AD302" s="54"/>
      <c r="AG302" s="54"/>
      <c r="AH302" s="54"/>
      <c r="AI302" s="54"/>
    </row>
    <row r="303" spans="18:35" x14ac:dyDescent="0.2">
      <c r="R303" s="54"/>
      <c r="S303" s="54"/>
      <c r="T303" s="54"/>
      <c r="W303" s="54"/>
      <c r="X303" s="54"/>
      <c r="Y303" s="54"/>
      <c r="AB303" s="54"/>
      <c r="AC303" s="54"/>
      <c r="AD303" s="54"/>
      <c r="AG303" s="54"/>
      <c r="AH303" s="54"/>
      <c r="AI303" s="54"/>
    </row>
    <row r="304" spans="18:35" x14ac:dyDescent="0.2">
      <c r="R304" s="54"/>
      <c r="S304" s="54"/>
      <c r="T304" s="54"/>
      <c r="W304" s="54"/>
      <c r="X304" s="54"/>
      <c r="Y304" s="54"/>
      <c r="AB304" s="54"/>
      <c r="AC304" s="54"/>
      <c r="AD304" s="54"/>
      <c r="AG304" s="54"/>
      <c r="AH304" s="54"/>
      <c r="AI304" s="54"/>
    </row>
    <row r="305" spans="18:35" x14ac:dyDescent="0.2">
      <c r="R305" s="54"/>
      <c r="S305" s="54"/>
      <c r="T305" s="54"/>
      <c r="W305" s="54"/>
      <c r="X305" s="54"/>
      <c r="Y305" s="54"/>
      <c r="AB305" s="54"/>
      <c r="AC305" s="54"/>
      <c r="AD305" s="54"/>
      <c r="AG305" s="54"/>
      <c r="AH305" s="54"/>
      <c r="AI305" s="54"/>
    </row>
    <row r="306" spans="18:35" x14ac:dyDescent="0.2">
      <c r="R306" s="54"/>
      <c r="S306" s="54"/>
      <c r="T306" s="54"/>
      <c r="W306" s="54"/>
      <c r="X306" s="54"/>
      <c r="Y306" s="54"/>
      <c r="AB306" s="54"/>
      <c r="AC306" s="54"/>
      <c r="AD306" s="54"/>
      <c r="AG306" s="54"/>
      <c r="AH306" s="54"/>
      <c r="AI306" s="54"/>
    </row>
    <row r="307" spans="18:35" x14ac:dyDescent="0.2">
      <c r="R307" s="54"/>
      <c r="S307" s="54"/>
      <c r="T307" s="54"/>
      <c r="W307" s="54"/>
      <c r="X307" s="54"/>
      <c r="Y307" s="54"/>
      <c r="AB307" s="54"/>
      <c r="AC307" s="54"/>
      <c r="AD307" s="54"/>
      <c r="AG307" s="54"/>
      <c r="AH307" s="54"/>
      <c r="AI307" s="54"/>
    </row>
    <row r="308" spans="18:35" x14ac:dyDescent="0.2">
      <c r="R308" s="54"/>
      <c r="S308" s="54"/>
      <c r="T308" s="54"/>
      <c r="W308" s="54"/>
      <c r="X308" s="54"/>
      <c r="Y308" s="54"/>
      <c r="AB308" s="54"/>
      <c r="AC308" s="54"/>
      <c r="AD308" s="54"/>
      <c r="AG308" s="54"/>
      <c r="AH308" s="54"/>
      <c r="AI308" s="54"/>
    </row>
    <row r="309" spans="18:35" x14ac:dyDescent="0.2">
      <c r="R309" s="54"/>
      <c r="S309" s="54"/>
      <c r="T309" s="54"/>
      <c r="W309" s="54"/>
      <c r="X309" s="54"/>
      <c r="Y309" s="54"/>
      <c r="AB309" s="54"/>
      <c r="AC309" s="54"/>
      <c r="AD309" s="54"/>
      <c r="AG309" s="54"/>
      <c r="AH309" s="54"/>
      <c r="AI309" s="54"/>
    </row>
    <row r="310" spans="18:35" x14ac:dyDescent="0.2">
      <c r="R310" s="54"/>
      <c r="S310" s="54"/>
      <c r="T310" s="54"/>
      <c r="W310" s="54"/>
      <c r="X310" s="54"/>
      <c r="Y310" s="54"/>
      <c r="AB310" s="54"/>
      <c r="AC310" s="54"/>
      <c r="AD310" s="54"/>
      <c r="AG310" s="54"/>
      <c r="AH310" s="54"/>
      <c r="AI310" s="54"/>
    </row>
    <row r="311" spans="18:35" x14ac:dyDescent="0.2">
      <c r="R311" s="54"/>
      <c r="S311" s="54"/>
      <c r="T311" s="54"/>
      <c r="W311" s="54"/>
      <c r="X311" s="54"/>
      <c r="Y311" s="54"/>
      <c r="AB311" s="54"/>
      <c r="AC311" s="54"/>
      <c r="AD311" s="54"/>
      <c r="AG311" s="54"/>
      <c r="AH311" s="54"/>
      <c r="AI311" s="54"/>
    </row>
    <row r="312" spans="18:35" x14ac:dyDescent="0.2">
      <c r="R312" s="54"/>
      <c r="S312" s="54"/>
      <c r="T312" s="54"/>
      <c r="W312" s="54"/>
      <c r="X312" s="54"/>
      <c r="Y312" s="54"/>
      <c r="AB312" s="54"/>
      <c r="AC312" s="54"/>
      <c r="AD312" s="54"/>
      <c r="AG312" s="54"/>
      <c r="AH312" s="54"/>
      <c r="AI312" s="54"/>
    </row>
    <row r="313" spans="18:35" x14ac:dyDescent="0.2">
      <c r="R313" s="54"/>
      <c r="S313" s="54"/>
      <c r="T313" s="54"/>
      <c r="W313" s="54"/>
      <c r="X313" s="54"/>
      <c r="Y313" s="54"/>
      <c r="AB313" s="54"/>
      <c r="AC313" s="54"/>
      <c r="AD313" s="54"/>
      <c r="AG313" s="54"/>
      <c r="AH313" s="54"/>
      <c r="AI313" s="54"/>
    </row>
    <row r="314" spans="18:35" x14ac:dyDescent="0.2">
      <c r="R314" s="54"/>
      <c r="S314" s="54"/>
      <c r="T314" s="54"/>
      <c r="W314" s="54"/>
      <c r="X314" s="54"/>
      <c r="Y314" s="54"/>
      <c r="AB314" s="54"/>
      <c r="AC314" s="54"/>
      <c r="AD314" s="54"/>
      <c r="AG314" s="54"/>
      <c r="AH314" s="54"/>
      <c r="AI314" s="54"/>
    </row>
    <row r="315" spans="18:35" x14ac:dyDescent="0.2">
      <c r="R315" s="54"/>
      <c r="S315" s="54"/>
      <c r="T315" s="54"/>
      <c r="W315" s="54"/>
      <c r="X315" s="54"/>
      <c r="Y315" s="54"/>
      <c r="AB315" s="54"/>
      <c r="AC315" s="54"/>
      <c r="AD315" s="54"/>
      <c r="AG315" s="54"/>
      <c r="AH315" s="54"/>
      <c r="AI315" s="54"/>
    </row>
    <row r="316" spans="18:35" x14ac:dyDescent="0.2">
      <c r="R316" s="54"/>
      <c r="S316" s="54"/>
      <c r="T316" s="54"/>
      <c r="W316" s="54"/>
      <c r="X316" s="54"/>
      <c r="Y316" s="54"/>
      <c r="AB316" s="54"/>
      <c r="AC316" s="54"/>
      <c r="AD316" s="54"/>
      <c r="AG316" s="54"/>
      <c r="AH316" s="54"/>
      <c r="AI316" s="54"/>
    </row>
    <row r="317" spans="18:35" x14ac:dyDescent="0.2">
      <c r="R317" s="54"/>
      <c r="S317" s="54"/>
      <c r="T317" s="54"/>
      <c r="W317" s="54"/>
      <c r="X317" s="54"/>
      <c r="Y317" s="54"/>
      <c r="AB317" s="54"/>
      <c r="AC317" s="54"/>
      <c r="AD317" s="54"/>
      <c r="AG317" s="54"/>
      <c r="AH317" s="54"/>
      <c r="AI317" s="54"/>
    </row>
    <row r="318" spans="18:35" x14ac:dyDescent="0.2">
      <c r="R318" s="54"/>
      <c r="S318" s="54"/>
      <c r="T318" s="54"/>
      <c r="W318" s="54"/>
      <c r="X318" s="54"/>
      <c r="Y318" s="54"/>
      <c r="AB318" s="54"/>
      <c r="AC318" s="54"/>
      <c r="AD318" s="54"/>
      <c r="AG318" s="54"/>
      <c r="AH318" s="54"/>
      <c r="AI318" s="54"/>
    </row>
    <row r="319" spans="18:35" x14ac:dyDescent="0.2">
      <c r="R319" s="54"/>
      <c r="S319" s="54"/>
      <c r="T319" s="54"/>
      <c r="W319" s="54"/>
      <c r="X319" s="54"/>
      <c r="Y319" s="54"/>
      <c r="AB319" s="54"/>
      <c r="AC319" s="54"/>
      <c r="AD319" s="54"/>
      <c r="AG319" s="54"/>
      <c r="AH319" s="54"/>
      <c r="AI319" s="54"/>
    </row>
    <row r="320" spans="18:35" x14ac:dyDescent="0.2">
      <c r="R320" s="54"/>
      <c r="S320" s="54"/>
      <c r="T320" s="54"/>
      <c r="W320" s="54"/>
      <c r="X320" s="54"/>
      <c r="Y320" s="54"/>
      <c r="AB320" s="54"/>
      <c r="AC320" s="54"/>
      <c r="AD320" s="54"/>
      <c r="AG320" s="54"/>
      <c r="AH320" s="54"/>
      <c r="AI320" s="54"/>
    </row>
    <row r="321" spans="18:35" x14ac:dyDescent="0.2">
      <c r="R321" s="54"/>
      <c r="S321" s="54"/>
      <c r="T321" s="54"/>
      <c r="W321" s="54"/>
      <c r="X321" s="54"/>
      <c r="Y321" s="54"/>
      <c r="AB321" s="54"/>
      <c r="AC321" s="54"/>
      <c r="AD321" s="54"/>
      <c r="AG321" s="54"/>
      <c r="AH321" s="54"/>
      <c r="AI321" s="54"/>
    </row>
    <row r="322" spans="18:35" x14ac:dyDescent="0.2">
      <c r="R322" s="54"/>
      <c r="S322" s="54"/>
      <c r="T322" s="54"/>
      <c r="W322" s="54"/>
      <c r="X322" s="54"/>
      <c r="Y322" s="54"/>
      <c r="AB322" s="54"/>
      <c r="AC322" s="54"/>
      <c r="AD322" s="54"/>
      <c r="AG322" s="54"/>
      <c r="AH322" s="54"/>
      <c r="AI322" s="54"/>
    </row>
    <row r="323" spans="18:35" x14ac:dyDescent="0.2">
      <c r="R323" s="54"/>
      <c r="S323" s="54"/>
      <c r="T323" s="54"/>
      <c r="W323" s="54"/>
      <c r="X323" s="54"/>
      <c r="Y323" s="54"/>
      <c r="AB323" s="54"/>
      <c r="AC323" s="54"/>
      <c r="AD323" s="54"/>
      <c r="AG323" s="54"/>
      <c r="AH323" s="54"/>
      <c r="AI323" s="54"/>
    </row>
    <row r="324" spans="18:35" x14ac:dyDescent="0.2">
      <c r="R324" s="54"/>
      <c r="S324" s="54"/>
      <c r="T324" s="54"/>
      <c r="W324" s="54"/>
      <c r="X324" s="54"/>
      <c r="Y324" s="54"/>
      <c r="AB324" s="54"/>
      <c r="AC324" s="54"/>
      <c r="AD324" s="54"/>
      <c r="AG324" s="54"/>
      <c r="AH324" s="54"/>
      <c r="AI324" s="54"/>
    </row>
    <row r="325" spans="18:35" x14ac:dyDescent="0.2">
      <c r="R325" s="54"/>
      <c r="S325" s="54"/>
      <c r="T325" s="54"/>
      <c r="W325" s="54"/>
      <c r="X325" s="54"/>
      <c r="Y325" s="54"/>
      <c r="AB325" s="54"/>
      <c r="AC325" s="54"/>
      <c r="AD325" s="54"/>
      <c r="AG325" s="54"/>
      <c r="AH325" s="54"/>
      <c r="AI325" s="54"/>
    </row>
    <row r="326" spans="18:35" x14ac:dyDescent="0.2">
      <c r="R326" s="54"/>
      <c r="S326" s="54"/>
      <c r="T326" s="54"/>
      <c r="W326" s="54"/>
      <c r="X326" s="54"/>
      <c r="Y326" s="54"/>
      <c r="AB326" s="54"/>
      <c r="AC326" s="54"/>
      <c r="AD326" s="54"/>
      <c r="AG326" s="54"/>
      <c r="AH326" s="54"/>
      <c r="AI326" s="54"/>
    </row>
    <row r="327" spans="18:35" x14ac:dyDescent="0.2">
      <c r="R327" s="54"/>
      <c r="S327" s="54"/>
      <c r="T327" s="54"/>
      <c r="W327" s="54"/>
      <c r="X327" s="54"/>
      <c r="Y327" s="54"/>
      <c r="AB327" s="54"/>
      <c r="AC327" s="54"/>
      <c r="AD327" s="54"/>
      <c r="AG327" s="54"/>
      <c r="AH327" s="54"/>
      <c r="AI327" s="54"/>
    </row>
    <row r="328" spans="18:35" x14ac:dyDescent="0.2">
      <c r="R328" s="54"/>
      <c r="S328" s="54"/>
      <c r="T328" s="54"/>
      <c r="W328" s="54"/>
      <c r="X328" s="54"/>
      <c r="Y328" s="54"/>
      <c r="AB328" s="54"/>
      <c r="AC328" s="54"/>
      <c r="AD328" s="54"/>
      <c r="AG328" s="54"/>
      <c r="AH328" s="54"/>
      <c r="AI328" s="54"/>
    </row>
    <row r="329" spans="18:35" x14ac:dyDescent="0.2">
      <c r="R329" s="54"/>
      <c r="S329" s="54"/>
      <c r="T329" s="54"/>
      <c r="W329" s="54"/>
      <c r="X329" s="54"/>
      <c r="Y329" s="54"/>
      <c r="AB329" s="54"/>
      <c r="AC329" s="54"/>
      <c r="AD329" s="54"/>
      <c r="AG329" s="54"/>
      <c r="AH329" s="54"/>
      <c r="AI329" s="54"/>
    </row>
    <row r="330" spans="18:35" x14ac:dyDescent="0.2">
      <c r="R330" s="54"/>
      <c r="S330" s="54"/>
      <c r="T330" s="54"/>
      <c r="W330" s="54"/>
      <c r="X330" s="54"/>
      <c r="Y330" s="54"/>
      <c r="AB330" s="54"/>
      <c r="AC330" s="54"/>
      <c r="AD330" s="54"/>
      <c r="AG330" s="54"/>
      <c r="AH330" s="54"/>
      <c r="AI330" s="54"/>
    </row>
    <row r="331" spans="18:35" x14ac:dyDescent="0.2">
      <c r="R331" s="54"/>
      <c r="S331" s="54"/>
      <c r="T331" s="54"/>
      <c r="W331" s="54"/>
      <c r="X331" s="54"/>
      <c r="Y331" s="54"/>
      <c r="AB331" s="54"/>
      <c r="AC331" s="54"/>
      <c r="AD331" s="54"/>
      <c r="AG331" s="54"/>
      <c r="AH331" s="54"/>
      <c r="AI331" s="54"/>
    </row>
    <row r="332" spans="18:35" x14ac:dyDescent="0.2">
      <c r="R332" s="54"/>
      <c r="S332" s="54"/>
      <c r="T332" s="54"/>
      <c r="W332" s="54"/>
      <c r="X332" s="54"/>
      <c r="Y332" s="54"/>
      <c r="AB332" s="54"/>
      <c r="AC332" s="54"/>
      <c r="AD332" s="54"/>
      <c r="AG332" s="54"/>
      <c r="AH332" s="54"/>
      <c r="AI332" s="54"/>
    </row>
    <row r="333" spans="18:35" x14ac:dyDescent="0.2">
      <c r="R333" s="54"/>
      <c r="S333" s="54"/>
      <c r="T333" s="54"/>
      <c r="W333" s="54"/>
      <c r="X333" s="54"/>
      <c r="Y333" s="54"/>
      <c r="AB333" s="54"/>
      <c r="AC333" s="54"/>
      <c r="AD333" s="54"/>
      <c r="AG333" s="54"/>
      <c r="AH333" s="54"/>
      <c r="AI333" s="54"/>
    </row>
    <row r="334" spans="18:35" x14ac:dyDescent="0.2">
      <c r="R334" s="54"/>
      <c r="S334" s="54"/>
      <c r="T334" s="54"/>
      <c r="W334" s="54"/>
      <c r="X334" s="54"/>
      <c r="Y334" s="54"/>
      <c r="AB334" s="54"/>
      <c r="AC334" s="54"/>
      <c r="AD334" s="54"/>
      <c r="AG334" s="54"/>
      <c r="AH334" s="54"/>
      <c r="AI334" s="54"/>
    </row>
    <row r="335" spans="18:35" x14ac:dyDescent="0.2">
      <c r="R335" s="54"/>
      <c r="S335" s="54"/>
      <c r="T335" s="54"/>
      <c r="W335" s="54"/>
      <c r="X335" s="54"/>
      <c r="Y335" s="54"/>
      <c r="AB335" s="54"/>
      <c r="AC335" s="54"/>
      <c r="AD335" s="54"/>
      <c r="AG335" s="54"/>
      <c r="AH335" s="54"/>
      <c r="AI335" s="54"/>
    </row>
    <row r="336" spans="18:35" x14ac:dyDescent="0.2">
      <c r="R336" s="54"/>
      <c r="S336" s="54"/>
      <c r="T336" s="54"/>
      <c r="W336" s="54"/>
      <c r="X336" s="54"/>
      <c r="Y336" s="54"/>
      <c r="AB336" s="54"/>
      <c r="AC336" s="54"/>
      <c r="AD336" s="54"/>
      <c r="AG336" s="54"/>
      <c r="AH336" s="54"/>
      <c r="AI336" s="54"/>
    </row>
    <row r="337" spans="18:35" x14ac:dyDescent="0.2">
      <c r="R337" s="54"/>
      <c r="S337" s="54"/>
      <c r="T337" s="54"/>
      <c r="W337" s="54"/>
      <c r="X337" s="54"/>
      <c r="Y337" s="54"/>
      <c r="AB337" s="54"/>
      <c r="AC337" s="54"/>
      <c r="AD337" s="54"/>
      <c r="AG337" s="54"/>
      <c r="AH337" s="54"/>
      <c r="AI337" s="54"/>
    </row>
    <row r="338" spans="18:35" x14ac:dyDescent="0.2">
      <c r="R338" s="54"/>
      <c r="S338" s="54"/>
      <c r="T338" s="54"/>
      <c r="W338" s="54"/>
      <c r="X338" s="54"/>
      <c r="Y338" s="54"/>
      <c r="AB338" s="54"/>
      <c r="AC338" s="54"/>
      <c r="AD338" s="54"/>
      <c r="AG338" s="54"/>
      <c r="AH338" s="54"/>
      <c r="AI338" s="54"/>
    </row>
    <row r="339" spans="18:35" x14ac:dyDescent="0.2">
      <c r="R339" s="54"/>
      <c r="S339" s="54"/>
      <c r="T339" s="54"/>
      <c r="W339" s="54"/>
      <c r="X339" s="54"/>
      <c r="Y339" s="54"/>
      <c r="AB339" s="54"/>
      <c r="AC339" s="54"/>
      <c r="AD339" s="54"/>
      <c r="AG339" s="54"/>
      <c r="AH339" s="54"/>
      <c r="AI339" s="54"/>
    </row>
    <row r="340" spans="18:35" x14ac:dyDescent="0.2">
      <c r="R340" s="54"/>
      <c r="S340" s="54"/>
      <c r="T340" s="54"/>
      <c r="W340" s="54"/>
      <c r="X340" s="54"/>
      <c r="Y340" s="54"/>
      <c r="AB340" s="54"/>
      <c r="AC340" s="54"/>
      <c r="AD340" s="54"/>
      <c r="AG340" s="54"/>
      <c r="AH340" s="54"/>
      <c r="AI340" s="54"/>
    </row>
    <row r="341" spans="18:35" x14ac:dyDescent="0.2">
      <c r="R341" s="54"/>
      <c r="S341" s="54"/>
      <c r="T341" s="54"/>
      <c r="W341" s="54"/>
      <c r="X341" s="54"/>
      <c r="Y341" s="54"/>
      <c r="AB341" s="54"/>
      <c r="AC341" s="54"/>
      <c r="AD341" s="54"/>
      <c r="AG341" s="54"/>
      <c r="AH341" s="54"/>
      <c r="AI341" s="54"/>
    </row>
    <row r="342" spans="18:35" x14ac:dyDescent="0.2">
      <c r="R342" s="54"/>
      <c r="S342" s="54"/>
      <c r="T342" s="54"/>
      <c r="W342" s="54"/>
      <c r="X342" s="54"/>
      <c r="Y342" s="54"/>
      <c r="AB342" s="54"/>
      <c r="AC342" s="54"/>
      <c r="AD342" s="54"/>
      <c r="AG342" s="54"/>
      <c r="AH342" s="54"/>
      <c r="AI342" s="54"/>
    </row>
    <row r="343" spans="18:35" x14ac:dyDescent="0.2">
      <c r="R343" s="54"/>
      <c r="S343" s="54"/>
      <c r="T343" s="54"/>
      <c r="W343" s="54"/>
      <c r="X343" s="54"/>
      <c r="Y343" s="54"/>
      <c r="AB343" s="54"/>
      <c r="AC343" s="54"/>
      <c r="AD343" s="54"/>
      <c r="AG343" s="54"/>
      <c r="AH343" s="54"/>
      <c r="AI343" s="54"/>
    </row>
    <row r="344" spans="18:35" x14ac:dyDescent="0.2">
      <c r="R344" s="54"/>
      <c r="S344" s="54"/>
      <c r="T344" s="54"/>
      <c r="W344" s="54"/>
      <c r="X344" s="54"/>
      <c r="Y344" s="54"/>
      <c r="AB344" s="54"/>
      <c r="AC344" s="54"/>
      <c r="AD344" s="54"/>
      <c r="AG344" s="54"/>
      <c r="AH344" s="54"/>
      <c r="AI344" s="54"/>
    </row>
    <row r="345" spans="18:35" x14ac:dyDescent="0.2">
      <c r="R345" s="54"/>
      <c r="S345" s="54"/>
      <c r="T345" s="54"/>
      <c r="W345" s="54"/>
      <c r="X345" s="54"/>
      <c r="Y345" s="54"/>
      <c r="AB345" s="54"/>
      <c r="AC345" s="54"/>
      <c r="AD345" s="54"/>
      <c r="AG345" s="54"/>
      <c r="AH345" s="54"/>
      <c r="AI345" s="54"/>
    </row>
    <row r="346" spans="18:35" x14ac:dyDescent="0.2">
      <c r="R346" s="54"/>
      <c r="S346" s="54"/>
      <c r="T346" s="54"/>
      <c r="W346" s="54"/>
      <c r="X346" s="54"/>
      <c r="Y346" s="54"/>
      <c r="AB346" s="54"/>
      <c r="AC346" s="54"/>
      <c r="AD346" s="54"/>
      <c r="AG346" s="54"/>
      <c r="AH346" s="54"/>
      <c r="AI346" s="54"/>
    </row>
    <row r="347" spans="18:35" x14ac:dyDescent="0.2">
      <c r="R347" s="54"/>
      <c r="S347" s="54"/>
      <c r="T347" s="54"/>
      <c r="W347" s="54"/>
      <c r="X347" s="54"/>
      <c r="Y347" s="54"/>
      <c r="AB347" s="54"/>
      <c r="AC347" s="54"/>
      <c r="AD347" s="54"/>
      <c r="AG347" s="54"/>
      <c r="AH347" s="54"/>
      <c r="AI347" s="54"/>
    </row>
    <row r="348" spans="18:35" x14ac:dyDescent="0.2">
      <c r="R348" s="54"/>
      <c r="S348" s="54"/>
      <c r="T348" s="54"/>
      <c r="W348" s="54"/>
      <c r="X348" s="54"/>
      <c r="Y348" s="54"/>
      <c r="AB348" s="54"/>
      <c r="AC348" s="54"/>
      <c r="AD348" s="54"/>
      <c r="AG348" s="54"/>
      <c r="AH348" s="54"/>
      <c r="AI348" s="54"/>
    </row>
    <row r="349" spans="18:35" x14ac:dyDescent="0.2">
      <c r="R349" s="54"/>
      <c r="S349" s="54"/>
      <c r="T349" s="54"/>
      <c r="W349" s="54"/>
      <c r="X349" s="54"/>
      <c r="Y349" s="54"/>
      <c r="AB349" s="54"/>
      <c r="AC349" s="54"/>
      <c r="AD349" s="54"/>
      <c r="AG349" s="54"/>
      <c r="AH349" s="54"/>
      <c r="AI349" s="54"/>
    </row>
    <row r="350" spans="18:35" x14ac:dyDescent="0.2">
      <c r="R350" s="54"/>
      <c r="S350" s="54"/>
      <c r="T350" s="54"/>
      <c r="W350" s="54"/>
      <c r="X350" s="54"/>
      <c r="Y350" s="54"/>
      <c r="AB350" s="54"/>
      <c r="AC350" s="54"/>
      <c r="AD350" s="54"/>
      <c r="AG350" s="54"/>
      <c r="AH350" s="54"/>
      <c r="AI350" s="54"/>
    </row>
    <row r="351" spans="18:35" x14ac:dyDescent="0.2">
      <c r="R351" s="54"/>
      <c r="S351" s="54"/>
      <c r="T351" s="54"/>
      <c r="W351" s="54"/>
      <c r="X351" s="54"/>
      <c r="Y351" s="54"/>
      <c r="AB351" s="54"/>
      <c r="AC351" s="54"/>
      <c r="AD351" s="54"/>
      <c r="AG351" s="54"/>
      <c r="AH351" s="54"/>
      <c r="AI351" s="54"/>
    </row>
    <row r="352" spans="18:35" x14ac:dyDescent="0.2">
      <c r="R352" s="54"/>
      <c r="S352" s="54"/>
      <c r="T352" s="54"/>
      <c r="W352" s="54"/>
      <c r="X352" s="54"/>
      <c r="Y352" s="54"/>
      <c r="AB352" s="54"/>
      <c r="AC352" s="54"/>
      <c r="AD352" s="54"/>
      <c r="AG352" s="54"/>
      <c r="AH352" s="54"/>
      <c r="AI352" s="54"/>
    </row>
    <row r="353" spans="18:35" x14ac:dyDescent="0.2">
      <c r="R353" s="54"/>
      <c r="S353" s="54"/>
      <c r="T353" s="54"/>
      <c r="W353" s="54"/>
      <c r="X353" s="54"/>
      <c r="Y353" s="54"/>
      <c r="AB353" s="54"/>
      <c r="AC353" s="54"/>
      <c r="AD353" s="54"/>
      <c r="AG353" s="54"/>
      <c r="AH353" s="54"/>
      <c r="AI353" s="54"/>
    </row>
    <row r="354" spans="18:35" x14ac:dyDescent="0.2">
      <c r="R354" s="54"/>
      <c r="S354" s="54"/>
      <c r="T354" s="54"/>
      <c r="W354" s="54"/>
      <c r="X354" s="54"/>
      <c r="Y354" s="54"/>
      <c r="AB354" s="54"/>
      <c r="AC354" s="54"/>
      <c r="AD354" s="54"/>
      <c r="AG354" s="54"/>
      <c r="AH354" s="54"/>
      <c r="AI354" s="54"/>
    </row>
    <row r="355" spans="18:35" x14ac:dyDescent="0.2">
      <c r="R355" s="54"/>
      <c r="S355" s="54"/>
      <c r="T355" s="54"/>
      <c r="W355" s="54"/>
      <c r="X355" s="54"/>
      <c r="Y355" s="54"/>
      <c r="AB355" s="54"/>
      <c r="AC355" s="54"/>
      <c r="AD355" s="54"/>
      <c r="AG355" s="54"/>
      <c r="AH355" s="54"/>
      <c r="AI355" s="54"/>
    </row>
    <row r="356" spans="18:35" x14ac:dyDescent="0.2">
      <c r="R356" s="54"/>
      <c r="S356" s="54"/>
      <c r="T356" s="54"/>
      <c r="W356" s="54"/>
      <c r="X356" s="54"/>
      <c r="Y356" s="54"/>
      <c r="AB356" s="54"/>
      <c r="AC356" s="54"/>
      <c r="AD356" s="54"/>
      <c r="AG356" s="54"/>
      <c r="AH356" s="54"/>
      <c r="AI356" s="54"/>
    </row>
    <row r="357" spans="18:35" x14ac:dyDescent="0.2">
      <c r="R357" s="54"/>
      <c r="S357" s="54"/>
      <c r="T357" s="54"/>
      <c r="W357" s="54"/>
      <c r="X357" s="54"/>
      <c r="Y357" s="54"/>
      <c r="AB357" s="54"/>
      <c r="AC357" s="54"/>
      <c r="AD357" s="54"/>
      <c r="AG357" s="54"/>
      <c r="AH357" s="54"/>
      <c r="AI357" s="54"/>
    </row>
    <row r="358" spans="18:35" x14ac:dyDescent="0.2">
      <c r="R358" s="54"/>
      <c r="S358" s="54"/>
      <c r="T358" s="54"/>
      <c r="W358" s="54"/>
      <c r="X358" s="54"/>
      <c r="Y358" s="54"/>
      <c r="AB358" s="54"/>
      <c r="AC358" s="54"/>
      <c r="AD358" s="54"/>
      <c r="AG358" s="54"/>
      <c r="AH358" s="54"/>
      <c r="AI358" s="54"/>
    </row>
    <row r="359" spans="18:35" x14ac:dyDescent="0.2">
      <c r="R359" s="54"/>
      <c r="S359" s="54"/>
      <c r="T359" s="54"/>
      <c r="W359" s="54"/>
      <c r="X359" s="54"/>
      <c r="Y359" s="54"/>
      <c r="AB359" s="54"/>
      <c r="AC359" s="54"/>
      <c r="AD359" s="54"/>
      <c r="AG359" s="54"/>
      <c r="AH359" s="54"/>
      <c r="AI359" s="54"/>
    </row>
    <row r="360" spans="18:35" x14ac:dyDescent="0.2">
      <c r="R360" s="54"/>
      <c r="S360" s="54"/>
      <c r="T360" s="54"/>
      <c r="W360" s="54"/>
      <c r="X360" s="54"/>
      <c r="Y360" s="54"/>
      <c r="AB360" s="54"/>
      <c r="AC360" s="54"/>
      <c r="AD360" s="54"/>
      <c r="AG360" s="54"/>
      <c r="AH360" s="54"/>
      <c r="AI360" s="54"/>
    </row>
    <row r="361" spans="18:35" x14ac:dyDescent="0.2">
      <c r="R361" s="54"/>
      <c r="S361" s="54"/>
      <c r="T361" s="54"/>
      <c r="W361" s="54"/>
      <c r="X361" s="54"/>
      <c r="Y361" s="54"/>
      <c r="AB361" s="54"/>
      <c r="AC361" s="54"/>
      <c r="AD361" s="54"/>
      <c r="AG361" s="54"/>
      <c r="AH361" s="54"/>
      <c r="AI361" s="54"/>
    </row>
    <row r="362" spans="18:35" x14ac:dyDescent="0.2">
      <c r="R362" s="54"/>
      <c r="S362" s="54"/>
      <c r="T362" s="54"/>
      <c r="W362" s="54"/>
      <c r="X362" s="54"/>
      <c r="Y362" s="54"/>
      <c r="AB362" s="54"/>
      <c r="AC362" s="54"/>
      <c r="AD362" s="54"/>
      <c r="AG362" s="54"/>
      <c r="AH362" s="54"/>
      <c r="AI362" s="54"/>
    </row>
    <row r="363" spans="18:35" x14ac:dyDescent="0.2">
      <c r="R363" s="54"/>
      <c r="S363" s="54"/>
      <c r="T363" s="54"/>
      <c r="W363" s="54"/>
      <c r="X363" s="54"/>
      <c r="Y363" s="54"/>
      <c r="AB363" s="54"/>
      <c r="AC363" s="54"/>
      <c r="AD363" s="54"/>
      <c r="AG363" s="54"/>
      <c r="AH363" s="54"/>
      <c r="AI363" s="54"/>
    </row>
    <row r="364" spans="18:35" x14ac:dyDescent="0.2">
      <c r="R364" s="54"/>
      <c r="S364" s="54"/>
      <c r="T364" s="54"/>
      <c r="W364" s="54"/>
      <c r="X364" s="54"/>
      <c r="Y364" s="54"/>
      <c r="AB364" s="54"/>
      <c r="AC364" s="54"/>
      <c r="AD364" s="54"/>
      <c r="AG364" s="54"/>
      <c r="AH364" s="54"/>
      <c r="AI364" s="54"/>
    </row>
    <row r="365" spans="18:35" x14ac:dyDescent="0.2">
      <c r="R365" s="54"/>
      <c r="S365" s="54"/>
      <c r="T365" s="54"/>
      <c r="W365" s="54"/>
      <c r="X365" s="54"/>
      <c r="Y365" s="54"/>
      <c r="AB365" s="54"/>
      <c r="AC365" s="54"/>
      <c r="AD365" s="54"/>
      <c r="AG365" s="54"/>
      <c r="AH365" s="54"/>
      <c r="AI365" s="54"/>
    </row>
    <row r="366" spans="18:35" x14ac:dyDescent="0.2">
      <c r="R366" s="54"/>
      <c r="S366" s="54"/>
      <c r="T366" s="54"/>
      <c r="W366" s="54"/>
      <c r="X366" s="54"/>
      <c r="Y366" s="54"/>
      <c r="AB366" s="54"/>
      <c r="AC366" s="54"/>
      <c r="AD366" s="54"/>
      <c r="AG366" s="54"/>
      <c r="AH366" s="54"/>
      <c r="AI366" s="54"/>
    </row>
    <row r="367" spans="18:35" x14ac:dyDescent="0.2">
      <c r="R367" s="54"/>
      <c r="S367" s="54"/>
      <c r="T367" s="54"/>
      <c r="W367" s="54"/>
      <c r="X367" s="54"/>
      <c r="Y367" s="54"/>
      <c r="AB367" s="54"/>
      <c r="AC367" s="54"/>
      <c r="AD367" s="54"/>
      <c r="AG367" s="54"/>
      <c r="AH367" s="54"/>
      <c r="AI367" s="54"/>
    </row>
    <row r="368" spans="18:35" x14ac:dyDescent="0.2">
      <c r="R368" s="54"/>
      <c r="S368" s="54"/>
      <c r="T368" s="54"/>
      <c r="W368" s="54"/>
      <c r="X368" s="54"/>
      <c r="Y368" s="54"/>
      <c r="AB368" s="54"/>
      <c r="AC368" s="54"/>
      <c r="AD368" s="54"/>
      <c r="AG368" s="54"/>
      <c r="AH368" s="54"/>
      <c r="AI368" s="54"/>
    </row>
    <row r="369" spans="18:35" x14ac:dyDescent="0.2">
      <c r="R369" s="54"/>
      <c r="S369" s="54"/>
      <c r="T369" s="54"/>
      <c r="W369" s="54"/>
      <c r="X369" s="54"/>
      <c r="Y369" s="54"/>
      <c r="AB369" s="54"/>
      <c r="AC369" s="54"/>
      <c r="AD369" s="54"/>
      <c r="AG369" s="54"/>
      <c r="AH369" s="54"/>
      <c r="AI369" s="54"/>
    </row>
    <row r="370" spans="18:35" x14ac:dyDescent="0.2">
      <c r="R370" s="54"/>
      <c r="S370" s="54"/>
      <c r="T370" s="54"/>
      <c r="W370" s="54"/>
      <c r="X370" s="54"/>
      <c r="Y370" s="54"/>
      <c r="AB370" s="54"/>
      <c r="AC370" s="54"/>
      <c r="AD370" s="54"/>
      <c r="AG370" s="54"/>
      <c r="AH370" s="54"/>
      <c r="AI370" s="54"/>
    </row>
    <row r="371" spans="18:35" x14ac:dyDescent="0.2">
      <c r="R371" s="54"/>
      <c r="S371" s="54"/>
      <c r="T371" s="54"/>
      <c r="W371" s="54"/>
      <c r="X371" s="54"/>
      <c r="Y371" s="54"/>
      <c r="AB371" s="54"/>
      <c r="AC371" s="54"/>
      <c r="AD371" s="54"/>
      <c r="AG371" s="54"/>
      <c r="AH371" s="54"/>
      <c r="AI371" s="54"/>
    </row>
    <row r="372" spans="18:35" x14ac:dyDescent="0.2">
      <c r="R372" s="54"/>
      <c r="S372" s="54"/>
      <c r="T372" s="54"/>
      <c r="W372" s="54"/>
      <c r="X372" s="54"/>
      <c r="Y372" s="54"/>
      <c r="AB372" s="54"/>
      <c r="AC372" s="54"/>
      <c r="AD372" s="54"/>
      <c r="AG372" s="54"/>
      <c r="AH372" s="54"/>
      <c r="AI372" s="54"/>
    </row>
    <row r="373" spans="18:35" x14ac:dyDescent="0.2">
      <c r="R373" s="54"/>
      <c r="S373" s="54"/>
      <c r="T373" s="54"/>
      <c r="W373" s="54"/>
      <c r="X373" s="54"/>
      <c r="Y373" s="54"/>
      <c r="AB373" s="54"/>
      <c r="AC373" s="54"/>
      <c r="AD373" s="54"/>
      <c r="AG373" s="54"/>
      <c r="AH373" s="54"/>
      <c r="AI373" s="54"/>
    </row>
    <row r="374" spans="18:35" x14ac:dyDescent="0.2">
      <c r="R374" s="54"/>
      <c r="S374" s="54"/>
      <c r="T374" s="54"/>
      <c r="W374" s="54"/>
      <c r="X374" s="54"/>
      <c r="Y374" s="54"/>
      <c r="AB374" s="54"/>
      <c r="AC374" s="54"/>
      <c r="AD374" s="54"/>
      <c r="AG374" s="54"/>
      <c r="AH374" s="54"/>
      <c r="AI374" s="54"/>
    </row>
    <row r="375" spans="18:35" x14ac:dyDescent="0.2">
      <c r="R375" s="54"/>
      <c r="S375" s="54"/>
      <c r="T375" s="54"/>
      <c r="W375" s="54"/>
      <c r="X375" s="54"/>
      <c r="Y375" s="54"/>
      <c r="AB375" s="54"/>
      <c r="AC375" s="54"/>
      <c r="AD375" s="54"/>
      <c r="AG375" s="54"/>
      <c r="AH375" s="54"/>
      <c r="AI375" s="54"/>
    </row>
    <row r="376" spans="18:35" x14ac:dyDescent="0.2">
      <c r="R376" s="54"/>
      <c r="S376" s="54"/>
      <c r="T376" s="54"/>
      <c r="W376" s="54"/>
      <c r="X376" s="54"/>
      <c r="Y376" s="54"/>
      <c r="AB376" s="54"/>
      <c r="AC376" s="54"/>
      <c r="AD376" s="54"/>
      <c r="AG376" s="54"/>
      <c r="AH376" s="54"/>
      <c r="AI376" s="54"/>
    </row>
    <row r="377" spans="18:35" x14ac:dyDescent="0.2">
      <c r="R377" s="54"/>
      <c r="S377" s="54"/>
      <c r="T377" s="54"/>
      <c r="W377" s="54"/>
      <c r="X377" s="54"/>
      <c r="Y377" s="54"/>
      <c r="AB377" s="54"/>
      <c r="AC377" s="54"/>
      <c r="AD377" s="54"/>
      <c r="AG377" s="54"/>
      <c r="AH377" s="54"/>
      <c r="AI377" s="54"/>
    </row>
    <row r="378" spans="18:35" x14ac:dyDescent="0.2">
      <c r="R378" s="54"/>
      <c r="S378" s="54"/>
      <c r="T378" s="54"/>
      <c r="W378" s="54"/>
      <c r="X378" s="54"/>
      <c r="Y378" s="54"/>
      <c r="AB378" s="54"/>
      <c r="AC378" s="54"/>
      <c r="AD378" s="54"/>
      <c r="AG378" s="54"/>
      <c r="AH378" s="54"/>
      <c r="AI378" s="54"/>
    </row>
    <row r="379" spans="18:35" x14ac:dyDescent="0.2">
      <c r="R379" s="54"/>
      <c r="S379" s="54"/>
      <c r="T379" s="54"/>
      <c r="W379" s="54"/>
      <c r="X379" s="54"/>
      <c r="Y379" s="54"/>
      <c r="AB379" s="54"/>
      <c r="AC379" s="54"/>
      <c r="AD379" s="54"/>
      <c r="AG379" s="54"/>
      <c r="AH379" s="54"/>
      <c r="AI379" s="54"/>
    </row>
    <row r="380" spans="18:35" x14ac:dyDescent="0.2">
      <c r="R380" s="54"/>
      <c r="S380" s="54"/>
      <c r="T380" s="54"/>
      <c r="W380" s="54"/>
      <c r="X380" s="54"/>
      <c r="Y380" s="54"/>
      <c r="AB380" s="54"/>
      <c r="AC380" s="54"/>
      <c r="AD380" s="54"/>
      <c r="AG380" s="54"/>
      <c r="AH380" s="54"/>
      <c r="AI380" s="54"/>
    </row>
    <row r="381" spans="18:35" x14ac:dyDescent="0.2">
      <c r="R381" s="54"/>
      <c r="S381" s="54"/>
      <c r="T381" s="54"/>
      <c r="W381" s="54"/>
      <c r="X381" s="54"/>
      <c r="Y381" s="54"/>
      <c r="AB381" s="54"/>
      <c r="AC381" s="54"/>
      <c r="AD381" s="54"/>
      <c r="AG381" s="54"/>
      <c r="AH381" s="54"/>
      <c r="AI381" s="54"/>
    </row>
    <row r="382" spans="18:35" x14ac:dyDescent="0.2">
      <c r="R382" s="54"/>
      <c r="S382" s="54"/>
      <c r="T382" s="54"/>
      <c r="W382" s="54"/>
      <c r="X382" s="54"/>
      <c r="Y382" s="54"/>
      <c r="AB382" s="54"/>
      <c r="AC382" s="54"/>
      <c r="AD382" s="54"/>
      <c r="AG382" s="54"/>
      <c r="AH382" s="54"/>
      <c r="AI382" s="54"/>
    </row>
    <row r="383" spans="18:35" x14ac:dyDescent="0.2">
      <c r="R383" s="54"/>
      <c r="S383" s="54"/>
      <c r="T383" s="54"/>
      <c r="W383" s="54"/>
      <c r="X383" s="54"/>
      <c r="Y383" s="54"/>
      <c r="AB383" s="54"/>
      <c r="AC383" s="54"/>
      <c r="AD383" s="54"/>
      <c r="AG383" s="54"/>
      <c r="AH383" s="54"/>
      <c r="AI383" s="54"/>
    </row>
    <row r="384" spans="18:35" x14ac:dyDescent="0.2">
      <c r="R384" s="54"/>
      <c r="S384" s="54"/>
      <c r="T384" s="54"/>
      <c r="W384" s="54"/>
      <c r="X384" s="54"/>
      <c r="Y384" s="54"/>
      <c r="AB384" s="54"/>
      <c r="AC384" s="54"/>
      <c r="AD384" s="54"/>
      <c r="AG384" s="54"/>
      <c r="AH384" s="54"/>
      <c r="AI384" s="54"/>
    </row>
    <row r="385" spans="18:35" x14ac:dyDescent="0.2">
      <c r="R385" s="54"/>
      <c r="S385" s="54"/>
      <c r="T385" s="54"/>
      <c r="W385" s="54"/>
      <c r="X385" s="54"/>
      <c r="Y385" s="54"/>
      <c r="AB385" s="54"/>
      <c r="AC385" s="54"/>
      <c r="AD385" s="54"/>
      <c r="AG385" s="54"/>
      <c r="AH385" s="54"/>
      <c r="AI385" s="54"/>
    </row>
    <row r="386" spans="18:35" x14ac:dyDescent="0.2">
      <c r="R386" s="54"/>
      <c r="S386" s="54"/>
      <c r="T386" s="54"/>
      <c r="W386" s="54"/>
      <c r="X386" s="54"/>
      <c r="Y386" s="54"/>
      <c r="AB386" s="54"/>
      <c r="AC386" s="54"/>
      <c r="AD386" s="54"/>
      <c r="AG386" s="54"/>
      <c r="AH386" s="54"/>
      <c r="AI386" s="54"/>
    </row>
    <row r="387" spans="18:35" x14ac:dyDescent="0.2">
      <c r="R387" s="54"/>
      <c r="S387" s="54"/>
      <c r="T387" s="54"/>
      <c r="W387" s="54"/>
      <c r="X387" s="54"/>
      <c r="Y387" s="54"/>
      <c r="AB387" s="54"/>
      <c r="AC387" s="54"/>
      <c r="AD387" s="54"/>
      <c r="AG387" s="54"/>
      <c r="AH387" s="54"/>
      <c r="AI387" s="54"/>
    </row>
    <row r="388" spans="18:35" x14ac:dyDescent="0.2">
      <c r="R388" s="54"/>
      <c r="S388" s="54"/>
      <c r="T388" s="54"/>
      <c r="W388" s="54"/>
      <c r="X388" s="54"/>
      <c r="Y388" s="54"/>
      <c r="AB388" s="54"/>
      <c r="AC388" s="54"/>
      <c r="AD388" s="54"/>
      <c r="AG388" s="54"/>
      <c r="AH388" s="54"/>
      <c r="AI388" s="54"/>
    </row>
    <row r="389" spans="18:35" x14ac:dyDescent="0.2">
      <c r="R389" s="54"/>
      <c r="S389" s="54"/>
      <c r="T389" s="54"/>
      <c r="W389" s="54"/>
      <c r="X389" s="54"/>
      <c r="Y389" s="54"/>
      <c r="AB389" s="54"/>
      <c r="AC389" s="54"/>
      <c r="AD389" s="54"/>
      <c r="AG389" s="54"/>
      <c r="AH389" s="54"/>
      <c r="AI389" s="54"/>
    </row>
    <row r="390" spans="18:35" x14ac:dyDescent="0.2">
      <c r="R390" s="54"/>
      <c r="S390" s="54"/>
      <c r="T390" s="54"/>
      <c r="W390" s="54"/>
      <c r="X390" s="54"/>
      <c r="Y390" s="54"/>
      <c r="AB390" s="54"/>
      <c r="AC390" s="54"/>
      <c r="AD390" s="54"/>
      <c r="AG390" s="54"/>
      <c r="AH390" s="54"/>
      <c r="AI390" s="54"/>
    </row>
    <row r="391" spans="18:35" x14ac:dyDescent="0.2">
      <c r="R391" s="54"/>
      <c r="S391" s="54"/>
      <c r="T391" s="54"/>
      <c r="W391" s="54"/>
      <c r="X391" s="54"/>
      <c r="Y391" s="54"/>
      <c r="AB391" s="54"/>
      <c r="AC391" s="54"/>
      <c r="AD391" s="54"/>
      <c r="AG391" s="54"/>
      <c r="AH391" s="54"/>
      <c r="AI391" s="54"/>
    </row>
    <row r="392" spans="18:35" x14ac:dyDescent="0.2">
      <c r="R392" s="54"/>
      <c r="S392" s="54"/>
      <c r="T392" s="54"/>
      <c r="W392" s="54"/>
      <c r="X392" s="54"/>
      <c r="Y392" s="54"/>
      <c r="AB392" s="54"/>
      <c r="AC392" s="54"/>
      <c r="AD392" s="54"/>
      <c r="AG392" s="54"/>
      <c r="AH392" s="54"/>
      <c r="AI392" s="54"/>
    </row>
    <row r="393" spans="18:35" x14ac:dyDescent="0.2">
      <c r="R393" s="54"/>
      <c r="S393" s="54"/>
      <c r="T393" s="54"/>
      <c r="W393" s="54"/>
      <c r="X393" s="54"/>
      <c r="Y393" s="54"/>
      <c r="AB393" s="54"/>
      <c r="AC393" s="54"/>
      <c r="AD393" s="54"/>
      <c r="AG393" s="54"/>
      <c r="AH393" s="54"/>
      <c r="AI393" s="54"/>
    </row>
    <row r="394" spans="18:35" x14ac:dyDescent="0.2">
      <c r="R394" s="54"/>
      <c r="S394" s="54"/>
      <c r="T394" s="54"/>
      <c r="W394" s="54"/>
      <c r="X394" s="54"/>
      <c r="Y394" s="54"/>
      <c r="AB394" s="54"/>
      <c r="AC394" s="54"/>
      <c r="AD394" s="54"/>
      <c r="AG394" s="54"/>
      <c r="AH394" s="54"/>
      <c r="AI394" s="54"/>
    </row>
    <row r="395" spans="18:35" x14ac:dyDescent="0.2">
      <c r="R395" s="54"/>
      <c r="S395" s="54"/>
      <c r="T395" s="54"/>
      <c r="W395" s="54"/>
      <c r="X395" s="54"/>
      <c r="Y395" s="54"/>
      <c r="AB395" s="54"/>
      <c r="AC395" s="54"/>
      <c r="AD395" s="54"/>
      <c r="AG395" s="54"/>
      <c r="AH395" s="54"/>
      <c r="AI395" s="54"/>
    </row>
    <row r="396" spans="18:35" x14ac:dyDescent="0.2">
      <c r="R396" s="54"/>
      <c r="S396" s="54"/>
      <c r="T396" s="54"/>
      <c r="W396" s="54"/>
      <c r="X396" s="54"/>
      <c r="Y396" s="54"/>
      <c r="AB396" s="54"/>
      <c r="AC396" s="54"/>
      <c r="AD396" s="54"/>
      <c r="AG396" s="54"/>
      <c r="AH396" s="54"/>
      <c r="AI396" s="54"/>
    </row>
    <row r="397" spans="18:35" x14ac:dyDescent="0.2">
      <c r="R397" s="54"/>
      <c r="S397" s="54"/>
      <c r="T397" s="54"/>
      <c r="W397" s="54"/>
      <c r="X397" s="54"/>
      <c r="Y397" s="54"/>
      <c r="AB397" s="54"/>
      <c r="AC397" s="54"/>
      <c r="AD397" s="54"/>
      <c r="AG397" s="54"/>
      <c r="AH397" s="54"/>
      <c r="AI397" s="54"/>
    </row>
    <row r="398" spans="18:35" x14ac:dyDescent="0.2">
      <c r="R398" s="54"/>
      <c r="S398" s="54"/>
      <c r="T398" s="54"/>
      <c r="W398" s="54"/>
      <c r="X398" s="54"/>
      <c r="Y398" s="54"/>
      <c r="AB398" s="54"/>
      <c r="AC398" s="54"/>
      <c r="AD398" s="54"/>
      <c r="AG398" s="54"/>
      <c r="AH398" s="54"/>
      <c r="AI398" s="54"/>
    </row>
    <row r="399" spans="18:35" x14ac:dyDescent="0.2">
      <c r="R399" s="54"/>
      <c r="S399" s="54"/>
      <c r="T399" s="54"/>
      <c r="W399" s="54"/>
      <c r="X399" s="54"/>
      <c r="Y399" s="54"/>
      <c r="AB399" s="54"/>
      <c r="AC399" s="54"/>
      <c r="AD399" s="54"/>
      <c r="AG399" s="54"/>
      <c r="AH399" s="54"/>
      <c r="AI399" s="54"/>
    </row>
    <row r="400" spans="18:35" x14ac:dyDescent="0.2">
      <c r="R400" s="54"/>
      <c r="S400" s="54"/>
      <c r="T400" s="54"/>
      <c r="W400" s="54"/>
      <c r="X400" s="54"/>
      <c r="Y400" s="54"/>
      <c r="AB400" s="54"/>
      <c r="AC400" s="54"/>
      <c r="AD400" s="54"/>
      <c r="AG400" s="54"/>
      <c r="AH400" s="54"/>
      <c r="AI400" s="54"/>
    </row>
    <row r="401" spans="18:35" x14ac:dyDescent="0.2">
      <c r="R401" s="54"/>
      <c r="S401" s="54"/>
      <c r="T401" s="54"/>
      <c r="W401" s="54"/>
      <c r="X401" s="54"/>
      <c r="Y401" s="54"/>
      <c r="AB401" s="54"/>
      <c r="AC401" s="54"/>
      <c r="AD401" s="54"/>
      <c r="AG401" s="54"/>
      <c r="AH401" s="54"/>
      <c r="AI401" s="54"/>
    </row>
    <row r="402" spans="18:35" x14ac:dyDescent="0.2">
      <c r="R402" s="54"/>
      <c r="S402" s="54"/>
      <c r="T402" s="54"/>
      <c r="W402" s="54"/>
      <c r="X402" s="54"/>
      <c r="Y402" s="54"/>
      <c r="AB402" s="54"/>
      <c r="AC402" s="54"/>
      <c r="AD402" s="54"/>
      <c r="AG402" s="54"/>
      <c r="AH402" s="54"/>
      <c r="AI402" s="54"/>
    </row>
    <row r="403" spans="18:35" x14ac:dyDescent="0.2">
      <c r="R403" s="54"/>
      <c r="S403" s="54"/>
      <c r="T403" s="54"/>
      <c r="W403" s="54"/>
      <c r="X403" s="54"/>
      <c r="Y403" s="54"/>
      <c r="AB403" s="54"/>
      <c r="AC403" s="54"/>
      <c r="AD403" s="54"/>
      <c r="AG403" s="54"/>
      <c r="AH403" s="54"/>
      <c r="AI403" s="54"/>
    </row>
    <row r="404" spans="18:35" x14ac:dyDescent="0.2">
      <c r="R404" s="54"/>
      <c r="S404" s="54"/>
      <c r="T404" s="54"/>
      <c r="W404" s="54"/>
      <c r="X404" s="54"/>
      <c r="Y404" s="54"/>
      <c r="AB404" s="54"/>
      <c r="AC404" s="54"/>
      <c r="AD404" s="54"/>
      <c r="AG404" s="54"/>
      <c r="AH404" s="54"/>
      <c r="AI404" s="54"/>
    </row>
    <row r="405" spans="18:35" x14ac:dyDescent="0.2">
      <c r="R405" s="54"/>
      <c r="S405" s="54"/>
      <c r="T405" s="54"/>
      <c r="W405" s="54"/>
      <c r="X405" s="54"/>
      <c r="Y405" s="54"/>
      <c r="AB405" s="54"/>
      <c r="AC405" s="54"/>
      <c r="AD405" s="54"/>
      <c r="AG405" s="54"/>
      <c r="AH405" s="54"/>
      <c r="AI405" s="54"/>
    </row>
    <row r="406" spans="18:35" x14ac:dyDescent="0.2">
      <c r="R406" s="54"/>
      <c r="S406" s="54"/>
      <c r="T406" s="54"/>
      <c r="W406" s="54"/>
      <c r="X406" s="54"/>
      <c r="Y406" s="54"/>
      <c r="AB406" s="54"/>
      <c r="AC406" s="54"/>
      <c r="AD406" s="54"/>
      <c r="AG406" s="54"/>
      <c r="AH406" s="54"/>
      <c r="AI406" s="54"/>
    </row>
    <row r="407" spans="18:35" x14ac:dyDescent="0.2">
      <c r="R407" s="54"/>
      <c r="S407" s="54"/>
      <c r="T407" s="54"/>
      <c r="W407" s="54"/>
      <c r="X407" s="54"/>
      <c r="Y407" s="54"/>
      <c r="AB407" s="54"/>
      <c r="AC407" s="54"/>
      <c r="AD407" s="54"/>
      <c r="AG407" s="54"/>
      <c r="AH407" s="54"/>
      <c r="AI407" s="54"/>
    </row>
    <row r="408" spans="18:35" x14ac:dyDescent="0.2">
      <c r="R408" s="54"/>
      <c r="S408" s="54"/>
      <c r="T408" s="54"/>
      <c r="W408" s="54"/>
      <c r="X408" s="54"/>
      <c r="Y408" s="54"/>
      <c r="AB408" s="54"/>
      <c r="AC408" s="54"/>
      <c r="AD408" s="54"/>
      <c r="AG408" s="54"/>
      <c r="AH408" s="54"/>
      <c r="AI408" s="54"/>
    </row>
    <row r="409" spans="18:35" x14ac:dyDescent="0.2">
      <c r="R409" s="54"/>
      <c r="S409" s="54"/>
      <c r="T409" s="54"/>
      <c r="W409" s="54"/>
      <c r="X409" s="54"/>
      <c r="Y409" s="54"/>
      <c r="AB409" s="54"/>
      <c r="AC409" s="54"/>
      <c r="AD409" s="54"/>
      <c r="AG409" s="54"/>
      <c r="AH409" s="54"/>
      <c r="AI409" s="54"/>
    </row>
    <row r="410" spans="18:35" x14ac:dyDescent="0.2">
      <c r="R410" s="54"/>
      <c r="S410" s="54"/>
      <c r="T410" s="54"/>
      <c r="W410" s="54"/>
      <c r="X410" s="54"/>
      <c r="Y410" s="54"/>
      <c r="AB410" s="54"/>
      <c r="AC410" s="54"/>
      <c r="AD410" s="54"/>
      <c r="AG410" s="54"/>
      <c r="AH410" s="54"/>
      <c r="AI410" s="54"/>
    </row>
    <row r="411" spans="18:35" x14ac:dyDescent="0.2">
      <c r="R411" s="54"/>
      <c r="S411" s="54"/>
      <c r="T411" s="54"/>
      <c r="W411" s="54"/>
      <c r="X411" s="54"/>
      <c r="Y411" s="54"/>
      <c r="AB411" s="54"/>
      <c r="AC411" s="54"/>
      <c r="AD411" s="54"/>
      <c r="AG411" s="54"/>
      <c r="AH411" s="54"/>
      <c r="AI411" s="54"/>
    </row>
    <row r="412" spans="18:35" x14ac:dyDescent="0.2">
      <c r="R412" s="54"/>
      <c r="S412" s="54"/>
      <c r="T412" s="54"/>
      <c r="W412" s="54"/>
      <c r="X412" s="54"/>
      <c r="Y412" s="54"/>
      <c r="AB412" s="54"/>
      <c r="AC412" s="54"/>
      <c r="AD412" s="54"/>
      <c r="AG412" s="54"/>
      <c r="AH412" s="54"/>
      <c r="AI412" s="54"/>
    </row>
    <row r="413" spans="18:35" x14ac:dyDescent="0.2">
      <c r="R413" s="54"/>
      <c r="S413" s="54"/>
      <c r="T413" s="54"/>
      <c r="W413" s="54"/>
      <c r="X413" s="54"/>
      <c r="Y413" s="54"/>
      <c r="AB413" s="54"/>
      <c r="AC413" s="54"/>
      <c r="AD413" s="54"/>
      <c r="AG413" s="54"/>
      <c r="AH413" s="54"/>
      <c r="AI413" s="54"/>
    </row>
    <row r="414" spans="18:35" x14ac:dyDescent="0.2">
      <c r="R414" s="54"/>
      <c r="S414" s="54"/>
      <c r="T414" s="54"/>
      <c r="W414" s="54"/>
      <c r="X414" s="54"/>
      <c r="Y414" s="54"/>
      <c r="AB414" s="54"/>
      <c r="AC414" s="54"/>
      <c r="AD414" s="54"/>
      <c r="AG414" s="54"/>
      <c r="AH414" s="54"/>
      <c r="AI414" s="54"/>
    </row>
    <row r="415" spans="18:35" x14ac:dyDescent="0.2">
      <c r="R415" s="54"/>
      <c r="S415" s="54"/>
      <c r="T415" s="54"/>
      <c r="W415" s="54"/>
      <c r="X415" s="54"/>
      <c r="Y415" s="54"/>
      <c r="AB415" s="54"/>
      <c r="AC415" s="54"/>
      <c r="AD415" s="54"/>
      <c r="AG415" s="54"/>
      <c r="AH415" s="54"/>
      <c r="AI415" s="54"/>
    </row>
    <row r="416" spans="18:35" x14ac:dyDescent="0.2">
      <c r="R416" s="54"/>
      <c r="S416" s="54"/>
      <c r="T416" s="54"/>
      <c r="W416" s="54"/>
      <c r="X416" s="54"/>
      <c r="Y416" s="54"/>
      <c r="AB416" s="54"/>
      <c r="AC416" s="54"/>
      <c r="AD416" s="54"/>
      <c r="AG416" s="54"/>
      <c r="AH416" s="54"/>
      <c r="AI416" s="54"/>
    </row>
    <row r="417" spans="18:35" x14ac:dyDescent="0.2">
      <c r="R417" s="54"/>
      <c r="S417" s="54"/>
      <c r="T417" s="54"/>
      <c r="W417" s="54"/>
      <c r="X417" s="54"/>
      <c r="Y417" s="54"/>
      <c r="AB417" s="54"/>
      <c r="AC417" s="54"/>
      <c r="AD417" s="54"/>
      <c r="AG417" s="54"/>
      <c r="AH417" s="54"/>
      <c r="AI417" s="54"/>
    </row>
    <row r="418" spans="18:35" x14ac:dyDescent="0.2">
      <c r="R418" s="54"/>
      <c r="S418" s="54"/>
      <c r="T418" s="54"/>
      <c r="W418" s="54"/>
      <c r="X418" s="54"/>
      <c r="Y418" s="54"/>
      <c r="AB418" s="54"/>
      <c r="AC418" s="54"/>
      <c r="AD418" s="54"/>
      <c r="AG418" s="54"/>
      <c r="AH418" s="54"/>
      <c r="AI418" s="54"/>
    </row>
    <row r="419" spans="18:35" x14ac:dyDescent="0.2">
      <c r="R419" s="54"/>
      <c r="S419" s="54"/>
      <c r="T419" s="54"/>
      <c r="W419" s="54"/>
      <c r="X419" s="54"/>
      <c r="Y419" s="54"/>
      <c r="AB419" s="54"/>
      <c r="AC419" s="54"/>
      <c r="AD419" s="54"/>
      <c r="AG419" s="54"/>
      <c r="AH419" s="54"/>
      <c r="AI419" s="54"/>
    </row>
    <row r="420" spans="18:35" x14ac:dyDescent="0.2">
      <c r="R420" s="54"/>
      <c r="S420" s="54"/>
      <c r="T420" s="54"/>
      <c r="W420" s="54"/>
      <c r="X420" s="54"/>
      <c r="Y420" s="54"/>
      <c r="AB420" s="54"/>
      <c r="AC420" s="54"/>
      <c r="AD420" s="54"/>
      <c r="AG420" s="54"/>
      <c r="AH420" s="54"/>
      <c r="AI420" s="54"/>
    </row>
    <row r="421" spans="18:35" x14ac:dyDescent="0.2">
      <c r="R421" s="54"/>
      <c r="S421" s="54"/>
      <c r="T421" s="54"/>
      <c r="W421" s="54"/>
      <c r="X421" s="54"/>
      <c r="Y421" s="54"/>
      <c r="AB421" s="54"/>
      <c r="AC421" s="54"/>
      <c r="AD421" s="54"/>
      <c r="AG421" s="54"/>
      <c r="AH421" s="54"/>
      <c r="AI421" s="54"/>
    </row>
    <row r="422" spans="18:35" x14ac:dyDescent="0.2">
      <c r="R422" s="54"/>
      <c r="S422" s="54"/>
      <c r="T422" s="54"/>
      <c r="W422" s="54"/>
      <c r="X422" s="54"/>
      <c r="Y422" s="54"/>
      <c r="AB422" s="54"/>
      <c r="AC422" s="54"/>
      <c r="AD422" s="54"/>
      <c r="AG422" s="54"/>
      <c r="AH422" s="54"/>
      <c r="AI422" s="54"/>
    </row>
    <row r="423" spans="18:35" x14ac:dyDescent="0.2">
      <c r="R423" s="54"/>
      <c r="S423" s="54"/>
      <c r="T423" s="54"/>
      <c r="W423" s="54"/>
      <c r="X423" s="54"/>
      <c r="Y423" s="54"/>
      <c r="AB423" s="54"/>
      <c r="AC423" s="54"/>
      <c r="AD423" s="54"/>
      <c r="AG423" s="54"/>
      <c r="AH423" s="54"/>
      <c r="AI423" s="54"/>
    </row>
    <row r="424" spans="18:35" x14ac:dyDescent="0.2">
      <c r="R424" s="54"/>
      <c r="S424" s="54"/>
      <c r="T424" s="54"/>
      <c r="W424" s="54"/>
      <c r="X424" s="54"/>
      <c r="Y424" s="54"/>
      <c r="AB424" s="54"/>
      <c r="AC424" s="54"/>
      <c r="AD424" s="54"/>
      <c r="AG424" s="54"/>
      <c r="AH424" s="54"/>
      <c r="AI424" s="54"/>
    </row>
    <row r="425" spans="18:35" x14ac:dyDescent="0.2">
      <c r="R425" s="54"/>
      <c r="S425" s="54"/>
      <c r="T425" s="54"/>
      <c r="W425" s="54"/>
      <c r="X425" s="54"/>
      <c r="Y425" s="54"/>
      <c r="AB425" s="54"/>
      <c r="AC425" s="54"/>
      <c r="AD425" s="54"/>
      <c r="AG425" s="54"/>
      <c r="AH425" s="54"/>
      <c r="AI425" s="54"/>
    </row>
    <row r="426" spans="18:35" x14ac:dyDescent="0.2">
      <c r="R426" s="54"/>
      <c r="S426" s="54"/>
      <c r="T426" s="54"/>
      <c r="W426" s="54"/>
      <c r="X426" s="54"/>
      <c r="Y426" s="54"/>
      <c r="AB426" s="54"/>
      <c r="AC426" s="54"/>
      <c r="AD426" s="54"/>
      <c r="AG426" s="54"/>
      <c r="AH426" s="54"/>
      <c r="AI426" s="54"/>
    </row>
    <row r="427" spans="18:35" x14ac:dyDescent="0.2">
      <c r="R427" s="54"/>
      <c r="S427" s="54"/>
      <c r="T427" s="54"/>
      <c r="W427" s="54"/>
      <c r="X427" s="54"/>
      <c r="Y427" s="54"/>
      <c r="AB427" s="54"/>
      <c r="AC427" s="54"/>
      <c r="AD427" s="54"/>
      <c r="AG427" s="54"/>
      <c r="AH427" s="54"/>
      <c r="AI427" s="54"/>
    </row>
    <row r="428" spans="18:35" x14ac:dyDescent="0.2">
      <c r="R428" s="54"/>
      <c r="S428" s="54"/>
      <c r="T428" s="54"/>
      <c r="W428" s="54"/>
      <c r="X428" s="54"/>
      <c r="Y428" s="54"/>
      <c r="AB428" s="54"/>
      <c r="AC428" s="54"/>
      <c r="AD428" s="54"/>
      <c r="AG428" s="54"/>
      <c r="AH428" s="54"/>
      <c r="AI428" s="54"/>
    </row>
    <row r="429" spans="18:35" x14ac:dyDescent="0.2">
      <c r="R429" s="54"/>
      <c r="S429" s="54"/>
      <c r="T429" s="54"/>
      <c r="W429" s="54"/>
      <c r="X429" s="54"/>
      <c r="Y429" s="54"/>
      <c r="AB429" s="54"/>
      <c r="AC429" s="54"/>
      <c r="AD429" s="54"/>
      <c r="AG429" s="54"/>
      <c r="AH429" s="54"/>
      <c r="AI429" s="54"/>
    </row>
    <row r="430" spans="18:35" x14ac:dyDescent="0.2">
      <c r="R430" s="54"/>
      <c r="S430" s="54"/>
      <c r="T430" s="54"/>
      <c r="W430" s="54"/>
      <c r="X430" s="54"/>
      <c r="Y430" s="54"/>
      <c r="AB430" s="54"/>
      <c r="AC430" s="54"/>
      <c r="AD430" s="54"/>
      <c r="AG430" s="54"/>
      <c r="AH430" s="54"/>
      <c r="AI430" s="54"/>
    </row>
    <row r="431" spans="18:35" x14ac:dyDescent="0.2">
      <c r="R431" s="54"/>
      <c r="S431" s="54"/>
      <c r="T431" s="54"/>
      <c r="W431" s="54"/>
      <c r="X431" s="54"/>
      <c r="Y431" s="54"/>
      <c r="AB431" s="54"/>
      <c r="AC431" s="54"/>
      <c r="AD431" s="54"/>
      <c r="AG431" s="54"/>
      <c r="AH431" s="54"/>
      <c r="AI431" s="54"/>
    </row>
    <row r="432" spans="18:35" x14ac:dyDescent="0.2">
      <c r="R432" s="54"/>
      <c r="S432" s="54"/>
      <c r="T432" s="54"/>
      <c r="W432" s="54"/>
      <c r="X432" s="54"/>
      <c r="Y432" s="54"/>
      <c r="AB432" s="54"/>
      <c r="AC432" s="54"/>
      <c r="AD432" s="54"/>
      <c r="AG432" s="54"/>
      <c r="AH432" s="54"/>
      <c r="AI432" s="54"/>
    </row>
    <row r="433" spans="18:35" x14ac:dyDescent="0.2">
      <c r="R433" s="54"/>
      <c r="S433" s="54"/>
      <c r="T433" s="54"/>
      <c r="W433" s="54"/>
      <c r="X433" s="54"/>
      <c r="Y433" s="54"/>
      <c r="AB433" s="54"/>
      <c r="AC433" s="54"/>
      <c r="AD433" s="54"/>
      <c r="AG433" s="54"/>
      <c r="AH433" s="54"/>
      <c r="AI433" s="54"/>
    </row>
    <row r="434" spans="18:35" x14ac:dyDescent="0.2">
      <c r="R434" s="54"/>
      <c r="S434" s="54"/>
      <c r="T434" s="54"/>
      <c r="W434" s="54"/>
      <c r="X434" s="54"/>
      <c r="Y434" s="54"/>
      <c r="AB434" s="54"/>
      <c r="AC434" s="54"/>
      <c r="AD434" s="54"/>
      <c r="AG434" s="54"/>
      <c r="AH434" s="54"/>
      <c r="AI434" s="54"/>
    </row>
    <row r="435" spans="18:35" x14ac:dyDescent="0.2">
      <c r="R435" s="54"/>
      <c r="S435" s="54"/>
      <c r="T435" s="54"/>
      <c r="W435" s="54"/>
      <c r="X435" s="54"/>
      <c r="Y435" s="54"/>
      <c r="AB435" s="54"/>
      <c r="AC435" s="54"/>
      <c r="AD435" s="54"/>
      <c r="AG435" s="54"/>
      <c r="AH435" s="54"/>
      <c r="AI435" s="54"/>
    </row>
    <row r="436" spans="18:35" x14ac:dyDescent="0.2">
      <c r="R436" s="54"/>
      <c r="S436" s="54"/>
      <c r="T436" s="54"/>
      <c r="W436" s="54"/>
      <c r="X436" s="54"/>
      <c r="Y436" s="54"/>
      <c r="AB436" s="54"/>
      <c r="AC436" s="54"/>
      <c r="AD436" s="54"/>
      <c r="AG436" s="54"/>
      <c r="AH436" s="54"/>
      <c r="AI436" s="54"/>
    </row>
    <row r="437" spans="18:35" x14ac:dyDescent="0.2">
      <c r="R437" s="54"/>
      <c r="S437" s="54"/>
      <c r="T437" s="54"/>
      <c r="W437" s="54"/>
      <c r="X437" s="54"/>
      <c r="Y437" s="54"/>
      <c r="AB437" s="54"/>
      <c r="AC437" s="54"/>
      <c r="AD437" s="54"/>
      <c r="AG437" s="54"/>
      <c r="AH437" s="54"/>
      <c r="AI437" s="54"/>
    </row>
    <row r="438" spans="18:35" x14ac:dyDescent="0.2">
      <c r="R438" s="54"/>
      <c r="S438" s="54"/>
      <c r="T438" s="54"/>
      <c r="W438" s="54"/>
      <c r="X438" s="54"/>
      <c r="Y438" s="54"/>
      <c r="AB438" s="54"/>
      <c r="AC438" s="54"/>
      <c r="AD438" s="54"/>
      <c r="AG438" s="54"/>
      <c r="AH438" s="54"/>
      <c r="AI438" s="54"/>
    </row>
    <row r="439" spans="18:35" x14ac:dyDescent="0.2">
      <c r="R439" s="54"/>
      <c r="S439" s="54"/>
      <c r="T439" s="54"/>
      <c r="W439" s="54"/>
      <c r="X439" s="54"/>
      <c r="Y439" s="54"/>
      <c r="AB439" s="54"/>
      <c r="AC439" s="54"/>
      <c r="AD439" s="54"/>
      <c r="AG439" s="54"/>
      <c r="AH439" s="54"/>
      <c r="AI439" s="54"/>
    </row>
    <row r="440" spans="18:35" x14ac:dyDescent="0.2">
      <c r="R440" s="54"/>
      <c r="S440" s="54"/>
      <c r="T440" s="54"/>
      <c r="W440" s="54"/>
      <c r="X440" s="54"/>
      <c r="Y440" s="54"/>
      <c r="AB440" s="54"/>
      <c r="AC440" s="54"/>
      <c r="AD440" s="54"/>
      <c r="AG440" s="54"/>
      <c r="AH440" s="54"/>
      <c r="AI440" s="54"/>
    </row>
    <row r="441" spans="18:35" x14ac:dyDescent="0.2">
      <c r="R441" s="54"/>
      <c r="S441" s="54"/>
      <c r="T441" s="54"/>
      <c r="W441" s="54"/>
      <c r="X441" s="54"/>
      <c r="Y441" s="54"/>
      <c r="AB441" s="54"/>
      <c r="AC441" s="54"/>
      <c r="AD441" s="54"/>
      <c r="AG441" s="54"/>
      <c r="AH441" s="54"/>
      <c r="AI441" s="54"/>
    </row>
    <row r="442" spans="18:35" x14ac:dyDescent="0.2">
      <c r="R442" s="54"/>
      <c r="S442" s="54"/>
      <c r="T442" s="54"/>
      <c r="W442" s="54"/>
      <c r="X442" s="54"/>
      <c r="Y442" s="54"/>
      <c r="AB442" s="54"/>
      <c r="AC442" s="54"/>
      <c r="AD442" s="54"/>
      <c r="AG442" s="54"/>
      <c r="AH442" s="54"/>
      <c r="AI442" s="54"/>
    </row>
    <row r="443" spans="18:35" x14ac:dyDescent="0.2">
      <c r="R443" s="54"/>
      <c r="S443" s="54"/>
      <c r="T443" s="54"/>
      <c r="W443" s="54"/>
      <c r="X443" s="54"/>
      <c r="Y443" s="54"/>
      <c r="AB443" s="54"/>
      <c r="AC443" s="54"/>
      <c r="AD443" s="54"/>
      <c r="AG443" s="54"/>
      <c r="AH443" s="54"/>
      <c r="AI443" s="54"/>
    </row>
    <row r="444" spans="18:35" x14ac:dyDescent="0.2">
      <c r="R444" s="54"/>
      <c r="S444" s="54"/>
      <c r="T444" s="54"/>
      <c r="W444" s="54"/>
      <c r="X444" s="54"/>
      <c r="Y444" s="54"/>
      <c r="AB444" s="54"/>
      <c r="AC444" s="54"/>
      <c r="AD444" s="54"/>
      <c r="AG444" s="54"/>
      <c r="AH444" s="54"/>
      <c r="AI444" s="54"/>
    </row>
    <row r="445" spans="18:35" x14ac:dyDescent="0.2">
      <c r="R445" s="54"/>
      <c r="S445" s="54"/>
      <c r="T445" s="54"/>
      <c r="W445" s="54"/>
      <c r="X445" s="54"/>
      <c r="Y445" s="54"/>
      <c r="AB445" s="54"/>
      <c r="AC445" s="54"/>
      <c r="AD445" s="54"/>
      <c r="AG445" s="54"/>
      <c r="AH445" s="54"/>
      <c r="AI445" s="54"/>
    </row>
    <row r="446" spans="18:35" x14ac:dyDescent="0.2">
      <c r="R446" s="54"/>
      <c r="S446" s="54"/>
      <c r="T446" s="54"/>
      <c r="W446" s="54"/>
      <c r="X446" s="54"/>
      <c r="Y446" s="54"/>
      <c r="AB446" s="54"/>
      <c r="AC446" s="54"/>
      <c r="AD446" s="54"/>
      <c r="AG446" s="54"/>
      <c r="AH446" s="54"/>
      <c r="AI446" s="54"/>
    </row>
    <row r="447" spans="18:35" x14ac:dyDescent="0.2">
      <c r="R447" s="54"/>
      <c r="S447" s="54"/>
      <c r="T447" s="54"/>
      <c r="W447" s="54"/>
      <c r="X447" s="54"/>
      <c r="Y447" s="54"/>
      <c r="AB447" s="54"/>
      <c r="AC447" s="54"/>
      <c r="AD447" s="54"/>
      <c r="AG447" s="54"/>
      <c r="AH447" s="54"/>
      <c r="AI447" s="54"/>
    </row>
    <row r="448" spans="18:35" x14ac:dyDescent="0.2">
      <c r="R448" s="54"/>
      <c r="S448" s="54"/>
      <c r="T448" s="54"/>
      <c r="W448" s="54"/>
      <c r="X448" s="54"/>
      <c r="Y448" s="54"/>
      <c r="AB448" s="54"/>
      <c r="AC448" s="54"/>
      <c r="AD448" s="54"/>
      <c r="AG448" s="54"/>
      <c r="AH448" s="54"/>
      <c r="AI448" s="54"/>
    </row>
    <row r="449" spans="18:35" x14ac:dyDescent="0.2">
      <c r="R449" s="54"/>
      <c r="S449" s="54"/>
      <c r="T449" s="54"/>
      <c r="W449" s="54"/>
      <c r="X449" s="54"/>
      <c r="Y449" s="54"/>
      <c r="AB449" s="54"/>
      <c r="AC449" s="54"/>
      <c r="AD449" s="54"/>
      <c r="AG449" s="54"/>
      <c r="AH449" s="54"/>
      <c r="AI449" s="54"/>
    </row>
    <row r="450" spans="18:35" x14ac:dyDescent="0.2">
      <c r="R450" s="54"/>
      <c r="S450" s="54"/>
      <c r="T450" s="54"/>
      <c r="W450" s="54"/>
      <c r="X450" s="54"/>
      <c r="Y450" s="54"/>
      <c r="AB450" s="54"/>
      <c r="AC450" s="54"/>
      <c r="AD450" s="54"/>
      <c r="AG450" s="54"/>
      <c r="AH450" s="54"/>
      <c r="AI450" s="54"/>
    </row>
    <row r="451" spans="18:35" x14ac:dyDescent="0.2">
      <c r="R451" s="54"/>
      <c r="S451" s="54"/>
      <c r="T451" s="54"/>
      <c r="W451" s="54"/>
      <c r="X451" s="54"/>
      <c r="Y451" s="54"/>
      <c r="AB451" s="54"/>
      <c r="AC451" s="54"/>
      <c r="AD451" s="54"/>
      <c r="AG451" s="54"/>
      <c r="AH451" s="54"/>
      <c r="AI451" s="54"/>
    </row>
    <row r="452" spans="18:35" x14ac:dyDescent="0.2">
      <c r="R452" s="54"/>
      <c r="S452" s="54"/>
      <c r="T452" s="54"/>
      <c r="W452" s="54"/>
      <c r="X452" s="54"/>
      <c r="Y452" s="54"/>
      <c r="AB452" s="54"/>
      <c r="AC452" s="54"/>
      <c r="AD452" s="54"/>
      <c r="AG452" s="54"/>
      <c r="AH452" s="54"/>
      <c r="AI452" s="54"/>
    </row>
    <row r="453" spans="18:35" x14ac:dyDescent="0.2">
      <c r="R453" s="54"/>
      <c r="S453" s="54"/>
      <c r="T453" s="54"/>
      <c r="W453" s="54"/>
      <c r="X453" s="54"/>
      <c r="Y453" s="54"/>
      <c r="AB453" s="54"/>
      <c r="AC453" s="54"/>
      <c r="AD453" s="54"/>
      <c r="AG453" s="54"/>
      <c r="AH453" s="54"/>
      <c r="AI453" s="54"/>
    </row>
    <row r="454" spans="18:35" x14ac:dyDescent="0.2">
      <c r="R454" s="54"/>
      <c r="S454" s="54"/>
      <c r="T454" s="54"/>
      <c r="W454" s="54"/>
      <c r="X454" s="54"/>
      <c r="Y454" s="54"/>
      <c r="AB454" s="54"/>
      <c r="AC454" s="54"/>
      <c r="AD454" s="54"/>
      <c r="AG454" s="54"/>
      <c r="AH454" s="54"/>
      <c r="AI454" s="54"/>
    </row>
    <row r="455" spans="18:35" x14ac:dyDescent="0.2">
      <c r="R455" s="54"/>
      <c r="S455" s="54"/>
      <c r="T455" s="54"/>
      <c r="W455" s="54"/>
      <c r="X455" s="54"/>
      <c r="Y455" s="54"/>
      <c r="AB455" s="54"/>
      <c r="AC455" s="54"/>
      <c r="AD455" s="54"/>
      <c r="AG455" s="54"/>
      <c r="AH455" s="54"/>
      <c r="AI455" s="54"/>
    </row>
    <row r="456" spans="18:35" x14ac:dyDescent="0.2">
      <c r="R456" s="54"/>
      <c r="S456" s="54"/>
      <c r="T456" s="54"/>
      <c r="W456" s="54"/>
      <c r="X456" s="54"/>
      <c r="Y456" s="54"/>
      <c r="AB456" s="54"/>
      <c r="AC456" s="54"/>
      <c r="AD456" s="54"/>
      <c r="AG456" s="54"/>
      <c r="AH456" s="54"/>
      <c r="AI456" s="54"/>
    </row>
    <row r="457" spans="18:35" x14ac:dyDescent="0.2">
      <c r="R457" s="54"/>
      <c r="S457" s="54"/>
      <c r="T457" s="54"/>
      <c r="W457" s="54"/>
      <c r="X457" s="54"/>
      <c r="Y457" s="54"/>
      <c r="AB457" s="54"/>
      <c r="AC457" s="54"/>
      <c r="AD457" s="54"/>
      <c r="AG457" s="54"/>
      <c r="AH457" s="54"/>
      <c r="AI457" s="54"/>
    </row>
    <row r="458" spans="18:35" x14ac:dyDescent="0.2">
      <c r="R458" s="54"/>
      <c r="S458" s="54"/>
      <c r="T458" s="54"/>
      <c r="W458" s="54"/>
      <c r="X458" s="54"/>
      <c r="Y458" s="54"/>
      <c r="AB458" s="54"/>
      <c r="AC458" s="54"/>
      <c r="AD458" s="54"/>
      <c r="AG458" s="54"/>
      <c r="AH458" s="54"/>
      <c r="AI458" s="54"/>
    </row>
    <row r="459" spans="18:35" x14ac:dyDescent="0.2">
      <c r="R459" s="54"/>
      <c r="S459" s="54"/>
      <c r="T459" s="54"/>
      <c r="W459" s="54"/>
      <c r="X459" s="54"/>
      <c r="Y459" s="54"/>
      <c r="AB459" s="54"/>
      <c r="AC459" s="54"/>
      <c r="AD459" s="54"/>
      <c r="AG459" s="54"/>
      <c r="AH459" s="54"/>
      <c r="AI459" s="54"/>
    </row>
    <row r="460" spans="18:35" x14ac:dyDescent="0.2">
      <c r="R460" s="54"/>
      <c r="S460" s="54"/>
      <c r="T460" s="54"/>
      <c r="W460" s="54"/>
      <c r="X460" s="54"/>
      <c r="Y460" s="54"/>
      <c r="AB460" s="54"/>
      <c r="AC460" s="54"/>
      <c r="AD460" s="54"/>
      <c r="AG460" s="54"/>
      <c r="AH460" s="54"/>
      <c r="AI460" s="54"/>
    </row>
    <row r="461" spans="18:35" x14ac:dyDescent="0.2">
      <c r="R461" s="54"/>
      <c r="S461" s="54"/>
      <c r="T461" s="54"/>
      <c r="W461" s="54"/>
      <c r="X461" s="54"/>
      <c r="Y461" s="54"/>
      <c r="AB461" s="54"/>
      <c r="AC461" s="54"/>
      <c r="AD461" s="54"/>
      <c r="AG461" s="54"/>
      <c r="AH461" s="54"/>
      <c r="AI461" s="54"/>
    </row>
    <row r="462" spans="18:35" x14ac:dyDescent="0.2">
      <c r="AG462" s="54"/>
      <c r="AH462" s="54"/>
      <c r="AI462" s="54"/>
    </row>
  </sheetData>
  <sheetProtection password="CCC8" sheet="1" objects="1" scenarios="1" selectLockedCells="1"/>
  <mergeCells count="4">
    <mergeCell ref="F77:H77"/>
    <mergeCell ref="O3:P3"/>
    <mergeCell ref="A1:Q1"/>
    <mergeCell ref="F86:G86"/>
  </mergeCells>
  <phoneticPr fontId="5" type="noConversion"/>
  <conditionalFormatting sqref="E6 E8">
    <cfRule type="cellIs" dxfId="16" priority="21" stopIfTrue="1" operator="notBetween">
      <formula>3.5</formula>
      <formula>42</formula>
    </cfRule>
  </conditionalFormatting>
  <conditionalFormatting sqref="E9">
    <cfRule type="cellIs" dxfId="15" priority="18" stopIfTrue="1" operator="notBetween">
      <formula>0.8</formula>
      <formula>55</formula>
    </cfRule>
  </conditionalFormatting>
  <conditionalFormatting sqref="E40">
    <cfRule type="cellIs" dxfId="14" priority="16" stopIfTrue="1" operator="lessThanOrEqual">
      <formula>0</formula>
    </cfRule>
  </conditionalFormatting>
  <conditionalFormatting sqref="E42">
    <cfRule type="cellIs" dxfId="13" priority="15" stopIfTrue="1" operator="lessThan">
      <formula>$E$41</formula>
    </cfRule>
  </conditionalFormatting>
  <conditionalFormatting sqref="E44">
    <cfRule type="cellIs" dxfId="12" priority="14" stopIfTrue="1" operator="greaterThan">
      <formula>$E$43</formula>
    </cfRule>
  </conditionalFormatting>
  <conditionalFormatting sqref="E49">
    <cfRule type="cellIs" dxfId="11" priority="12" stopIfTrue="1" operator="equal">
      <formula>0</formula>
    </cfRule>
  </conditionalFormatting>
  <conditionalFormatting sqref="E51">
    <cfRule type="cellIs" dxfId="10" priority="11" stopIfTrue="1" operator="lessThan">
      <formula>$E$50</formula>
    </cfRule>
  </conditionalFormatting>
  <conditionalFormatting sqref="E53">
    <cfRule type="cellIs" dxfId="9" priority="9" stopIfTrue="1" operator="greaterThan">
      <formula>$E$52</formula>
    </cfRule>
    <cfRule type="cellIs" dxfId="8" priority="10" stopIfTrue="1" operator="equal">
      <formula>0</formula>
    </cfRule>
  </conditionalFormatting>
  <conditionalFormatting sqref="E62">
    <cfRule type="cellIs" dxfId="7" priority="7" operator="notBetween">
      <formula>59</formula>
      <formula>3.5</formula>
    </cfRule>
  </conditionalFormatting>
  <conditionalFormatting sqref="E58">
    <cfRule type="cellIs" dxfId="6" priority="5" operator="lessThanOrEqual">
      <formula>1.28</formula>
    </cfRule>
  </conditionalFormatting>
  <conditionalFormatting sqref="E11">
    <cfRule type="cellIs" dxfId="5" priority="24" stopIfTrue="1" operator="notBetween">
      <formula>1000</formula>
      <formula>100</formula>
    </cfRule>
    <cfRule type="cellIs" dxfId="4" priority="25" stopIfTrue="1" operator="greaterThan">
      <formula>#REF!</formula>
    </cfRule>
  </conditionalFormatting>
  <conditionalFormatting sqref="E7">
    <cfRule type="cellIs" dxfId="3" priority="4" operator="notBetween">
      <formula>$E$6</formula>
      <formula>$E$8</formula>
    </cfRule>
  </conditionalFormatting>
  <conditionalFormatting sqref="E60">
    <cfRule type="expression" dxfId="2" priority="3">
      <formula>DITHER=2</formula>
    </cfRule>
  </conditionalFormatting>
  <conditionalFormatting sqref="D61">
    <cfRule type="expression" dxfId="1" priority="2">
      <formula>DITHER=2</formula>
    </cfRule>
  </conditionalFormatting>
  <conditionalFormatting sqref="D60">
    <cfRule type="expression" dxfId="0" priority="1">
      <formula>DITHER=2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6" orientation="portrait" r:id="rId3"/>
  <headerFooter alignWithMargins="0"/>
  <rowBreaks count="1" manualBreakCount="1">
    <brk id="114" max="16383" man="1"/>
  </rowBreaks>
  <ignoredErrors>
    <ignoredError sqref="E76 E30"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73288" r:id="rId7" name="Button 520">
              <controlPr locked="0" defaultSize="0" print="0" autoFill="0" autoPict="0" macro="[0]!FIXValues">
                <anchor moveWithCells="1" sizeWithCells="1">
                  <from>
                    <xdr:col>2</xdr:col>
                    <xdr:colOff>314325</xdr:colOff>
                    <xdr:row>77</xdr:row>
                    <xdr:rowOff>76200</xdr:rowOff>
                  </from>
                  <to>
                    <xdr:col>2</xdr:col>
                    <xdr:colOff>895350</xdr:colOff>
                    <xdr:row>79</xdr:row>
                    <xdr:rowOff>133350</xdr:rowOff>
                  </to>
                </anchor>
              </controlPr>
            </control>
          </mc:Choice>
        </mc:AlternateContent>
        <mc:AlternateContent xmlns:mc="http://schemas.openxmlformats.org/markup-compatibility/2006">
          <mc:Choice Requires="x14">
            <control shapeId="673260" r:id="rId8" name="Button 492">
              <controlPr locked="0" defaultSize="0" print="0" autoFill="0" autoPict="0" macro="[0]!RESETvalues">
                <anchor moveWithCells="1" sizeWithCells="1">
                  <from>
                    <xdr:col>2</xdr:col>
                    <xdr:colOff>314325</xdr:colOff>
                    <xdr:row>77</xdr:row>
                    <xdr:rowOff>76200</xdr:rowOff>
                  </from>
                  <to>
                    <xdr:col>2</xdr:col>
                    <xdr:colOff>895350</xdr:colOff>
                    <xdr:row>79</xdr:row>
                    <xdr:rowOff>133350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9525</xdr:colOff>
                    <xdr:row>70</xdr:row>
                    <xdr:rowOff>0</xdr:rowOff>
                  </from>
                  <to>
                    <xdr:col>5</xdr:col>
                    <xdr:colOff>180975</xdr:colOff>
                    <xdr:row>70</xdr:row>
                    <xdr:rowOff>180975</xdr:rowOff>
                  </to>
                </anchor>
              </controlPr>
            </control>
          </mc:Choice>
        </mc:AlternateContent>
        <mc:AlternateContent xmlns:mc="http://schemas.openxmlformats.org/markup-compatibility/2006">
          <mc:Choice Requires="x14">
            <control shapeId="672895" r:id="rId10" name="Spinner 127">
              <controlPr defaultSize="0" autoPict="0">
                <anchor moveWithCells="1" sizeWithCells="1">
                  <from>
                    <xdr:col>5</xdr:col>
                    <xdr:colOff>123825</xdr:colOff>
                    <xdr:row>6</xdr:row>
                    <xdr:rowOff>9525</xdr:rowOff>
                  </from>
                  <to>
                    <xdr:col>5</xdr:col>
                    <xdr:colOff>304800</xdr:colOff>
                    <xdr:row>7</xdr:row>
                    <xdr:rowOff>19050</xdr:rowOff>
                  </to>
                </anchor>
              </controlPr>
            </control>
          </mc:Choice>
        </mc:AlternateContent>
        <mc:AlternateContent xmlns:mc="http://schemas.openxmlformats.org/markup-compatibility/2006">
          <mc:Choice Requires="x14">
            <control shapeId="672924" r:id="rId11" name="Drop Down 156">
              <controlPr defaultSize="0" autoLine="0" autoPict="0">
                <anchor>
                  <from>
                    <xdr:col>7</xdr:col>
                    <xdr:colOff>219075</xdr:colOff>
                    <xdr:row>83</xdr:row>
                    <xdr:rowOff>133350</xdr:rowOff>
                  </from>
                  <to>
                    <xdr:col>9</xdr:col>
                    <xdr:colOff>200025</xdr:colOff>
                    <xdr:row>84</xdr:row>
                    <xdr:rowOff>123825</xdr:rowOff>
                  </to>
                </anchor>
              </controlPr>
            </control>
          </mc:Choice>
        </mc:AlternateContent>
        <mc:AlternateContent xmlns:mc="http://schemas.openxmlformats.org/markup-compatibility/2006">
          <mc:Choice Requires="x14">
            <control shapeId="673029" r:id="rId12" name="Drop Down 261">
              <controlPr defaultSize="0" autoLine="0" autoPict="0">
                <anchor moveWithCells="1">
                  <from>
                    <xdr:col>0</xdr:col>
                    <xdr:colOff>9525</xdr:colOff>
                    <xdr:row>59</xdr:row>
                    <xdr:rowOff>0</xdr:rowOff>
                  </from>
                  <to>
                    <xdr:col>1</xdr:col>
                    <xdr:colOff>476250</xdr:colOff>
                    <xdr:row>60</xdr:row>
                    <xdr:rowOff>28575</xdr:rowOff>
                  </to>
                </anchor>
              </controlPr>
            </control>
          </mc:Choice>
        </mc:AlternateContent>
        <mc:AlternateContent xmlns:mc="http://schemas.openxmlformats.org/markup-compatibility/2006">
          <mc:Choice Requires="x14">
            <control shapeId="673295" r:id="rId13" name="Spinner 527">
              <controlPr defaultSize="0" autoPict="0">
                <anchor moveWithCells="1" sizeWithCells="1">
                  <from>
                    <xdr:col>13</xdr:col>
                    <xdr:colOff>428625</xdr:colOff>
                    <xdr:row>46</xdr:row>
                    <xdr:rowOff>0</xdr:rowOff>
                  </from>
                  <to>
                    <xdr:col>14</xdr:col>
                    <xdr:colOff>0</xdr:colOff>
                    <xdr:row>47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zoomScaleNormal="100" workbookViewId="0">
      <selection activeCell="M43" sqref="M43"/>
    </sheetView>
  </sheetViews>
  <sheetFormatPr defaultRowHeight="12.75" x14ac:dyDescent="0.2"/>
  <cols>
    <col min="1" max="1" width="9.5703125" style="226" customWidth="1"/>
    <col min="2" max="2" width="20.28515625" style="226" customWidth="1"/>
    <col min="3" max="3" width="16.140625" style="226" customWidth="1"/>
    <col min="4" max="4" width="20.140625" style="226" customWidth="1"/>
    <col min="5" max="5" width="17.28515625" style="226" customWidth="1"/>
    <col min="6" max="6" width="20.5703125" style="226" bestFit="1" customWidth="1"/>
    <col min="7" max="7" width="9.7109375" style="226" customWidth="1"/>
    <col min="8" max="8" width="16.140625" style="226" customWidth="1"/>
    <col min="9" max="9" width="14.7109375" style="226" customWidth="1"/>
    <col min="10" max="10" width="18.42578125" style="226" customWidth="1"/>
    <col min="11" max="11" width="26.42578125" style="226" customWidth="1"/>
    <col min="12" max="12" width="9.140625" style="226"/>
    <col min="13" max="13" width="9.140625" style="227"/>
    <col min="14" max="256" width="9.140625" style="226"/>
    <col min="257" max="257" width="8.7109375" style="226" bestFit="1" customWidth="1"/>
    <col min="258" max="258" width="13.28515625" style="226" customWidth="1"/>
    <col min="259" max="259" width="16.140625" style="226" bestFit="1" customWidth="1"/>
    <col min="260" max="260" width="23.5703125" style="226" customWidth="1"/>
    <col min="261" max="261" width="17.28515625" style="226" customWidth="1"/>
    <col min="262" max="262" width="20.5703125" style="226" bestFit="1" customWidth="1"/>
    <col min="263" max="263" width="17.140625" style="226" customWidth="1"/>
    <col min="264" max="264" width="21.85546875" style="226" bestFit="1" customWidth="1"/>
    <col min="265" max="265" width="17.140625" style="226" bestFit="1" customWidth="1"/>
    <col min="266" max="266" width="18.140625" style="226" bestFit="1" customWidth="1"/>
    <col min="267" max="267" width="26.42578125" style="226" customWidth="1"/>
    <col min="268" max="512" width="9.140625" style="226"/>
    <col min="513" max="513" width="8.7109375" style="226" bestFit="1" customWidth="1"/>
    <col min="514" max="514" width="13.28515625" style="226" customWidth="1"/>
    <col min="515" max="515" width="16.140625" style="226" bestFit="1" customWidth="1"/>
    <col min="516" max="516" width="23.5703125" style="226" customWidth="1"/>
    <col min="517" max="517" width="17.28515625" style="226" customWidth="1"/>
    <col min="518" max="518" width="20.5703125" style="226" bestFit="1" customWidth="1"/>
    <col min="519" max="519" width="17.140625" style="226" customWidth="1"/>
    <col min="520" max="520" width="21.85546875" style="226" bestFit="1" customWidth="1"/>
    <col min="521" max="521" width="17.140625" style="226" bestFit="1" customWidth="1"/>
    <col min="522" max="522" width="18.140625" style="226" bestFit="1" customWidth="1"/>
    <col min="523" max="523" width="26.42578125" style="226" customWidth="1"/>
    <col min="524" max="768" width="9.140625" style="226"/>
    <col min="769" max="769" width="8.7109375" style="226" bestFit="1" customWidth="1"/>
    <col min="770" max="770" width="13.28515625" style="226" customWidth="1"/>
    <col min="771" max="771" width="16.140625" style="226" bestFit="1" customWidth="1"/>
    <col min="772" max="772" width="23.5703125" style="226" customWidth="1"/>
    <col min="773" max="773" width="17.28515625" style="226" customWidth="1"/>
    <col min="774" max="774" width="20.5703125" style="226" bestFit="1" customWidth="1"/>
    <col min="775" max="775" width="17.140625" style="226" customWidth="1"/>
    <col min="776" max="776" width="21.85546875" style="226" bestFit="1" customWidth="1"/>
    <col min="777" max="777" width="17.140625" style="226" bestFit="1" customWidth="1"/>
    <col min="778" max="778" width="18.140625" style="226" bestFit="1" customWidth="1"/>
    <col min="779" max="779" width="26.42578125" style="226" customWidth="1"/>
    <col min="780" max="1024" width="9.140625" style="226"/>
    <col min="1025" max="1025" width="8.7109375" style="226" bestFit="1" customWidth="1"/>
    <col min="1026" max="1026" width="13.28515625" style="226" customWidth="1"/>
    <col min="1027" max="1027" width="16.140625" style="226" bestFit="1" customWidth="1"/>
    <col min="1028" max="1028" width="23.5703125" style="226" customWidth="1"/>
    <col min="1029" max="1029" width="17.28515625" style="226" customWidth="1"/>
    <col min="1030" max="1030" width="20.5703125" style="226" bestFit="1" customWidth="1"/>
    <col min="1031" max="1031" width="17.140625" style="226" customWidth="1"/>
    <col min="1032" max="1032" width="21.85546875" style="226" bestFit="1" customWidth="1"/>
    <col min="1033" max="1033" width="17.140625" style="226" bestFit="1" customWidth="1"/>
    <col min="1034" max="1034" width="18.140625" style="226" bestFit="1" customWidth="1"/>
    <col min="1035" max="1035" width="26.42578125" style="226" customWidth="1"/>
    <col min="1036" max="1280" width="9.140625" style="226"/>
    <col min="1281" max="1281" width="8.7109375" style="226" bestFit="1" customWidth="1"/>
    <col min="1282" max="1282" width="13.28515625" style="226" customWidth="1"/>
    <col min="1283" max="1283" width="16.140625" style="226" bestFit="1" customWidth="1"/>
    <col min="1284" max="1284" width="23.5703125" style="226" customWidth="1"/>
    <col min="1285" max="1285" width="17.28515625" style="226" customWidth="1"/>
    <col min="1286" max="1286" width="20.5703125" style="226" bestFit="1" customWidth="1"/>
    <col min="1287" max="1287" width="17.140625" style="226" customWidth="1"/>
    <col min="1288" max="1288" width="21.85546875" style="226" bestFit="1" customWidth="1"/>
    <col min="1289" max="1289" width="17.140625" style="226" bestFit="1" customWidth="1"/>
    <col min="1290" max="1290" width="18.140625" style="226" bestFit="1" customWidth="1"/>
    <col min="1291" max="1291" width="26.42578125" style="226" customWidth="1"/>
    <col min="1292" max="1536" width="9.140625" style="226"/>
    <col min="1537" max="1537" width="8.7109375" style="226" bestFit="1" customWidth="1"/>
    <col min="1538" max="1538" width="13.28515625" style="226" customWidth="1"/>
    <col min="1539" max="1539" width="16.140625" style="226" bestFit="1" customWidth="1"/>
    <col min="1540" max="1540" width="23.5703125" style="226" customWidth="1"/>
    <col min="1541" max="1541" width="17.28515625" style="226" customWidth="1"/>
    <col min="1542" max="1542" width="20.5703125" style="226" bestFit="1" customWidth="1"/>
    <col min="1543" max="1543" width="17.140625" style="226" customWidth="1"/>
    <col min="1544" max="1544" width="21.85546875" style="226" bestFit="1" customWidth="1"/>
    <col min="1545" max="1545" width="17.140625" style="226" bestFit="1" customWidth="1"/>
    <col min="1546" max="1546" width="18.140625" style="226" bestFit="1" customWidth="1"/>
    <col min="1547" max="1547" width="26.42578125" style="226" customWidth="1"/>
    <col min="1548" max="1792" width="9.140625" style="226"/>
    <col min="1793" max="1793" width="8.7109375" style="226" bestFit="1" customWidth="1"/>
    <col min="1794" max="1794" width="13.28515625" style="226" customWidth="1"/>
    <col min="1795" max="1795" width="16.140625" style="226" bestFit="1" customWidth="1"/>
    <col min="1796" max="1796" width="23.5703125" style="226" customWidth="1"/>
    <col min="1797" max="1797" width="17.28515625" style="226" customWidth="1"/>
    <col min="1798" max="1798" width="20.5703125" style="226" bestFit="1" customWidth="1"/>
    <col min="1799" max="1799" width="17.140625" style="226" customWidth="1"/>
    <col min="1800" max="1800" width="21.85546875" style="226" bestFit="1" customWidth="1"/>
    <col min="1801" max="1801" width="17.140625" style="226" bestFit="1" customWidth="1"/>
    <col min="1802" max="1802" width="18.140625" style="226" bestFit="1" customWidth="1"/>
    <col min="1803" max="1803" width="26.42578125" style="226" customWidth="1"/>
    <col min="1804" max="2048" width="9.140625" style="226"/>
    <col min="2049" max="2049" width="8.7109375" style="226" bestFit="1" customWidth="1"/>
    <col min="2050" max="2050" width="13.28515625" style="226" customWidth="1"/>
    <col min="2051" max="2051" width="16.140625" style="226" bestFit="1" customWidth="1"/>
    <col min="2052" max="2052" width="23.5703125" style="226" customWidth="1"/>
    <col min="2053" max="2053" width="17.28515625" style="226" customWidth="1"/>
    <col min="2054" max="2054" width="20.5703125" style="226" bestFit="1" customWidth="1"/>
    <col min="2055" max="2055" width="17.140625" style="226" customWidth="1"/>
    <col min="2056" max="2056" width="21.85546875" style="226" bestFit="1" customWidth="1"/>
    <col min="2057" max="2057" width="17.140625" style="226" bestFit="1" customWidth="1"/>
    <col min="2058" max="2058" width="18.140625" style="226" bestFit="1" customWidth="1"/>
    <col min="2059" max="2059" width="26.42578125" style="226" customWidth="1"/>
    <col min="2060" max="2304" width="9.140625" style="226"/>
    <col min="2305" max="2305" width="8.7109375" style="226" bestFit="1" customWidth="1"/>
    <col min="2306" max="2306" width="13.28515625" style="226" customWidth="1"/>
    <col min="2307" max="2307" width="16.140625" style="226" bestFit="1" customWidth="1"/>
    <col min="2308" max="2308" width="23.5703125" style="226" customWidth="1"/>
    <col min="2309" max="2309" width="17.28515625" style="226" customWidth="1"/>
    <col min="2310" max="2310" width="20.5703125" style="226" bestFit="1" customWidth="1"/>
    <col min="2311" max="2311" width="17.140625" style="226" customWidth="1"/>
    <col min="2312" max="2312" width="21.85546875" style="226" bestFit="1" customWidth="1"/>
    <col min="2313" max="2313" width="17.140625" style="226" bestFit="1" customWidth="1"/>
    <col min="2314" max="2314" width="18.140625" style="226" bestFit="1" customWidth="1"/>
    <col min="2315" max="2315" width="26.42578125" style="226" customWidth="1"/>
    <col min="2316" max="2560" width="9.140625" style="226"/>
    <col min="2561" max="2561" width="8.7109375" style="226" bestFit="1" customWidth="1"/>
    <col min="2562" max="2562" width="13.28515625" style="226" customWidth="1"/>
    <col min="2563" max="2563" width="16.140625" style="226" bestFit="1" customWidth="1"/>
    <col min="2564" max="2564" width="23.5703125" style="226" customWidth="1"/>
    <col min="2565" max="2565" width="17.28515625" style="226" customWidth="1"/>
    <col min="2566" max="2566" width="20.5703125" style="226" bestFit="1" customWidth="1"/>
    <col min="2567" max="2567" width="17.140625" style="226" customWidth="1"/>
    <col min="2568" max="2568" width="21.85546875" style="226" bestFit="1" customWidth="1"/>
    <col min="2569" max="2569" width="17.140625" style="226" bestFit="1" customWidth="1"/>
    <col min="2570" max="2570" width="18.140625" style="226" bestFit="1" customWidth="1"/>
    <col min="2571" max="2571" width="26.42578125" style="226" customWidth="1"/>
    <col min="2572" max="2816" width="9.140625" style="226"/>
    <col min="2817" max="2817" width="8.7109375" style="226" bestFit="1" customWidth="1"/>
    <col min="2818" max="2818" width="13.28515625" style="226" customWidth="1"/>
    <col min="2819" max="2819" width="16.140625" style="226" bestFit="1" customWidth="1"/>
    <col min="2820" max="2820" width="23.5703125" style="226" customWidth="1"/>
    <col min="2821" max="2821" width="17.28515625" style="226" customWidth="1"/>
    <col min="2822" max="2822" width="20.5703125" style="226" bestFit="1" customWidth="1"/>
    <col min="2823" max="2823" width="17.140625" style="226" customWidth="1"/>
    <col min="2824" max="2824" width="21.85546875" style="226" bestFit="1" customWidth="1"/>
    <col min="2825" max="2825" width="17.140625" style="226" bestFit="1" customWidth="1"/>
    <col min="2826" max="2826" width="18.140625" style="226" bestFit="1" customWidth="1"/>
    <col min="2827" max="2827" width="26.42578125" style="226" customWidth="1"/>
    <col min="2828" max="3072" width="9.140625" style="226"/>
    <col min="3073" max="3073" width="8.7109375" style="226" bestFit="1" customWidth="1"/>
    <col min="3074" max="3074" width="13.28515625" style="226" customWidth="1"/>
    <col min="3075" max="3075" width="16.140625" style="226" bestFit="1" customWidth="1"/>
    <col min="3076" max="3076" width="23.5703125" style="226" customWidth="1"/>
    <col min="3077" max="3077" width="17.28515625" style="226" customWidth="1"/>
    <col min="3078" max="3078" width="20.5703125" style="226" bestFit="1" customWidth="1"/>
    <col min="3079" max="3079" width="17.140625" style="226" customWidth="1"/>
    <col min="3080" max="3080" width="21.85546875" style="226" bestFit="1" customWidth="1"/>
    <col min="3081" max="3081" width="17.140625" style="226" bestFit="1" customWidth="1"/>
    <col min="3082" max="3082" width="18.140625" style="226" bestFit="1" customWidth="1"/>
    <col min="3083" max="3083" width="26.42578125" style="226" customWidth="1"/>
    <col min="3084" max="3328" width="9.140625" style="226"/>
    <col min="3329" max="3329" width="8.7109375" style="226" bestFit="1" customWidth="1"/>
    <col min="3330" max="3330" width="13.28515625" style="226" customWidth="1"/>
    <col min="3331" max="3331" width="16.140625" style="226" bestFit="1" customWidth="1"/>
    <col min="3332" max="3332" width="23.5703125" style="226" customWidth="1"/>
    <col min="3333" max="3333" width="17.28515625" style="226" customWidth="1"/>
    <col min="3334" max="3334" width="20.5703125" style="226" bestFit="1" customWidth="1"/>
    <col min="3335" max="3335" width="17.140625" style="226" customWidth="1"/>
    <col min="3336" max="3336" width="21.85546875" style="226" bestFit="1" customWidth="1"/>
    <col min="3337" max="3337" width="17.140625" style="226" bestFit="1" customWidth="1"/>
    <col min="3338" max="3338" width="18.140625" style="226" bestFit="1" customWidth="1"/>
    <col min="3339" max="3339" width="26.42578125" style="226" customWidth="1"/>
    <col min="3340" max="3584" width="9.140625" style="226"/>
    <col min="3585" max="3585" width="8.7109375" style="226" bestFit="1" customWidth="1"/>
    <col min="3586" max="3586" width="13.28515625" style="226" customWidth="1"/>
    <col min="3587" max="3587" width="16.140625" style="226" bestFit="1" customWidth="1"/>
    <col min="3588" max="3588" width="23.5703125" style="226" customWidth="1"/>
    <col min="3589" max="3589" width="17.28515625" style="226" customWidth="1"/>
    <col min="3590" max="3590" width="20.5703125" style="226" bestFit="1" customWidth="1"/>
    <col min="3591" max="3591" width="17.140625" style="226" customWidth="1"/>
    <col min="3592" max="3592" width="21.85546875" style="226" bestFit="1" customWidth="1"/>
    <col min="3593" max="3593" width="17.140625" style="226" bestFit="1" customWidth="1"/>
    <col min="3594" max="3594" width="18.140625" style="226" bestFit="1" customWidth="1"/>
    <col min="3595" max="3595" width="26.42578125" style="226" customWidth="1"/>
    <col min="3596" max="3840" width="9.140625" style="226"/>
    <col min="3841" max="3841" width="8.7109375" style="226" bestFit="1" customWidth="1"/>
    <col min="3842" max="3842" width="13.28515625" style="226" customWidth="1"/>
    <col min="3843" max="3843" width="16.140625" style="226" bestFit="1" customWidth="1"/>
    <col min="3844" max="3844" width="23.5703125" style="226" customWidth="1"/>
    <col min="3845" max="3845" width="17.28515625" style="226" customWidth="1"/>
    <col min="3846" max="3846" width="20.5703125" style="226" bestFit="1" customWidth="1"/>
    <col min="3847" max="3847" width="17.140625" style="226" customWidth="1"/>
    <col min="3848" max="3848" width="21.85546875" style="226" bestFit="1" customWidth="1"/>
    <col min="3849" max="3849" width="17.140625" style="226" bestFit="1" customWidth="1"/>
    <col min="3850" max="3850" width="18.140625" style="226" bestFit="1" customWidth="1"/>
    <col min="3851" max="3851" width="26.42578125" style="226" customWidth="1"/>
    <col min="3852" max="4096" width="9.140625" style="226"/>
    <col min="4097" max="4097" width="8.7109375" style="226" bestFit="1" customWidth="1"/>
    <col min="4098" max="4098" width="13.28515625" style="226" customWidth="1"/>
    <col min="4099" max="4099" width="16.140625" style="226" bestFit="1" customWidth="1"/>
    <col min="4100" max="4100" width="23.5703125" style="226" customWidth="1"/>
    <col min="4101" max="4101" width="17.28515625" style="226" customWidth="1"/>
    <col min="4102" max="4102" width="20.5703125" style="226" bestFit="1" customWidth="1"/>
    <col min="4103" max="4103" width="17.140625" style="226" customWidth="1"/>
    <col min="4104" max="4104" width="21.85546875" style="226" bestFit="1" customWidth="1"/>
    <col min="4105" max="4105" width="17.140625" style="226" bestFit="1" customWidth="1"/>
    <col min="4106" max="4106" width="18.140625" style="226" bestFit="1" customWidth="1"/>
    <col min="4107" max="4107" width="26.42578125" style="226" customWidth="1"/>
    <col min="4108" max="4352" width="9.140625" style="226"/>
    <col min="4353" max="4353" width="8.7109375" style="226" bestFit="1" customWidth="1"/>
    <col min="4354" max="4354" width="13.28515625" style="226" customWidth="1"/>
    <col min="4355" max="4355" width="16.140625" style="226" bestFit="1" customWidth="1"/>
    <col min="4356" max="4356" width="23.5703125" style="226" customWidth="1"/>
    <col min="4357" max="4357" width="17.28515625" style="226" customWidth="1"/>
    <col min="4358" max="4358" width="20.5703125" style="226" bestFit="1" customWidth="1"/>
    <col min="4359" max="4359" width="17.140625" style="226" customWidth="1"/>
    <col min="4360" max="4360" width="21.85546875" style="226" bestFit="1" customWidth="1"/>
    <col min="4361" max="4361" width="17.140625" style="226" bestFit="1" customWidth="1"/>
    <col min="4362" max="4362" width="18.140625" style="226" bestFit="1" customWidth="1"/>
    <col min="4363" max="4363" width="26.42578125" style="226" customWidth="1"/>
    <col min="4364" max="4608" width="9.140625" style="226"/>
    <col min="4609" max="4609" width="8.7109375" style="226" bestFit="1" customWidth="1"/>
    <col min="4610" max="4610" width="13.28515625" style="226" customWidth="1"/>
    <col min="4611" max="4611" width="16.140625" style="226" bestFit="1" customWidth="1"/>
    <col min="4612" max="4612" width="23.5703125" style="226" customWidth="1"/>
    <col min="4613" max="4613" width="17.28515625" style="226" customWidth="1"/>
    <col min="4614" max="4614" width="20.5703125" style="226" bestFit="1" customWidth="1"/>
    <col min="4615" max="4615" width="17.140625" style="226" customWidth="1"/>
    <col min="4616" max="4616" width="21.85546875" style="226" bestFit="1" customWidth="1"/>
    <col min="4617" max="4617" width="17.140625" style="226" bestFit="1" customWidth="1"/>
    <col min="4618" max="4618" width="18.140625" style="226" bestFit="1" customWidth="1"/>
    <col min="4619" max="4619" width="26.42578125" style="226" customWidth="1"/>
    <col min="4620" max="4864" width="9.140625" style="226"/>
    <col min="4865" max="4865" width="8.7109375" style="226" bestFit="1" customWidth="1"/>
    <col min="4866" max="4866" width="13.28515625" style="226" customWidth="1"/>
    <col min="4867" max="4867" width="16.140625" style="226" bestFit="1" customWidth="1"/>
    <col min="4868" max="4868" width="23.5703125" style="226" customWidth="1"/>
    <col min="4869" max="4869" width="17.28515625" style="226" customWidth="1"/>
    <col min="4870" max="4870" width="20.5703125" style="226" bestFit="1" customWidth="1"/>
    <col min="4871" max="4871" width="17.140625" style="226" customWidth="1"/>
    <col min="4872" max="4872" width="21.85546875" style="226" bestFit="1" customWidth="1"/>
    <col min="4873" max="4873" width="17.140625" style="226" bestFit="1" customWidth="1"/>
    <col min="4874" max="4874" width="18.140625" style="226" bestFit="1" customWidth="1"/>
    <col min="4875" max="4875" width="26.42578125" style="226" customWidth="1"/>
    <col min="4876" max="5120" width="9.140625" style="226"/>
    <col min="5121" max="5121" width="8.7109375" style="226" bestFit="1" customWidth="1"/>
    <col min="5122" max="5122" width="13.28515625" style="226" customWidth="1"/>
    <col min="5123" max="5123" width="16.140625" style="226" bestFit="1" customWidth="1"/>
    <col min="5124" max="5124" width="23.5703125" style="226" customWidth="1"/>
    <col min="5125" max="5125" width="17.28515625" style="226" customWidth="1"/>
    <col min="5126" max="5126" width="20.5703125" style="226" bestFit="1" customWidth="1"/>
    <col min="5127" max="5127" width="17.140625" style="226" customWidth="1"/>
    <col min="5128" max="5128" width="21.85546875" style="226" bestFit="1" customWidth="1"/>
    <col min="5129" max="5129" width="17.140625" style="226" bestFit="1" customWidth="1"/>
    <col min="5130" max="5130" width="18.140625" style="226" bestFit="1" customWidth="1"/>
    <col min="5131" max="5131" width="26.42578125" style="226" customWidth="1"/>
    <col min="5132" max="5376" width="9.140625" style="226"/>
    <col min="5377" max="5377" width="8.7109375" style="226" bestFit="1" customWidth="1"/>
    <col min="5378" max="5378" width="13.28515625" style="226" customWidth="1"/>
    <col min="5379" max="5379" width="16.140625" style="226" bestFit="1" customWidth="1"/>
    <col min="5380" max="5380" width="23.5703125" style="226" customWidth="1"/>
    <col min="5381" max="5381" width="17.28515625" style="226" customWidth="1"/>
    <col min="5382" max="5382" width="20.5703125" style="226" bestFit="1" customWidth="1"/>
    <col min="5383" max="5383" width="17.140625" style="226" customWidth="1"/>
    <col min="5384" max="5384" width="21.85546875" style="226" bestFit="1" customWidth="1"/>
    <col min="5385" max="5385" width="17.140625" style="226" bestFit="1" customWidth="1"/>
    <col min="5386" max="5386" width="18.140625" style="226" bestFit="1" customWidth="1"/>
    <col min="5387" max="5387" width="26.42578125" style="226" customWidth="1"/>
    <col min="5388" max="5632" width="9.140625" style="226"/>
    <col min="5633" max="5633" width="8.7109375" style="226" bestFit="1" customWidth="1"/>
    <col min="5634" max="5634" width="13.28515625" style="226" customWidth="1"/>
    <col min="5635" max="5635" width="16.140625" style="226" bestFit="1" customWidth="1"/>
    <col min="5636" max="5636" width="23.5703125" style="226" customWidth="1"/>
    <col min="5637" max="5637" width="17.28515625" style="226" customWidth="1"/>
    <col min="5638" max="5638" width="20.5703125" style="226" bestFit="1" customWidth="1"/>
    <col min="5639" max="5639" width="17.140625" style="226" customWidth="1"/>
    <col min="5640" max="5640" width="21.85546875" style="226" bestFit="1" customWidth="1"/>
    <col min="5641" max="5641" width="17.140625" style="226" bestFit="1" customWidth="1"/>
    <col min="5642" max="5642" width="18.140625" style="226" bestFit="1" customWidth="1"/>
    <col min="5643" max="5643" width="26.42578125" style="226" customWidth="1"/>
    <col min="5644" max="5888" width="9.140625" style="226"/>
    <col min="5889" max="5889" width="8.7109375" style="226" bestFit="1" customWidth="1"/>
    <col min="5890" max="5890" width="13.28515625" style="226" customWidth="1"/>
    <col min="5891" max="5891" width="16.140625" style="226" bestFit="1" customWidth="1"/>
    <col min="5892" max="5892" width="23.5703125" style="226" customWidth="1"/>
    <col min="5893" max="5893" width="17.28515625" style="226" customWidth="1"/>
    <col min="5894" max="5894" width="20.5703125" style="226" bestFit="1" customWidth="1"/>
    <col min="5895" max="5895" width="17.140625" style="226" customWidth="1"/>
    <col min="5896" max="5896" width="21.85546875" style="226" bestFit="1" customWidth="1"/>
    <col min="5897" max="5897" width="17.140625" style="226" bestFit="1" customWidth="1"/>
    <col min="5898" max="5898" width="18.140625" style="226" bestFit="1" customWidth="1"/>
    <col min="5899" max="5899" width="26.42578125" style="226" customWidth="1"/>
    <col min="5900" max="6144" width="9.140625" style="226"/>
    <col min="6145" max="6145" width="8.7109375" style="226" bestFit="1" customWidth="1"/>
    <col min="6146" max="6146" width="13.28515625" style="226" customWidth="1"/>
    <col min="6147" max="6147" width="16.140625" style="226" bestFit="1" customWidth="1"/>
    <col min="6148" max="6148" width="23.5703125" style="226" customWidth="1"/>
    <col min="6149" max="6149" width="17.28515625" style="226" customWidth="1"/>
    <col min="6150" max="6150" width="20.5703125" style="226" bestFit="1" customWidth="1"/>
    <col min="6151" max="6151" width="17.140625" style="226" customWidth="1"/>
    <col min="6152" max="6152" width="21.85546875" style="226" bestFit="1" customWidth="1"/>
    <col min="6153" max="6153" width="17.140625" style="226" bestFit="1" customWidth="1"/>
    <col min="6154" max="6154" width="18.140625" style="226" bestFit="1" customWidth="1"/>
    <col min="6155" max="6155" width="26.42578125" style="226" customWidth="1"/>
    <col min="6156" max="6400" width="9.140625" style="226"/>
    <col min="6401" max="6401" width="8.7109375" style="226" bestFit="1" customWidth="1"/>
    <col min="6402" max="6402" width="13.28515625" style="226" customWidth="1"/>
    <col min="6403" max="6403" width="16.140625" style="226" bestFit="1" customWidth="1"/>
    <col min="6404" max="6404" width="23.5703125" style="226" customWidth="1"/>
    <col min="6405" max="6405" width="17.28515625" style="226" customWidth="1"/>
    <col min="6406" max="6406" width="20.5703125" style="226" bestFit="1" customWidth="1"/>
    <col min="6407" max="6407" width="17.140625" style="226" customWidth="1"/>
    <col min="6408" max="6408" width="21.85546875" style="226" bestFit="1" customWidth="1"/>
    <col min="6409" max="6409" width="17.140625" style="226" bestFit="1" customWidth="1"/>
    <col min="6410" max="6410" width="18.140625" style="226" bestFit="1" customWidth="1"/>
    <col min="6411" max="6411" width="26.42578125" style="226" customWidth="1"/>
    <col min="6412" max="6656" width="9.140625" style="226"/>
    <col min="6657" max="6657" width="8.7109375" style="226" bestFit="1" customWidth="1"/>
    <col min="6658" max="6658" width="13.28515625" style="226" customWidth="1"/>
    <col min="6659" max="6659" width="16.140625" style="226" bestFit="1" customWidth="1"/>
    <col min="6660" max="6660" width="23.5703125" style="226" customWidth="1"/>
    <col min="6661" max="6661" width="17.28515625" style="226" customWidth="1"/>
    <col min="6662" max="6662" width="20.5703125" style="226" bestFit="1" customWidth="1"/>
    <col min="6663" max="6663" width="17.140625" style="226" customWidth="1"/>
    <col min="6664" max="6664" width="21.85546875" style="226" bestFit="1" customWidth="1"/>
    <col min="6665" max="6665" width="17.140625" style="226" bestFit="1" customWidth="1"/>
    <col min="6666" max="6666" width="18.140625" style="226" bestFit="1" customWidth="1"/>
    <col min="6667" max="6667" width="26.42578125" style="226" customWidth="1"/>
    <col min="6668" max="6912" width="9.140625" style="226"/>
    <col min="6913" max="6913" width="8.7109375" style="226" bestFit="1" customWidth="1"/>
    <col min="6914" max="6914" width="13.28515625" style="226" customWidth="1"/>
    <col min="6915" max="6915" width="16.140625" style="226" bestFit="1" customWidth="1"/>
    <col min="6916" max="6916" width="23.5703125" style="226" customWidth="1"/>
    <col min="6917" max="6917" width="17.28515625" style="226" customWidth="1"/>
    <col min="6918" max="6918" width="20.5703125" style="226" bestFit="1" customWidth="1"/>
    <col min="6919" max="6919" width="17.140625" style="226" customWidth="1"/>
    <col min="6920" max="6920" width="21.85546875" style="226" bestFit="1" customWidth="1"/>
    <col min="6921" max="6921" width="17.140625" style="226" bestFit="1" customWidth="1"/>
    <col min="6922" max="6922" width="18.140625" style="226" bestFit="1" customWidth="1"/>
    <col min="6923" max="6923" width="26.42578125" style="226" customWidth="1"/>
    <col min="6924" max="7168" width="9.140625" style="226"/>
    <col min="7169" max="7169" width="8.7109375" style="226" bestFit="1" customWidth="1"/>
    <col min="7170" max="7170" width="13.28515625" style="226" customWidth="1"/>
    <col min="7171" max="7171" width="16.140625" style="226" bestFit="1" customWidth="1"/>
    <col min="7172" max="7172" width="23.5703125" style="226" customWidth="1"/>
    <col min="7173" max="7173" width="17.28515625" style="226" customWidth="1"/>
    <col min="7174" max="7174" width="20.5703125" style="226" bestFit="1" customWidth="1"/>
    <col min="7175" max="7175" width="17.140625" style="226" customWidth="1"/>
    <col min="7176" max="7176" width="21.85546875" style="226" bestFit="1" customWidth="1"/>
    <col min="7177" max="7177" width="17.140625" style="226" bestFit="1" customWidth="1"/>
    <col min="7178" max="7178" width="18.140625" style="226" bestFit="1" customWidth="1"/>
    <col min="7179" max="7179" width="26.42578125" style="226" customWidth="1"/>
    <col min="7180" max="7424" width="9.140625" style="226"/>
    <col min="7425" max="7425" width="8.7109375" style="226" bestFit="1" customWidth="1"/>
    <col min="7426" max="7426" width="13.28515625" style="226" customWidth="1"/>
    <col min="7427" max="7427" width="16.140625" style="226" bestFit="1" customWidth="1"/>
    <col min="7428" max="7428" width="23.5703125" style="226" customWidth="1"/>
    <col min="7429" max="7429" width="17.28515625" style="226" customWidth="1"/>
    <col min="7430" max="7430" width="20.5703125" style="226" bestFit="1" customWidth="1"/>
    <col min="7431" max="7431" width="17.140625" style="226" customWidth="1"/>
    <col min="7432" max="7432" width="21.85546875" style="226" bestFit="1" customWidth="1"/>
    <col min="7433" max="7433" width="17.140625" style="226" bestFit="1" customWidth="1"/>
    <col min="7434" max="7434" width="18.140625" style="226" bestFit="1" customWidth="1"/>
    <col min="7435" max="7435" width="26.42578125" style="226" customWidth="1"/>
    <col min="7436" max="7680" width="9.140625" style="226"/>
    <col min="7681" max="7681" width="8.7109375" style="226" bestFit="1" customWidth="1"/>
    <col min="7682" max="7682" width="13.28515625" style="226" customWidth="1"/>
    <col min="7683" max="7683" width="16.140625" style="226" bestFit="1" customWidth="1"/>
    <col min="7684" max="7684" width="23.5703125" style="226" customWidth="1"/>
    <col min="7685" max="7685" width="17.28515625" style="226" customWidth="1"/>
    <col min="7686" max="7686" width="20.5703125" style="226" bestFit="1" customWidth="1"/>
    <col min="7687" max="7687" width="17.140625" style="226" customWidth="1"/>
    <col min="7688" max="7688" width="21.85546875" style="226" bestFit="1" customWidth="1"/>
    <col min="7689" max="7689" width="17.140625" style="226" bestFit="1" customWidth="1"/>
    <col min="7690" max="7690" width="18.140625" style="226" bestFit="1" customWidth="1"/>
    <col min="7691" max="7691" width="26.42578125" style="226" customWidth="1"/>
    <col min="7692" max="7936" width="9.140625" style="226"/>
    <col min="7937" max="7937" width="8.7109375" style="226" bestFit="1" customWidth="1"/>
    <col min="7938" max="7938" width="13.28515625" style="226" customWidth="1"/>
    <col min="7939" max="7939" width="16.140625" style="226" bestFit="1" customWidth="1"/>
    <col min="7940" max="7940" width="23.5703125" style="226" customWidth="1"/>
    <col min="7941" max="7941" width="17.28515625" style="226" customWidth="1"/>
    <col min="7942" max="7942" width="20.5703125" style="226" bestFit="1" customWidth="1"/>
    <col min="7943" max="7943" width="17.140625" style="226" customWidth="1"/>
    <col min="7944" max="7944" width="21.85546875" style="226" bestFit="1" customWidth="1"/>
    <col min="7945" max="7945" width="17.140625" style="226" bestFit="1" customWidth="1"/>
    <col min="7946" max="7946" width="18.140625" style="226" bestFit="1" customWidth="1"/>
    <col min="7947" max="7947" width="26.42578125" style="226" customWidth="1"/>
    <col min="7948" max="8192" width="9.140625" style="226"/>
    <col min="8193" max="8193" width="8.7109375" style="226" bestFit="1" customWidth="1"/>
    <col min="8194" max="8194" width="13.28515625" style="226" customWidth="1"/>
    <col min="8195" max="8195" width="16.140625" style="226" bestFit="1" customWidth="1"/>
    <col min="8196" max="8196" width="23.5703125" style="226" customWidth="1"/>
    <col min="8197" max="8197" width="17.28515625" style="226" customWidth="1"/>
    <col min="8198" max="8198" width="20.5703125" style="226" bestFit="1" customWidth="1"/>
    <col min="8199" max="8199" width="17.140625" style="226" customWidth="1"/>
    <col min="8200" max="8200" width="21.85546875" style="226" bestFit="1" customWidth="1"/>
    <col min="8201" max="8201" width="17.140625" style="226" bestFit="1" customWidth="1"/>
    <col min="8202" max="8202" width="18.140625" style="226" bestFit="1" customWidth="1"/>
    <col min="8203" max="8203" width="26.42578125" style="226" customWidth="1"/>
    <col min="8204" max="8448" width="9.140625" style="226"/>
    <col min="8449" max="8449" width="8.7109375" style="226" bestFit="1" customWidth="1"/>
    <col min="8450" max="8450" width="13.28515625" style="226" customWidth="1"/>
    <col min="8451" max="8451" width="16.140625" style="226" bestFit="1" customWidth="1"/>
    <col min="8452" max="8452" width="23.5703125" style="226" customWidth="1"/>
    <col min="8453" max="8453" width="17.28515625" style="226" customWidth="1"/>
    <col min="8454" max="8454" width="20.5703125" style="226" bestFit="1" customWidth="1"/>
    <col min="8455" max="8455" width="17.140625" style="226" customWidth="1"/>
    <col min="8456" max="8456" width="21.85546875" style="226" bestFit="1" customWidth="1"/>
    <col min="8457" max="8457" width="17.140625" style="226" bestFit="1" customWidth="1"/>
    <col min="8458" max="8458" width="18.140625" style="226" bestFit="1" customWidth="1"/>
    <col min="8459" max="8459" width="26.42578125" style="226" customWidth="1"/>
    <col min="8460" max="8704" width="9.140625" style="226"/>
    <col min="8705" max="8705" width="8.7109375" style="226" bestFit="1" customWidth="1"/>
    <col min="8706" max="8706" width="13.28515625" style="226" customWidth="1"/>
    <col min="8707" max="8707" width="16.140625" style="226" bestFit="1" customWidth="1"/>
    <col min="8708" max="8708" width="23.5703125" style="226" customWidth="1"/>
    <col min="8709" max="8709" width="17.28515625" style="226" customWidth="1"/>
    <col min="8710" max="8710" width="20.5703125" style="226" bestFit="1" customWidth="1"/>
    <col min="8711" max="8711" width="17.140625" style="226" customWidth="1"/>
    <col min="8712" max="8712" width="21.85546875" style="226" bestFit="1" customWidth="1"/>
    <col min="8713" max="8713" width="17.140625" style="226" bestFit="1" customWidth="1"/>
    <col min="8714" max="8714" width="18.140625" style="226" bestFit="1" customWidth="1"/>
    <col min="8715" max="8715" width="26.42578125" style="226" customWidth="1"/>
    <col min="8716" max="8960" width="9.140625" style="226"/>
    <col min="8961" max="8961" width="8.7109375" style="226" bestFit="1" customWidth="1"/>
    <col min="8962" max="8962" width="13.28515625" style="226" customWidth="1"/>
    <col min="8963" max="8963" width="16.140625" style="226" bestFit="1" customWidth="1"/>
    <col min="8964" max="8964" width="23.5703125" style="226" customWidth="1"/>
    <col min="8965" max="8965" width="17.28515625" style="226" customWidth="1"/>
    <col min="8966" max="8966" width="20.5703125" style="226" bestFit="1" customWidth="1"/>
    <col min="8967" max="8967" width="17.140625" style="226" customWidth="1"/>
    <col min="8968" max="8968" width="21.85546875" style="226" bestFit="1" customWidth="1"/>
    <col min="8969" max="8969" width="17.140625" style="226" bestFit="1" customWidth="1"/>
    <col min="8970" max="8970" width="18.140625" style="226" bestFit="1" customWidth="1"/>
    <col min="8971" max="8971" width="26.42578125" style="226" customWidth="1"/>
    <col min="8972" max="9216" width="9.140625" style="226"/>
    <col min="9217" max="9217" width="8.7109375" style="226" bestFit="1" customWidth="1"/>
    <col min="9218" max="9218" width="13.28515625" style="226" customWidth="1"/>
    <col min="9219" max="9219" width="16.140625" style="226" bestFit="1" customWidth="1"/>
    <col min="9220" max="9220" width="23.5703125" style="226" customWidth="1"/>
    <col min="9221" max="9221" width="17.28515625" style="226" customWidth="1"/>
    <col min="9222" max="9222" width="20.5703125" style="226" bestFit="1" customWidth="1"/>
    <col min="9223" max="9223" width="17.140625" style="226" customWidth="1"/>
    <col min="9224" max="9224" width="21.85546875" style="226" bestFit="1" customWidth="1"/>
    <col min="9225" max="9225" width="17.140625" style="226" bestFit="1" customWidth="1"/>
    <col min="9226" max="9226" width="18.140625" style="226" bestFit="1" customWidth="1"/>
    <col min="9227" max="9227" width="26.42578125" style="226" customWidth="1"/>
    <col min="9228" max="9472" width="9.140625" style="226"/>
    <col min="9473" max="9473" width="8.7109375" style="226" bestFit="1" customWidth="1"/>
    <col min="9474" max="9474" width="13.28515625" style="226" customWidth="1"/>
    <col min="9475" max="9475" width="16.140625" style="226" bestFit="1" customWidth="1"/>
    <col min="9476" max="9476" width="23.5703125" style="226" customWidth="1"/>
    <col min="9477" max="9477" width="17.28515625" style="226" customWidth="1"/>
    <col min="9478" max="9478" width="20.5703125" style="226" bestFit="1" customWidth="1"/>
    <col min="9479" max="9479" width="17.140625" style="226" customWidth="1"/>
    <col min="9480" max="9480" width="21.85546875" style="226" bestFit="1" customWidth="1"/>
    <col min="9481" max="9481" width="17.140625" style="226" bestFit="1" customWidth="1"/>
    <col min="9482" max="9482" width="18.140625" style="226" bestFit="1" customWidth="1"/>
    <col min="9483" max="9483" width="26.42578125" style="226" customWidth="1"/>
    <col min="9484" max="9728" width="9.140625" style="226"/>
    <col min="9729" max="9729" width="8.7109375" style="226" bestFit="1" customWidth="1"/>
    <col min="9730" max="9730" width="13.28515625" style="226" customWidth="1"/>
    <col min="9731" max="9731" width="16.140625" style="226" bestFit="1" customWidth="1"/>
    <col min="9732" max="9732" width="23.5703125" style="226" customWidth="1"/>
    <col min="9733" max="9733" width="17.28515625" style="226" customWidth="1"/>
    <col min="9734" max="9734" width="20.5703125" style="226" bestFit="1" customWidth="1"/>
    <col min="9735" max="9735" width="17.140625" style="226" customWidth="1"/>
    <col min="9736" max="9736" width="21.85546875" style="226" bestFit="1" customWidth="1"/>
    <col min="9737" max="9737" width="17.140625" style="226" bestFit="1" customWidth="1"/>
    <col min="9738" max="9738" width="18.140625" style="226" bestFit="1" customWidth="1"/>
    <col min="9739" max="9739" width="26.42578125" style="226" customWidth="1"/>
    <col min="9740" max="9984" width="9.140625" style="226"/>
    <col min="9985" max="9985" width="8.7109375" style="226" bestFit="1" customWidth="1"/>
    <col min="9986" max="9986" width="13.28515625" style="226" customWidth="1"/>
    <col min="9987" max="9987" width="16.140625" style="226" bestFit="1" customWidth="1"/>
    <col min="9988" max="9988" width="23.5703125" style="226" customWidth="1"/>
    <col min="9989" max="9989" width="17.28515625" style="226" customWidth="1"/>
    <col min="9990" max="9990" width="20.5703125" style="226" bestFit="1" customWidth="1"/>
    <col min="9991" max="9991" width="17.140625" style="226" customWidth="1"/>
    <col min="9992" max="9992" width="21.85546875" style="226" bestFit="1" customWidth="1"/>
    <col min="9993" max="9993" width="17.140625" style="226" bestFit="1" customWidth="1"/>
    <col min="9994" max="9994" width="18.140625" style="226" bestFit="1" customWidth="1"/>
    <col min="9995" max="9995" width="26.42578125" style="226" customWidth="1"/>
    <col min="9996" max="10240" width="9.140625" style="226"/>
    <col min="10241" max="10241" width="8.7109375" style="226" bestFit="1" customWidth="1"/>
    <col min="10242" max="10242" width="13.28515625" style="226" customWidth="1"/>
    <col min="10243" max="10243" width="16.140625" style="226" bestFit="1" customWidth="1"/>
    <col min="10244" max="10244" width="23.5703125" style="226" customWidth="1"/>
    <col min="10245" max="10245" width="17.28515625" style="226" customWidth="1"/>
    <col min="10246" max="10246" width="20.5703125" style="226" bestFit="1" customWidth="1"/>
    <col min="10247" max="10247" width="17.140625" style="226" customWidth="1"/>
    <col min="10248" max="10248" width="21.85546875" style="226" bestFit="1" customWidth="1"/>
    <col min="10249" max="10249" width="17.140625" style="226" bestFit="1" customWidth="1"/>
    <col min="10250" max="10250" width="18.140625" style="226" bestFit="1" customWidth="1"/>
    <col min="10251" max="10251" width="26.42578125" style="226" customWidth="1"/>
    <col min="10252" max="10496" width="9.140625" style="226"/>
    <col min="10497" max="10497" width="8.7109375" style="226" bestFit="1" customWidth="1"/>
    <col min="10498" max="10498" width="13.28515625" style="226" customWidth="1"/>
    <col min="10499" max="10499" width="16.140625" style="226" bestFit="1" customWidth="1"/>
    <col min="10500" max="10500" width="23.5703125" style="226" customWidth="1"/>
    <col min="10501" max="10501" width="17.28515625" style="226" customWidth="1"/>
    <col min="10502" max="10502" width="20.5703125" style="226" bestFit="1" customWidth="1"/>
    <col min="10503" max="10503" width="17.140625" style="226" customWidth="1"/>
    <col min="10504" max="10504" width="21.85546875" style="226" bestFit="1" customWidth="1"/>
    <col min="10505" max="10505" width="17.140625" style="226" bestFit="1" customWidth="1"/>
    <col min="10506" max="10506" width="18.140625" style="226" bestFit="1" customWidth="1"/>
    <col min="10507" max="10507" width="26.42578125" style="226" customWidth="1"/>
    <col min="10508" max="10752" width="9.140625" style="226"/>
    <col min="10753" max="10753" width="8.7109375" style="226" bestFit="1" customWidth="1"/>
    <col min="10754" max="10754" width="13.28515625" style="226" customWidth="1"/>
    <col min="10755" max="10755" width="16.140625" style="226" bestFit="1" customWidth="1"/>
    <col min="10756" max="10756" width="23.5703125" style="226" customWidth="1"/>
    <col min="10757" max="10757" width="17.28515625" style="226" customWidth="1"/>
    <col min="10758" max="10758" width="20.5703125" style="226" bestFit="1" customWidth="1"/>
    <col min="10759" max="10759" width="17.140625" style="226" customWidth="1"/>
    <col min="10760" max="10760" width="21.85546875" style="226" bestFit="1" customWidth="1"/>
    <col min="10761" max="10761" width="17.140625" style="226" bestFit="1" customWidth="1"/>
    <col min="10762" max="10762" width="18.140625" style="226" bestFit="1" customWidth="1"/>
    <col min="10763" max="10763" width="26.42578125" style="226" customWidth="1"/>
    <col min="10764" max="11008" width="9.140625" style="226"/>
    <col min="11009" max="11009" width="8.7109375" style="226" bestFit="1" customWidth="1"/>
    <col min="11010" max="11010" width="13.28515625" style="226" customWidth="1"/>
    <col min="11011" max="11011" width="16.140625" style="226" bestFit="1" customWidth="1"/>
    <col min="11012" max="11012" width="23.5703125" style="226" customWidth="1"/>
    <col min="11013" max="11013" width="17.28515625" style="226" customWidth="1"/>
    <col min="11014" max="11014" width="20.5703125" style="226" bestFit="1" customWidth="1"/>
    <col min="11015" max="11015" width="17.140625" style="226" customWidth="1"/>
    <col min="11016" max="11016" width="21.85546875" style="226" bestFit="1" customWidth="1"/>
    <col min="11017" max="11017" width="17.140625" style="226" bestFit="1" customWidth="1"/>
    <col min="11018" max="11018" width="18.140625" style="226" bestFit="1" customWidth="1"/>
    <col min="11019" max="11019" width="26.42578125" style="226" customWidth="1"/>
    <col min="11020" max="11264" width="9.140625" style="226"/>
    <col min="11265" max="11265" width="8.7109375" style="226" bestFit="1" customWidth="1"/>
    <col min="11266" max="11266" width="13.28515625" style="226" customWidth="1"/>
    <col min="11267" max="11267" width="16.140625" style="226" bestFit="1" customWidth="1"/>
    <col min="11268" max="11268" width="23.5703125" style="226" customWidth="1"/>
    <col min="11269" max="11269" width="17.28515625" style="226" customWidth="1"/>
    <col min="11270" max="11270" width="20.5703125" style="226" bestFit="1" customWidth="1"/>
    <col min="11271" max="11271" width="17.140625" style="226" customWidth="1"/>
    <col min="11272" max="11272" width="21.85546875" style="226" bestFit="1" customWidth="1"/>
    <col min="11273" max="11273" width="17.140625" style="226" bestFit="1" customWidth="1"/>
    <col min="11274" max="11274" width="18.140625" style="226" bestFit="1" customWidth="1"/>
    <col min="11275" max="11275" width="26.42578125" style="226" customWidth="1"/>
    <col min="11276" max="11520" width="9.140625" style="226"/>
    <col min="11521" max="11521" width="8.7109375" style="226" bestFit="1" customWidth="1"/>
    <col min="11522" max="11522" width="13.28515625" style="226" customWidth="1"/>
    <col min="11523" max="11523" width="16.140625" style="226" bestFit="1" customWidth="1"/>
    <col min="11524" max="11524" width="23.5703125" style="226" customWidth="1"/>
    <col min="11525" max="11525" width="17.28515625" style="226" customWidth="1"/>
    <col min="11526" max="11526" width="20.5703125" style="226" bestFit="1" customWidth="1"/>
    <col min="11527" max="11527" width="17.140625" style="226" customWidth="1"/>
    <col min="11528" max="11528" width="21.85546875" style="226" bestFit="1" customWidth="1"/>
    <col min="11529" max="11529" width="17.140625" style="226" bestFit="1" customWidth="1"/>
    <col min="11530" max="11530" width="18.140625" style="226" bestFit="1" customWidth="1"/>
    <col min="11531" max="11531" width="26.42578125" style="226" customWidth="1"/>
    <col min="11532" max="11776" width="9.140625" style="226"/>
    <col min="11777" max="11777" width="8.7109375" style="226" bestFit="1" customWidth="1"/>
    <col min="11778" max="11778" width="13.28515625" style="226" customWidth="1"/>
    <col min="11779" max="11779" width="16.140625" style="226" bestFit="1" customWidth="1"/>
    <col min="11780" max="11780" width="23.5703125" style="226" customWidth="1"/>
    <col min="11781" max="11781" width="17.28515625" style="226" customWidth="1"/>
    <col min="11782" max="11782" width="20.5703125" style="226" bestFit="1" customWidth="1"/>
    <col min="11783" max="11783" width="17.140625" style="226" customWidth="1"/>
    <col min="11784" max="11784" width="21.85546875" style="226" bestFit="1" customWidth="1"/>
    <col min="11785" max="11785" width="17.140625" style="226" bestFit="1" customWidth="1"/>
    <col min="11786" max="11786" width="18.140625" style="226" bestFit="1" customWidth="1"/>
    <col min="11787" max="11787" width="26.42578125" style="226" customWidth="1"/>
    <col min="11788" max="12032" width="9.140625" style="226"/>
    <col min="12033" max="12033" width="8.7109375" style="226" bestFit="1" customWidth="1"/>
    <col min="12034" max="12034" width="13.28515625" style="226" customWidth="1"/>
    <col min="12035" max="12035" width="16.140625" style="226" bestFit="1" customWidth="1"/>
    <col min="12036" max="12036" width="23.5703125" style="226" customWidth="1"/>
    <col min="12037" max="12037" width="17.28515625" style="226" customWidth="1"/>
    <col min="12038" max="12038" width="20.5703125" style="226" bestFit="1" customWidth="1"/>
    <col min="12039" max="12039" width="17.140625" style="226" customWidth="1"/>
    <col min="12040" max="12040" width="21.85546875" style="226" bestFit="1" customWidth="1"/>
    <col min="12041" max="12041" width="17.140625" style="226" bestFit="1" customWidth="1"/>
    <col min="12042" max="12042" width="18.140625" style="226" bestFit="1" customWidth="1"/>
    <col min="12043" max="12043" width="26.42578125" style="226" customWidth="1"/>
    <col min="12044" max="12288" width="9.140625" style="226"/>
    <col min="12289" max="12289" width="8.7109375" style="226" bestFit="1" customWidth="1"/>
    <col min="12290" max="12290" width="13.28515625" style="226" customWidth="1"/>
    <col min="12291" max="12291" width="16.140625" style="226" bestFit="1" customWidth="1"/>
    <col min="12292" max="12292" width="23.5703125" style="226" customWidth="1"/>
    <col min="12293" max="12293" width="17.28515625" style="226" customWidth="1"/>
    <col min="12294" max="12294" width="20.5703125" style="226" bestFit="1" customWidth="1"/>
    <col min="12295" max="12295" width="17.140625" style="226" customWidth="1"/>
    <col min="12296" max="12296" width="21.85546875" style="226" bestFit="1" customWidth="1"/>
    <col min="12297" max="12297" width="17.140625" style="226" bestFit="1" customWidth="1"/>
    <col min="12298" max="12298" width="18.140625" style="226" bestFit="1" customWidth="1"/>
    <col min="12299" max="12299" width="26.42578125" style="226" customWidth="1"/>
    <col min="12300" max="12544" width="9.140625" style="226"/>
    <col min="12545" max="12545" width="8.7109375" style="226" bestFit="1" customWidth="1"/>
    <col min="12546" max="12546" width="13.28515625" style="226" customWidth="1"/>
    <col min="12547" max="12547" width="16.140625" style="226" bestFit="1" customWidth="1"/>
    <col min="12548" max="12548" width="23.5703125" style="226" customWidth="1"/>
    <col min="12549" max="12549" width="17.28515625" style="226" customWidth="1"/>
    <col min="12550" max="12550" width="20.5703125" style="226" bestFit="1" customWidth="1"/>
    <col min="12551" max="12551" width="17.140625" style="226" customWidth="1"/>
    <col min="12552" max="12552" width="21.85546875" style="226" bestFit="1" customWidth="1"/>
    <col min="12553" max="12553" width="17.140625" style="226" bestFit="1" customWidth="1"/>
    <col min="12554" max="12554" width="18.140625" style="226" bestFit="1" customWidth="1"/>
    <col min="12555" max="12555" width="26.42578125" style="226" customWidth="1"/>
    <col min="12556" max="12800" width="9.140625" style="226"/>
    <col min="12801" max="12801" width="8.7109375" style="226" bestFit="1" customWidth="1"/>
    <col min="12802" max="12802" width="13.28515625" style="226" customWidth="1"/>
    <col min="12803" max="12803" width="16.140625" style="226" bestFit="1" customWidth="1"/>
    <col min="12804" max="12804" width="23.5703125" style="226" customWidth="1"/>
    <col min="12805" max="12805" width="17.28515625" style="226" customWidth="1"/>
    <col min="12806" max="12806" width="20.5703125" style="226" bestFit="1" customWidth="1"/>
    <col min="12807" max="12807" width="17.140625" style="226" customWidth="1"/>
    <col min="12808" max="12808" width="21.85546875" style="226" bestFit="1" customWidth="1"/>
    <col min="12809" max="12809" width="17.140625" style="226" bestFit="1" customWidth="1"/>
    <col min="12810" max="12810" width="18.140625" style="226" bestFit="1" customWidth="1"/>
    <col min="12811" max="12811" width="26.42578125" style="226" customWidth="1"/>
    <col min="12812" max="13056" width="9.140625" style="226"/>
    <col min="13057" max="13057" width="8.7109375" style="226" bestFit="1" customWidth="1"/>
    <col min="13058" max="13058" width="13.28515625" style="226" customWidth="1"/>
    <col min="13059" max="13059" width="16.140625" style="226" bestFit="1" customWidth="1"/>
    <col min="13060" max="13060" width="23.5703125" style="226" customWidth="1"/>
    <col min="13061" max="13061" width="17.28515625" style="226" customWidth="1"/>
    <col min="13062" max="13062" width="20.5703125" style="226" bestFit="1" customWidth="1"/>
    <col min="13063" max="13063" width="17.140625" style="226" customWidth="1"/>
    <col min="13064" max="13064" width="21.85546875" style="226" bestFit="1" customWidth="1"/>
    <col min="13065" max="13065" width="17.140625" style="226" bestFit="1" customWidth="1"/>
    <col min="13066" max="13066" width="18.140625" style="226" bestFit="1" customWidth="1"/>
    <col min="13067" max="13067" width="26.42578125" style="226" customWidth="1"/>
    <col min="13068" max="13312" width="9.140625" style="226"/>
    <col min="13313" max="13313" width="8.7109375" style="226" bestFit="1" customWidth="1"/>
    <col min="13314" max="13314" width="13.28515625" style="226" customWidth="1"/>
    <col min="13315" max="13315" width="16.140625" style="226" bestFit="1" customWidth="1"/>
    <col min="13316" max="13316" width="23.5703125" style="226" customWidth="1"/>
    <col min="13317" max="13317" width="17.28515625" style="226" customWidth="1"/>
    <col min="13318" max="13318" width="20.5703125" style="226" bestFit="1" customWidth="1"/>
    <col min="13319" max="13319" width="17.140625" style="226" customWidth="1"/>
    <col min="13320" max="13320" width="21.85546875" style="226" bestFit="1" customWidth="1"/>
    <col min="13321" max="13321" width="17.140625" style="226" bestFit="1" customWidth="1"/>
    <col min="13322" max="13322" width="18.140625" style="226" bestFit="1" customWidth="1"/>
    <col min="13323" max="13323" width="26.42578125" style="226" customWidth="1"/>
    <col min="13324" max="13568" width="9.140625" style="226"/>
    <col min="13569" max="13569" width="8.7109375" style="226" bestFit="1" customWidth="1"/>
    <col min="13570" max="13570" width="13.28515625" style="226" customWidth="1"/>
    <col min="13571" max="13571" width="16.140625" style="226" bestFit="1" customWidth="1"/>
    <col min="13572" max="13572" width="23.5703125" style="226" customWidth="1"/>
    <col min="13573" max="13573" width="17.28515625" style="226" customWidth="1"/>
    <col min="13574" max="13574" width="20.5703125" style="226" bestFit="1" customWidth="1"/>
    <col min="13575" max="13575" width="17.140625" style="226" customWidth="1"/>
    <col min="13576" max="13576" width="21.85546875" style="226" bestFit="1" customWidth="1"/>
    <col min="13577" max="13577" width="17.140625" style="226" bestFit="1" customWidth="1"/>
    <col min="13578" max="13578" width="18.140625" style="226" bestFit="1" customWidth="1"/>
    <col min="13579" max="13579" width="26.42578125" style="226" customWidth="1"/>
    <col min="13580" max="13824" width="9.140625" style="226"/>
    <col min="13825" max="13825" width="8.7109375" style="226" bestFit="1" customWidth="1"/>
    <col min="13826" max="13826" width="13.28515625" style="226" customWidth="1"/>
    <col min="13827" max="13827" width="16.140625" style="226" bestFit="1" customWidth="1"/>
    <col min="13828" max="13828" width="23.5703125" style="226" customWidth="1"/>
    <col min="13829" max="13829" width="17.28515625" style="226" customWidth="1"/>
    <col min="13830" max="13830" width="20.5703125" style="226" bestFit="1" customWidth="1"/>
    <col min="13831" max="13831" width="17.140625" style="226" customWidth="1"/>
    <col min="13832" max="13832" width="21.85546875" style="226" bestFit="1" customWidth="1"/>
    <col min="13833" max="13833" width="17.140625" style="226" bestFit="1" customWidth="1"/>
    <col min="13834" max="13834" width="18.140625" style="226" bestFit="1" customWidth="1"/>
    <col min="13835" max="13835" width="26.42578125" style="226" customWidth="1"/>
    <col min="13836" max="14080" width="9.140625" style="226"/>
    <col min="14081" max="14081" width="8.7109375" style="226" bestFit="1" customWidth="1"/>
    <col min="14082" max="14082" width="13.28515625" style="226" customWidth="1"/>
    <col min="14083" max="14083" width="16.140625" style="226" bestFit="1" customWidth="1"/>
    <col min="14084" max="14084" width="23.5703125" style="226" customWidth="1"/>
    <col min="14085" max="14085" width="17.28515625" style="226" customWidth="1"/>
    <col min="14086" max="14086" width="20.5703125" style="226" bestFit="1" customWidth="1"/>
    <col min="14087" max="14087" width="17.140625" style="226" customWidth="1"/>
    <col min="14088" max="14088" width="21.85546875" style="226" bestFit="1" customWidth="1"/>
    <col min="14089" max="14089" width="17.140625" style="226" bestFit="1" customWidth="1"/>
    <col min="14090" max="14090" width="18.140625" style="226" bestFit="1" customWidth="1"/>
    <col min="14091" max="14091" width="26.42578125" style="226" customWidth="1"/>
    <col min="14092" max="14336" width="9.140625" style="226"/>
    <col min="14337" max="14337" width="8.7109375" style="226" bestFit="1" customWidth="1"/>
    <col min="14338" max="14338" width="13.28515625" style="226" customWidth="1"/>
    <col min="14339" max="14339" width="16.140625" style="226" bestFit="1" customWidth="1"/>
    <col min="14340" max="14340" width="23.5703125" style="226" customWidth="1"/>
    <col min="14341" max="14341" width="17.28515625" style="226" customWidth="1"/>
    <col min="14342" max="14342" width="20.5703125" style="226" bestFit="1" customWidth="1"/>
    <col min="14343" max="14343" width="17.140625" style="226" customWidth="1"/>
    <col min="14344" max="14344" width="21.85546875" style="226" bestFit="1" customWidth="1"/>
    <col min="14345" max="14345" width="17.140625" style="226" bestFit="1" customWidth="1"/>
    <col min="14346" max="14346" width="18.140625" style="226" bestFit="1" customWidth="1"/>
    <col min="14347" max="14347" width="26.42578125" style="226" customWidth="1"/>
    <col min="14348" max="14592" width="9.140625" style="226"/>
    <col min="14593" max="14593" width="8.7109375" style="226" bestFit="1" customWidth="1"/>
    <col min="14594" max="14594" width="13.28515625" style="226" customWidth="1"/>
    <col min="14595" max="14595" width="16.140625" style="226" bestFit="1" customWidth="1"/>
    <col min="14596" max="14596" width="23.5703125" style="226" customWidth="1"/>
    <col min="14597" max="14597" width="17.28515625" style="226" customWidth="1"/>
    <col min="14598" max="14598" width="20.5703125" style="226" bestFit="1" customWidth="1"/>
    <col min="14599" max="14599" width="17.140625" style="226" customWidth="1"/>
    <col min="14600" max="14600" width="21.85546875" style="226" bestFit="1" customWidth="1"/>
    <col min="14601" max="14601" width="17.140625" style="226" bestFit="1" customWidth="1"/>
    <col min="14602" max="14602" width="18.140625" style="226" bestFit="1" customWidth="1"/>
    <col min="14603" max="14603" width="26.42578125" style="226" customWidth="1"/>
    <col min="14604" max="14848" width="9.140625" style="226"/>
    <col min="14849" max="14849" width="8.7109375" style="226" bestFit="1" customWidth="1"/>
    <col min="14850" max="14850" width="13.28515625" style="226" customWidth="1"/>
    <col min="14851" max="14851" width="16.140625" style="226" bestFit="1" customWidth="1"/>
    <col min="14852" max="14852" width="23.5703125" style="226" customWidth="1"/>
    <col min="14853" max="14853" width="17.28515625" style="226" customWidth="1"/>
    <col min="14854" max="14854" width="20.5703125" style="226" bestFit="1" customWidth="1"/>
    <col min="14855" max="14855" width="17.140625" style="226" customWidth="1"/>
    <col min="14856" max="14856" width="21.85546875" style="226" bestFit="1" customWidth="1"/>
    <col min="14857" max="14857" width="17.140625" style="226" bestFit="1" customWidth="1"/>
    <col min="14858" max="14858" width="18.140625" style="226" bestFit="1" customWidth="1"/>
    <col min="14859" max="14859" width="26.42578125" style="226" customWidth="1"/>
    <col min="14860" max="15104" width="9.140625" style="226"/>
    <col min="15105" max="15105" width="8.7109375" style="226" bestFit="1" customWidth="1"/>
    <col min="15106" max="15106" width="13.28515625" style="226" customWidth="1"/>
    <col min="15107" max="15107" width="16.140625" style="226" bestFit="1" customWidth="1"/>
    <col min="15108" max="15108" width="23.5703125" style="226" customWidth="1"/>
    <col min="15109" max="15109" width="17.28515625" style="226" customWidth="1"/>
    <col min="15110" max="15110" width="20.5703125" style="226" bestFit="1" customWidth="1"/>
    <col min="15111" max="15111" width="17.140625" style="226" customWidth="1"/>
    <col min="15112" max="15112" width="21.85546875" style="226" bestFit="1" customWidth="1"/>
    <col min="15113" max="15113" width="17.140625" style="226" bestFit="1" customWidth="1"/>
    <col min="15114" max="15114" width="18.140625" style="226" bestFit="1" customWidth="1"/>
    <col min="15115" max="15115" width="26.42578125" style="226" customWidth="1"/>
    <col min="15116" max="15360" width="9.140625" style="226"/>
    <col min="15361" max="15361" width="8.7109375" style="226" bestFit="1" customWidth="1"/>
    <col min="15362" max="15362" width="13.28515625" style="226" customWidth="1"/>
    <col min="15363" max="15363" width="16.140625" style="226" bestFit="1" customWidth="1"/>
    <col min="15364" max="15364" width="23.5703125" style="226" customWidth="1"/>
    <col min="15365" max="15365" width="17.28515625" style="226" customWidth="1"/>
    <col min="15366" max="15366" width="20.5703125" style="226" bestFit="1" customWidth="1"/>
    <col min="15367" max="15367" width="17.140625" style="226" customWidth="1"/>
    <col min="15368" max="15368" width="21.85546875" style="226" bestFit="1" customWidth="1"/>
    <col min="15369" max="15369" width="17.140625" style="226" bestFit="1" customWidth="1"/>
    <col min="15370" max="15370" width="18.140625" style="226" bestFit="1" customWidth="1"/>
    <col min="15371" max="15371" width="26.42578125" style="226" customWidth="1"/>
    <col min="15372" max="15616" width="9.140625" style="226"/>
    <col min="15617" max="15617" width="8.7109375" style="226" bestFit="1" customWidth="1"/>
    <col min="15618" max="15618" width="13.28515625" style="226" customWidth="1"/>
    <col min="15619" max="15619" width="16.140625" style="226" bestFit="1" customWidth="1"/>
    <col min="15620" max="15620" width="23.5703125" style="226" customWidth="1"/>
    <col min="15621" max="15621" width="17.28515625" style="226" customWidth="1"/>
    <col min="15622" max="15622" width="20.5703125" style="226" bestFit="1" customWidth="1"/>
    <col min="15623" max="15623" width="17.140625" style="226" customWidth="1"/>
    <col min="15624" max="15624" width="21.85546875" style="226" bestFit="1" customWidth="1"/>
    <col min="15625" max="15625" width="17.140625" style="226" bestFit="1" customWidth="1"/>
    <col min="15626" max="15626" width="18.140625" style="226" bestFit="1" customWidth="1"/>
    <col min="15627" max="15627" width="26.42578125" style="226" customWidth="1"/>
    <col min="15628" max="15872" width="9.140625" style="226"/>
    <col min="15873" max="15873" width="8.7109375" style="226" bestFit="1" customWidth="1"/>
    <col min="15874" max="15874" width="13.28515625" style="226" customWidth="1"/>
    <col min="15875" max="15875" width="16.140625" style="226" bestFit="1" customWidth="1"/>
    <col min="15876" max="15876" width="23.5703125" style="226" customWidth="1"/>
    <col min="15877" max="15877" width="17.28515625" style="226" customWidth="1"/>
    <col min="15878" max="15878" width="20.5703125" style="226" bestFit="1" customWidth="1"/>
    <col min="15879" max="15879" width="17.140625" style="226" customWidth="1"/>
    <col min="15880" max="15880" width="21.85546875" style="226" bestFit="1" customWidth="1"/>
    <col min="15881" max="15881" width="17.140625" style="226" bestFit="1" customWidth="1"/>
    <col min="15882" max="15882" width="18.140625" style="226" bestFit="1" customWidth="1"/>
    <col min="15883" max="15883" width="26.42578125" style="226" customWidth="1"/>
    <col min="15884" max="16128" width="9.140625" style="226"/>
    <col min="16129" max="16129" width="8.7109375" style="226" bestFit="1" customWidth="1"/>
    <col min="16130" max="16130" width="13.28515625" style="226" customWidth="1"/>
    <col min="16131" max="16131" width="16.140625" style="226" bestFit="1" customWidth="1"/>
    <col min="16132" max="16132" width="23.5703125" style="226" customWidth="1"/>
    <col min="16133" max="16133" width="17.28515625" style="226" customWidth="1"/>
    <col min="16134" max="16134" width="20.5703125" style="226" bestFit="1" customWidth="1"/>
    <col min="16135" max="16135" width="17.140625" style="226" customWidth="1"/>
    <col min="16136" max="16136" width="21.85546875" style="226" bestFit="1" customWidth="1"/>
    <col min="16137" max="16137" width="17.140625" style="226" bestFit="1" customWidth="1"/>
    <col min="16138" max="16138" width="18.140625" style="226" bestFit="1" customWidth="1"/>
    <col min="16139" max="16139" width="26.42578125" style="226" customWidth="1"/>
    <col min="16140" max="16384" width="9.140625" style="226"/>
  </cols>
  <sheetData>
    <row r="1" spans="13:13" s="262" customFormat="1" x14ac:dyDescent="0.2">
      <c r="M1" s="263"/>
    </row>
    <row r="2" spans="13:13" s="262" customFormat="1" x14ac:dyDescent="0.2">
      <c r="M2" s="263"/>
    </row>
    <row r="3" spans="13:13" s="262" customFormat="1" x14ac:dyDescent="0.2">
      <c r="M3" s="263"/>
    </row>
    <row r="4" spans="13:13" s="262" customFormat="1" x14ac:dyDescent="0.2">
      <c r="M4" s="263"/>
    </row>
    <row r="5" spans="13:13" s="262" customFormat="1" x14ac:dyDescent="0.2">
      <c r="M5" s="263"/>
    </row>
    <row r="6" spans="13:13" s="262" customFormat="1" x14ac:dyDescent="0.2">
      <c r="M6" s="263"/>
    </row>
    <row r="7" spans="13:13" s="262" customFormat="1" x14ac:dyDescent="0.2">
      <c r="M7" s="263"/>
    </row>
    <row r="8" spans="13:13" s="262" customFormat="1" x14ac:dyDescent="0.2">
      <c r="M8" s="263"/>
    </row>
    <row r="9" spans="13:13" s="262" customFormat="1" x14ac:dyDescent="0.2">
      <c r="M9" s="263"/>
    </row>
    <row r="10" spans="13:13" s="262" customFormat="1" x14ac:dyDescent="0.2">
      <c r="M10" s="263"/>
    </row>
    <row r="11" spans="13:13" s="262" customFormat="1" x14ac:dyDescent="0.2">
      <c r="M11" s="263"/>
    </row>
    <row r="12" spans="13:13" s="262" customFormat="1" x14ac:dyDescent="0.2">
      <c r="M12" s="263"/>
    </row>
    <row r="13" spans="13:13" s="262" customFormat="1" x14ac:dyDescent="0.2">
      <c r="M13" s="263"/>
    </row>
    <row r="14" spans="13:13" s="262" customFormat="1" x14ac:dyDescent="0.2">
      <c r="M14" s="263"/>
    </row>
    <row r="15" spans="13:13" s="262" customFormat="1" x14ac:dyDescent="0.2">
      <c r="M15" s="263"/>
    </row>
    <row r="16" spans="13:13" s="262" customFormat="1" x14ac:dyDescent="0.2">
      <c r="M16" s="263"/>
    </row>
    <row r="17" spans="13:13" s="262" customFormat="1" x14ac:dyDescent="0.2">
      <c r="M17" s="263"/>
    </row>
    <row r="18" spans="13:13" s="262" customFormat="1" x14ac:dyDescent="0.2">
      <c r="M18" s="263"/>
    </row>
    <row r="19" spans="13:13" s="262" customFormat="1" x14ac:dyDescent="0.2">
      <c r="M19" s="263"/>
    </row>
    <row r="20" spans="13:13" s="262" customFormat="1" x14ac:dyDescent="0.2">
      <c r="M20" s="263"/>
    </row>
    <row r="21" spans="13:13" s="262" customFormat="1" x14ac:dyDescent="0.2">
      <c r="M21" s="263"/>
    </row>
    <row r="22" spans="13:13" s="262" customFormat="1" x14ac:dyDescent="0.2">
      <c r="M22" s="263"/>
    </row>
    <row r="23" spans="13:13" s="262" customFormat="1" x14ac:dyDescent="0.2">
      <c r="M23" s="263"/>
    </row>
    <row r="24" spans="13:13" s="262" customFormat="1" x14ac:dyDescent="0.2">
      <c r="M24" s="263"/>
    </row>
    <row r="25" spans="13:13" s="262" customFormat="1" x14ac:dyDescent="0.2">
      <c r="M25" s="263"/>
    </row>
    <row r="26" spans="13:13" s="262" customFormat="1" x14ac:dyDescent="0.2">
      <c r="M26" s="263"/>
    </row>
    <row r="27" spans="13:13" s="262" customFormat="1" x14ac:dyDescent="0.2">
      <c r="M27" s="263"/>
    </row>
    <row r="28" spans="13:13" s="262" customFormat="1" x14ac:dyDescent="0.2">
      <c r="M28" s="263"/>
    </row>
    <row r="29" spans="13:13" s="262" customFormat="1" x14ac:dyDescent="0.2">
      <c r="M29" s="263"/>
    </row>
    <row r="30" spans="13:13" s="262" customFormat="1" x14ac:dyDescent="0.2">
      <c r="M30" s="263"/>
    </row>
    <row r="31" spans="13:13" s="262" customFormat="1" x14ac:dyDescent="0.2">
      <c r="M31" s="263"/>
    </row>
    <row r="32" spans="13:13" s="262" customFormat="1" x14ac:dyDescent="0.2">
      <c r="M32" s="263"/>
    </row>
    <row r="33" spans="1:13" s="262" customFormat="1" x14ac:dyDescent="0.2">
      <c r="M33" s="263"/>
    </row>
    <row r="34" spans="1:13" s="262" customFormat="1" x14ac:dyDescent="0.2">
      <c r="M34" s="263"/>
    </row>
    <row r="35" spans="1:13" s="262" customFormat="1" x14ac:dyDescent="0.2">
      <c r="M35" s="263"/>
    </row>
    <row r="36" spans="1:13" s="262" customFormat="1" x14ac:dyDescent="0.2">
      <c r="M36" s="263"/>
    </row>
    <row r="37" spans="1:13" s="262" customFormat="1" x14ac:dyDescent="0.2">
      <c r="M37" s="263"/>
    </row>
    <row r="38" spans="1:13" s="262" customFormat="1" x14ac:dyDescent="0.2">
      <c r="M38" s="263"/>
    </row>
    <row r="39" spans="1:13" s="262" customFormat="1" x14ac:dyDescent="0.2">
      <c r="M39" s="263"/>
    </row>
    <row r="40" spans="1:13" s="262" customFormat="1" x14ac:dyDescent="0.2">
      <c r="M40" s="263"/>
    </row>
    <row r="41" spans="1:13" s="262" customFormat="1" x14ac:dyDescent="0.2">
      <c r="M41" s="263"/>
    </row>
    <row r="42" spans="1:13" s="262" customFormat="1" x14ac:dyDescent="0.2">
      <c r="M42" s="263"/>
    </row>
    <row r="43" spans="1:13" s="262" customFormat="1" x14ac:dyDescent="0.2">
      <c r="M43" s="263"/>
    </row>
    <row r="44" spans="1:13" s="262" customFormat="1" ht="15.75" customHeight="1" x14ac:dyDescent="0.2"/>
    <row r="45" spans="1:13" s="262" customFormat="1" ht="23.25" customHeight="1" x14ac:dyDescent="0.2">
      <c r="B45" s="262" t="s">
        <v>949</v>
      </c>
    </row>
    <row r="46" spans="1:13" s="262" customFormat="1" ht="24.75" customHeight="1" x14ac:dyDescent="0.25">
      <c r="A46" s="267" t="str">
        <f>"VIN = "&amp;VIN_min&amp;" V to "&amp;VIN_max&amp;" V, VOUT = "&amp; Vout &amp;" V, IOUT = " &amp;Iout &amp; " A,  Fsw = " &amp; Fsw/1000 &amp;" kHz, Current Limit = "&amp;ROUNDUP(Ilimit_DC,0)&amp;" A"</f>
        <v>VIN = 5 V to 24 V, VOUT = 12 V, IOUT = 6 A,  Fsw = 224 kHz, Current Limit = 8 A</v>
      </c>
    </row>
    <row r="47" spans="1:13" ht="24.75" customHeight="1" thickBot="1" x14ac:dyDescent="0.25">
      <c r="A47" s="228" t="s">
        <v>660</v>
      </c>
    </row>
    <row r="48" spans="1:13" ht="18" customHeight="1" x14ac:dyDescent="0.2">
      <c r="A48" s="533" t="s">
        <v>326</v>
      </c>
      <c r="B48" s="534" t="s">
        <v>325</v>
      </c>
      <c r="C48" s="534" t="s">
        <v>8</v>
      </c>
      <c r="D48" s="652" t="s">
        <v>111</v>
      </c>
      <c r="E48" s="653"/>
      <c r="F48" s="653"/>
      <c r="G48" s="654"/>
      <c r="H48" s="535" t="s">
        <v>312</v>
      </c>
      <c r="I48" s="535" t="s">
        <v>190</v>
      </c>
      <c r="J48" s="535" t="s">
        <v>313</v>
      </c>
      <c r="L48" s="227"/>
      <c r="M48" s="226"/>
    </row>
    <row r="49" spans="1:12" s="233" customFormat="1" ht="15.75" customHeight="1" x14ac:dyDescent="0.2">
      <c r="A49" s="230">
        <v>2</v>
      </c>
      <c r="B49" s="231" t="s">
        <v>673</v>
      </c>
      <c r="C49" s="245">
        <v>0.1</v>
      </c>
      <c r="D49" s="634">
        <f t="shared" ref="D49:D59" si="0">C49</f>
        <v>0.1</v>
      </c>
      <c r="E49" s="635"/>
      <c r="F49" s="635"/>
      <c r="G49" s="246"/>
      <c r="H49" s="247" t="s">
        <v>317</v>
      </c>
      <c r="I49" s="232" t="s">
        <v>314</v>
      </c>
      <c r="J49" s="232" t="s">
        <v>314</v>
      </c>
      <c r="L49" s="234"/>
    </row>
    <row r="50" spans="1:12" s="233" customFormat="1" ht="15.75" x14ac:dyDescent="0.2">
      <c r="A50" s="229">
        <v>1</v>
      </c>
      <c r="B50" s="248" t="s">
        <v>318</v>
      </c>
      <c r="C50" s="257">
        <f>'Design Converter'!D79</f>
        <v>2.7</v>
      </c>
      <c r="D50" s="636">
        <f t="shared" si="0"/>
        <v>2.7</v>
      </c>
      <c r="E50" s="637"/>
      <c r="F50" s="637"/>
      <c r="G50" s="250"/>
      <c r="H50" s="251" t="s">
        <v>317</v>
      </c>
      <c r="I50" s="252" t="s">
        <v>314</v>
      </c>
      <c r="J50" s="252" t="s">
        <v>314</v>
      </c>
      <c r="L50" s="234"/>
    </row>
    <row r="51" spans="1:12" s="233" customFormat="1" ht="15.75" x14ac:dyDescent="0.2">
      <c r="A51" s="229">
        <v>1</v>
      </c>
      <c r="B51" s="248" t="s">
        <v>319</v>
      </c>
      <c r="C51" s="249">
        <f>'Design Converter'!D80</f>
        <v>10</v>
      </c>
      <c r="D51" s="642">
        <f t="shared" si="0"/>
        <v>10</v>
      </c>
      <c r="E51" s="643"/>
      <c r="F51" s="643"/>
      <c r="G51" s="250"/>
      <c r="H51" s="251" t="s">
        <v>317</v>
      </c>
      <c r="I51" s="252" t="s">
        <v>314</v>
      </c>
      <c r="J51" s="252" t="s">
        <v>314</v>
      </c>
      <c r="L51" s="234"/>
    </row>
    <row r="52" spans="1:12" s="233" customFormat="1" ht="15.75" x14ac:dyDescent="0.2">
      <c r="A52" s="229">
        <v>1</v>
      </c>
      <c r="B52" s="248" t="s">
        <v>665</v>
      </c>
      <c r="C52" s="249">
        <f>Cslope</f>
        <v>150</v>
      </c>
      <c r="D52" s="642">
        <f t="shared" si="0"/>
        <v>150</v>
      </c>
      <c r="E52" s="643"/>
      <c r="F52" s="643"/>
      <c r="G52" s="250"/>
      <c r="H52" s="251" t="s">
        <v>317</v>
      </c>
      <c r="I52" s="252" t="s">
        <v>314</v>
      </c>
      <c r="J52" s="252" t="s">
        <v>314</v>
      </c>
      <c r="L52" s="234"/>
    </row>
    <row r="53" spans="1:12" s="233" customFormat="1" ht="15.75" x14ac:dyDescent="0.2">
      <c r="A53" s="240">
        <v>1</v>
      </c>
      <c r="B53" s="241" t="s">
        <v>320</v>
      </c>
      <c r="C53" s="253">
        <v>100</v>
      </c>
      <c r="D53" s="644">
        <f>C53</f>
        <v>100</v>
      </c>
      <c r="E53" s="645"/>
      <c r="F53" s="645"/>
      <c r="G53" s="254"/>
      <c r="H53" s="243" t="s">
        <v>317</v>
      </c>
      <c r="I53" s="244" t="s">
        <v>314</v>
      </c>
      <c r="J53" s="244" t="s">
        <v>314</v>
      </c>
      <c r="L53" s="234"/>
    </row>
    <row r="54" spans="1:12" s="233" customFormat="1" ht="15.75" x14ac:dyDescent="0.2">
      <c r="A54" s="235">
        <v>1</v>
      </c>
      <c r="B54" s="236" t="s">
        <v>672</v>
      </c>
      <c r="C54" s="481">
        <f>Cdither*1000000000</f>
        <v>8.2000000000000011</v>
      </c>
      <c r="D54" s="655">
        <f>C54</f>
        <v>8.2000000000000011</v>
      </c>
      <c r="E54" s="656"/>
      <c r="F54" s="656"/>
      <c r="G54" s="482"/>
      <c r="H54" s="238" t="s">
        <v>317</v>
      </c>
      <c r="I54" s="239" t="s">
        <v>314</v>
      </c>
      <c r="J54" s="239" t="s">
        <v>314</v>
      </c>
      <c r="L54" s="234"/>
    </row>
    <row r="55" spans="1:12" s="233" customFormat="1" ht="15.75" x14ac:dyDescent="0.2">
      <c r="A55" s="229">
        <f>ROUNDUP('Design Converter'!E51/10,0)</f>
        <v>10</v>
      </c>
      <c r="B55" s="248" t="s">
        <v>321</v>
      </c>
      <c r="C55" s="256">
        <v>10</v>
      </c>
      <c r="D55" s="648">
        <f>C55</f>
        <v>10</v>
      </c>
      <c r="E55" s="649"/>
      <c r="F55" s="649"/>
      <c r="G55" s="250"/>
      <c r="H55" s="251">
        <v>1210</v>
      </c>
      <c r="I55" s="252" t="s">
        <v>314</v>
      </c>
      <c r="J55" s="252" t="s">
        <v>314</v>
      </c>
      <c r="L55" s="234"/>
    </row>
    <row r="56" spans="1:12" s="233" customFormat="1" ht="15.75" x14ac:dyDescent="0.2">
      <c r="A56" s="229">
        <f>ROUNDUP('Design Converter'!E42/22,0)</f>
        <v>13</v>
      </c>
      <c r="B56" s="248" t="s">
        <v>322</v>
      </c>
      <c r="C56" s="256">
        <v>22</v>
      </c>
      <c r="D56" s="638">
        <f>C56</f>
        <v>22</v>
      </c>
      <c r="E56" s="639"/>
      <c r="F56" s="639"/>
      <c r="G56" s="250"/>
      <c r="H56" s="251">
        <v>1210</v>
      </c>
      <c r="I56" s="252" t="s">
        <v>314</v>
      </c>
      <c r="J56" s="252" t="s">
        <v>314</v>
      </c>
      <c r="L56" s="234"/>
    </row>
    <row r="57" spans="1:12" s="233" customFormat="1" ht="15.75" x14ac:dyDescent="0.2">
      <c r="A57" s="229">
        <v>1</v>
      </c>
      <c r="B57" s="248" t="s">
        <v>323</v>
      </c>
      <c r="C57" s="257">
        <f>'Design Converter'!E59</f>
        <v>100</v>
      </c>
      <c r="D57" s="636">
        <f>C57</f>
        <v>100</v>
      </c>
      <c r="E57" s="637"/>
      <c r="F57" s="637"/>
      <c r="G57" s="250"/>
      <c r="H57" s="251" t="s">
        <v>317</v>
      </c>
      <c r="I57" s="252" t="s">
        <v>314</v>
      </c>
      <c r="J57" s="252" t="s">
        <v>314</v>
      </c>
      <c r="L57" s="234"/>
    </row>
    <row r="58" spans="1:12" s="233" customFormat="1" ht="15.75" x14ac:dyDescent="0.2">
      <c r="A58" s="240">
        <v>1</v>
      </c>
      <c r="B58" s="241" t="s">
        <v>674</v>
      </c>
      <c r="C58" s="255">
        <v>1</v>
      </c>
      <c r="D58" s="646">
        <f t="shared" si="0"/>
        <v>1</v>
      </c>
      <c r="E58" s="647"/>
      <c r="F58" s="647"/>
      <c r="G58" s="254"/>
      <c r="H58" s="243" t="s">
        <v>317</v>
      </c>
      <c r="I58" s="244" t="s">
        <v>314</v>
      </c>
      <c r="J58" s="244" t="s">
        <v>314</v>
      </c>
      <c r="L58" s="234"/>
    </row>
    <row r="59" spans="1:12" s="233" customFormat="1" ht="15.75" x14ac:dyDescent="0.2">
      <c r="A59" s="240">
        <v>1</v>
      </c>
      <c r="B59" s="241" t="s">
        <v>324</v>
      </c>
      <c r="C59" s="255">
        <v>0.1</v>
      </c>
      <c r="D59" s="640">
        <f t="shared" si="0"/>
        <v>0.1</v>
      </c>
      <c r="E59" s="641"/>
      <c r="F59" s="641"/>
      <c r="G59" s="254"/>
      <c r="H59" s="243" t="s">
        <v>317</v>
      </c>
      <c r="I59" s="244" t="s">
        <v>314</v>
      </c>
      <c r="J59" s="244" t="s">
        <v>314</v>
      </c>
      <c r="L59" s="234"/>
    </row>
    <row r="60" spans="1:12" s="233" customFormat="1" ht="15.75" customHeight="1" x14ac:dyDescent="0.2">
      <c r="A60" s="240">
        <v>3</v>
      </c>
      <c r="B60" s="241" t="s">
        <v>671</v>
      </c>
      <c r="C60" s="258" t="s">
        <v>315</v>
      </c>
      <c r="D60" s="650" t="s">
        <v>670</v>
      </c>
      <c r="E60" s="651"/>
      <c r="F60" s="651"/>
      <c r="G60" s="254"/>
      <c r="H60" s="259" t="s">
        <v>328</v>
      </c>
      <c r="I60" s="244" t="s">
        <v>328</v>
      </c>
      <c r="J60" s="244" t="s">
        <v>327</v>
      </c>
      <c r="L60" s="234"/>
    </row>
    <row r="61" spans="1:12" s="233" customFormat="1" ht="15.75" x14ac:dyDescent="0.2">
      <c r="A61" s="229">
        <v>1</v>
      </c>
      <c r="B61" s="248" t="s">
        <v>666</v>
      </c>
      <c r="C61" s="260">
        <f>'Design Converter'!E16</f>
        <v>4.7</v>
      </c>
      <c r="D61" s="666" t="str">
        <f>"Inductor, "&amp;Lf*1000000&amp;"µH, "&amp;Rdcr*1000&amp;"mΩ, &gt;"&amp;ROUNDUP(IL_peak_OCP*1.1,0)&amp;"A"</f>
        <v>Inductor, 4.7µH, 6mΩ, &gt;22A</v>
      </c>
      <c r="E61" s="667"/>
      <c r="F61" s="667"/>
      <c r="G61" s="668"/>
      <c r="H61" s="252" t="s">
        <v>328</v>
      </c>
      <c r="I61" s="252" t="s">
        <v>328</v>
      </c>
      <c r="J61" s="252" t="s">
        <v>327</v>
      </c>
      <c r="L61" s="234"/>
    </row>
    <row r="62" spans="1:12" s="233" customFormat="1" ht="15.75" x14ac:dyDescent="0.2">
      <c r="A62" s="240">
        <v>2</v>
      </c>
      <c r="B62" s="241" t="s">
        <v>769</v>
      </c>
      <c r="C62" s="258" t="s">
        <v>315</v>
      </c>
      <c r="D62" s="660">
        <f>'Design Converter'!E87</f>
        <v>5.7</v>
      </c>
      <c r="E62" s="661"/>
      <c r="F62" s="661"/>
      <c r="G62" s="662"/>
      <c r="H62" s="244" t="s">
        <v>314</v>
      </c>
      <c r="I62" s="244" t="str">
        <f>'Design Converter'!E85</f>
        <v>CSD18563Q5A</v>
      </c>
      <c r="J62" s="244" t="s">
        <v>328</v>
      </c>
      <c r="L62" s="234"/>
    </row>
    <row r="63" spans="1:12" s="233" customFormat="1" ht="15.75" x14ac:dyDescent="0.2">
      <c r="A63" s="240">
        <v>2</v>
      </c>
      <c r="B63" s="241" t="s">
        <v>770</v>
      </c>
      <c r="C63" s="258" t="s">
        <v>315</v>
      </c>
      <c r="D63" s="660">
        <f>'Design Converter'!E100</f>
        <v>1.9</v>
      </c>
      <c r="E63" s="661"/>
      <c r="F63" s="661"/>
      <c r="G63" s="662"/>
      <c r="H63" s="244" t="s">
        <v>314</v>
      </c>
      <c r="I63" s="244" t="str">
        <f>'Design Converter'!E98</f>
        <v>CSD16321Q5</v>
      </c>
      <c r="J63" s="244" t="s">
        <v>328</v>
      </c>
      <c r="L63" s="234"/>
    </row>
    <row r="64" spans="1:12" s="233" customFormat="1" ht="15.75" x14ac:dyDescent="0.2">
      <c r="A64" s="235">
        <v>1</v>
      </c>
      <c r="B64" s="236" t="s">
        <v>329</v>
      </c>
      <c r="C64" s="237">
        <f>'Design Converter'!D78</f>
        <v>12.1</v>
      </c>
      <c r="D64" s="628">
        <f t="shared" ref="D64:D74" si="1">C64</f>
        <v>12.1</v>
      </c>
      <c r="E64" s="629"/>
      <c r="F64" s="629"/>
      <c r="G64" s="630"/>
      <c r="H64" s="238" t="s">
        <v>317</v>
      </c>
      <c r="I64" s="239" t="s">
        <v>314</v>
      </c>
      <c r="J64" s="239" t="s">
        <v>314</v>
      </c>
      <c r="L64" s="234"/>
    </row>
    <row r="65" spans="1:12" s="233" customFormat="1" ht="15.75" x14ac:dyDescent="0.2">
      <c r="A65" s="235">
        <v>1</v>
      </c>
      <c r="B65" s="236" t="s">
        <v>333</v>
      </c>
      <c r="C65" s="480">
        <f>Rs*1000</f>
        <v>8</v>
      </c>
      <c r="D65" s="663">
        <f t="shared" si="1"/>
        <v>8</v>
      </c>
      <c r="E65" s="664"/>
      <c r="F65" s="664"/>
      <c r="G65" s="665"/>
      <c r="H65" s="238">
        <v>2512</v>
      </c>
      <c r="I65" s="239" t="s">
        <v>314</v>
      </c>
      <c r="J65" s="239" t="s">
        <v>314</v>
      </c>
      <c r="L65" s="234"/>
    </row>
    <row r="66" spans="1:12" s="233" customFormat="1" ht="15.75" x14ac:dyDescent="0.2">
      <c r="A66" s="235">
        <v>1</v>
      </c>
      <c r="B66" s="236" t="s">
        <v>797</v>
      </c>
      <c r="C66" s="480">
        <f>'Standard Value Calculator'!O21</f>
        <v>0</v>
      </c>
      <c r="D66" s="663">
        <f>C66</f>
        <v>0</v>
      </c>
      <c r="E66" s="664"/>
      <c r="F66" s="664"/>
      <c r="G66" s="665"/>
      <c r="H66" s="238">
        <v>2512</v>
      </c>
      <c r="I66" s="239" t="s">
        <v>314</v>
      </c>
      <c r="J66" s="239" t="s">
        <v>314</v>
      </c>
      <c r="L66" s="234"/>
    </row>
    <row r="67" spans="1:12" s="233" customFormat="1" ht="15.75" x14ac:dyDescent="0.2">
      <c r="A67" s="235">
        <v>1</v>
      </c>
      <c r="B67" s="236" t="s">
        <v>668</v>
      </c>
      <c r="C67" s="237">
        <f>'Design Converter'!E12</f>
        <v>115</v>
      </c>
      <c r="D67" s="628">
        <f t="shared" si="1"/>
        <v>115</v>
      </c>
      <c r="E67" s="629"/>
      <c r="F67" s="629"/>
      <c r="G67" s="630"/>
      <c r="H67" s="238" t="s">
        <v>317</v>
      </c>
      <c r="I67" s="239" t="s">
        <v>314</v>
      </c>
      <c r="J67" s="239" t="s">
        <v>314</v>
      </c>
      <c r="L67" s="234"/>
    </row>
    <row r="68" spans="1:12" s="233" customFormat="1" ht="15.75" x14ac:dyDescent="0.2">
      <c r="A68" s="235">
        <v>1</v>
      </c>
      <c r="B68" s="236" t="s">
        <v>335</v>
      </c>
      <c r="C68" s="237">
        <f>'Design Converter'!E73</f>
        <v>100</v>
      </c>
      <c r="D68" s="628">
        <f t="shared" si="1"/>
        <v>100</v>
      </c>
      <c r="E68" s="629"/>
      <c r="F68" s="629"/>
      <c r="G68" s="630"/>
      <c r="H68" s="238" t="s">
        <v>317</v>
      </c>
      <c r="I68" s="239" t="s">
        <v>314</v>
      </c>
      <c r="J68" s="239" t="s">
        <v>314</v>
      </c>
      <c r="L68" s="234"/>
    </row>
    <row r="69" spans="1:12" s="233" customFormat="1" ht="15.75" x14ac:dyDescent="0.2">
      <c r="A69" s="235">
        <v>1</v>
      </c>
      <c r="B69" s="236" t="s">
        <v>336</v>
      </c>
      <c r="C69" s="237">
        <f>'Design Converter'!E74</f>
        <v>7.15</v>
      </c>
      <c r="D69" s="628">
        <f t="shared" si="1"/>
        <v>7.15</v>
      </c>
      <c r="E69" s="629"/>
      <c r="F69" s="629"/>
      <c r="G69" s="630"/>
      <c r="H69" s="238" t="s">
        <v>317</v>
      </c>
      <c r="I69" s="239" t="s">
        <v>314</v>
      </c>
      <c r="J69" s="239" t="s">
        <v>314</v>
      </c>
      <c r="L69" s="234"/>
    </row>
    <row r="70" spans="1:12" s="233" customFormat="1" ht="15.75" x14ac:dyDescent="0.2">
      <c r="A70" s="240">
        <v>1</v>
      </c>
      <c r="B70" s="241" t="s">
        <v>334</v>
      </c>
      <c r="C70" s="242">
        <v>20</v>
      </c>
      <c r="D70" s="657">
        <f t="shared" si="1"/>
        <v>20</v>
      </c>
      <c r="E70" s="658"/>
      <c r="F70" s="658"/>
      <c r="G70" s="659"/>
      <c r="H70" s="243" t="s">
        <v>317</v>
      </c>
      <c r="I70" s="244" t="s">
        <v>314</v>
      </c>
      <c r="J70" s="244" t="s">
        <v>314</v>
      </c>
      <c r="L70" s="234"/>
    </row>
    <row r="71" spans="1:12" s="478" customFormat="1" ht="15.75" x14ac:dyDescent="0.2">
      <c r="A71" s="240">
        <v>2</v>
      </c>
      <c r="B71" s="241" t="s">
        <v>667</v>
      </c>
      <c r="C71" s="258">
        <v>100</v>
      </c>
      <c r="D71" s="631">
        <f t="shared" si="1"/>
        <v>100</v>
      </c>
      <c r="E71" s="632"/>
      <c r="F71" s="632"/>
      <c r="G71" s="633"/>
      <c r="H71" s="243" t="s">
        <v>317</v>
      </c>
      <c r="I71" s="244" t="s">
        <v>314</v>
      </c>
      <c r="J71" s="244" t="s">
        <v>314</v>
      </c>
      <c r="L71" s="479"/>
    </row>
    <row r="72" spans="1:12" s="233" customFormat="1" ht="15.75" x14ac:dyDescent="0.2">
      <c r="A72" s="235">
        <v>1</v>
      </c>
      <c r="B72" s="236" t="s">
        <v>330</v>
      </c>
      <c r="C72" s="237">
        <f>'Design Converter'!E64</f>
        <v>200</v>
      </c>
      <c r="D72" s="628">
        <f t="shared" si="1"/>
        <v>200</v>
      </c>
      <c r="E72" s="629"/>
      <c r="F72" s="629"/>
      <c r="G72" s="630"/>
      <c r="H72" s="238" t="s">
        <v>317</v>
      </c>
      <c r="I72" s="239" t="s">
        <v>314</v>
      </c>
      <c r="J72" s="239" t="s">
        <v>314</v>
      </c>
      <c r="L72" s="234"/>
    </row>
    <row r="73" spans="1:12" s="233" customFormat="1" ht="15.75" x14ac:dyDescent="0.2">
      <c r="A73" s="235">
        <v>1</v>
      </c>
      <c r="B73" s="236" t="s">
        <v>331</v>
      </c>
      <c r="C73" s="237">
        <f>'Design Converter'!E65</f>
        <v>52.300000000000004</v>
      </c>
      <c r="D73" s="628">
        <f t="shared" si="1"/>
        <v>52.300000000000004</v>
      </c>
      <c r="E73" s="629"/>
      <c r="F73" s="629"/>
      <c r="G73" s="630"/>
      <c r="H73" s="238" t="s">
        <v>317</v>
      </c>
      <c r="I73" s="239" t="s">
        <v>314</v>
      </c>
      <c r="J73" s="239" t="s">
        <v>314</v>
      </c>
      <c r="L73" s="234"/>
    </row>
    <row r="74" spans="1:12" s="233" customFormat="1" ht="15.75" x14ac:dyDescent="0.2">
      <c r="A74" s="240">
        <v>1</v>
      </c>
      <c r="B74" s="241" t="s">
        <v>332</v>
      </c>
      <c r="C74" s="258">
        <v>2.2000000000000002</v>
      </c>
      <c r="D74" s="631">
        <f t="shared" si="1"/>
        <v>2.2000000000000002</v>
      </c>
      <c r="E74" s="632"/>
      <c r="F74" s="632"/>
      <c r="G74" s="633"/>
      <c r="H74" s="243" t="s">
        <v>317</v>
      </c>
      <c r="I74" s="244" t="s">
        <v>314</v>
      </c>
      <c r="J74" s="244" t="s">
        <v>314</v>
      </c>
      <c r="L74" s="234"/>
    </row>
    <row r="75" spans="1:12" s="233" customFormat="1" ht="14.25" customHeight="1" x14ac:dyDescent="0.2">
      <c r="A75" s="669">
        <v>1</v>
      </c>
      <c r="B75" s="681" t="s">
        <v>337</v>
      </c>
      <c r="C75" s="679" t="s">
        <v>664</v>
      </c>
      <c r="D75" s="673" t="s">
        <v>944</v>
      </c>
      <c r="E75" s="674"/>
      <c r="F75" s="674"/>
      <c r="G75" s="675"/>
      <c r="H75" s="261" t="s">
        <v>945</v>
      </c>
      <c r="I75" s="261" t="s">
        <v>728</v>
      </c>
      <c r="J75" s="671" t="s">
        <v>316</v>
      </c>
      <c r="L75" s="234"/>
    </row>
    <row r="76" spans="1:12" x14ac:dyDescent="0.2">
      <c r="A76" s="670"/>
      <c r="B76" s="682"/>
      <c r="C76" s="680"/>
      <c r="D76" s="676"/>
      <c r="E76" s="677"/>
      <c r="F76" s="677"/>
      <c r="G76" s="678"/>
      <c r="H76" s="261" t="s">
        <v>946</v>
      </c>
      <c r="I76" s="261" t="s">
        <v>729</v>
      </c>
      <c r="J76" s="672"/>
    </row>
    <row r="78" spans="1:12" x14ac:dyDescent="0.2">
      <c r="A78" s="269" t="s">
        <v>348</v>
      </c>
    </row>
    <row r="79" spans="1:12" ht="14.25" x14ac:dyDescent="0.2">
      <c r="A79" s="132" t="s">
        <v>947</v>
      </c>
      <c r="D79" s="618" t="s">
        <v>943</v>
      </c>
      <c r="E79" s="226" t="s">
        <v>948</v>
      </c>
    </row>
    <row r="80" spans="1:12" x14ac:dyDescent="0.2">
      <c r="A80" s="226" t="s">
        <v>676</v>
      </c>
    </row>
    <row r="81" spans="1:1" x14ac:dyDescent="0.2">
      <c r="A81" s="226" t="s">
        <v>669</v>
      </c>
    </row>
  </sheetData>
  <sheetProtection password="CCC8" sheet="1" objects="1" scenarios="1" selectLockedCells="1" selectUnlockedCells="1"/>
  <mergeCells count="32">
    <mergeCell ref="A75:A76"/>
    <mergeCell ref="J75:J76"/>
    <mergeCell ref="D75:G76"/>
    <mergeCell ref="C75:C76"/>
    <mergeCell ref="B75:B76"/>
    <mergeCell ref="D48:G48"/>
    <mergeCell ref="D54:F54"/>
    <mergeCell ref="D70:G70"/>
    <mergeCell ref="D68:G68"/>
    <mergeCell ref="D69:G69"/>
    <mergeCell ref="D62:G62"/>
    <mergeCell ref="D63:G63"/>
    <mergeCell ref="D67:G67"/>
    <mergeCell ref="D65:G65"/>
    <mergeCell ref="D66:G66"/>
    <mergeCell ref="D61:G61"/>
    <mergeCell ref="D72:G72"/>
    <mergeCell ref="D73:G73"/>
    <mergeCell ref="D74:G74"/>
    <mergeCell ref="D71:G71"/>
    <mergeCell ref="D49:F49"/>
    <mergeCell ref="D50:F50"/>
    <mergeCell ref="D56:F56"/>
    <mergeCell ref="D57:F57"/>
    <mergeCell ref="D59:F59"/>
    <mergeCell ref="D51:F51"/>
    <mergeCell ref="D52:F52"/>
    <mergeCell ref="D53:F53"/>
    <mergeCell ref="D58:F58"/>
    <mergeCell ref="D55:F55"/>
    <mergeCell ref="D60:F60"/>
    <mergeCell ref="D64:G64"/>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9:H54 H72:H74 H68:H70 H64 H58:H59 H57 H61 H67 H71" numberStoredAsText="1"/>
  </ignoredError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zoomScale="85" zoomScaleNormal="85" zoomScaleSheetLayoutView="80" workbookViewId="0">
      <selection activeCell="L63" sqref="L63"/>
    </sheetView>
  </sheetViews>
  <sheetFormatPr defaultRowHeight="12.75" x14ac:dyDescent="0.2"/>
  <cols>
    <col min="1" max="13" width="9.140625" style="125"/>
    <col min="14" max="14" width="11.85546875" style="125" customWidth="1"/>
    <col min="15" max="16" width="9.140625" style="125"/>
    <col min="17" max="17" width="15.7109375" style="125" customWidth="1"/>
    <col min="18" max="16384" width="9.140625" style="125"/>
  </cols>
  <sheetData>
    <row r="1" spans="1:23" s="117" customFormat="1" ht="47.25" customHeight="1" x14ac:dyDescent="0.2">
      <c r="A1" s="683" t="s">
        <v>942</v>
      </c>
      <c r="B1" s="684"/>
      <c r="C1" s="684"/>
      <c r="D1" s="684"/>
      <c r="E1" s="684"/>
      <c r="F1" s="684"/>
      <c r="G1" s="684"/>
      <c r="H1" s="684"/>
      <c r="I1" s="684"/>
      <c r="J1" s="684"/>
      <c r="K1" s="684"/>
      <c r="L1" s="684"/>
      <c r="M1" s="684"/>
      <c r="N1" s="684"/>
      <c r="O1" s="684"/>
      <c r="P1" s="684"/>
      <c r="Q1" s="684"/>
    </row>
    <row r="6" spans="1:23" ht="20.25" x14ac:dyDescent="0.3">
      <c r="B6" s="126" t="s">
        <v>821</v>
      </c>
      <c r="M6" s="126" t="s">
        <v>822</v>
      </c>
      <c r="W6" s="126" t="s">
        <v>823</v>
      </c>
    </row>
  </sheetData>
  <sheetProtection password="CCC8"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P495"/>
  <sheetViews>
    <sheetView workbookViewId="0">
      <pane ySplit="5" topLeftCell="A262" activePane="bottomLeft" state="frozenSplit"/>
      <selection pane="bottomLeft" activeCell="A294" sqref="A294"/>
    </sheetView>
  </sheetViews>
  <sheetFormatPr defaultRowHeight="12.75" x14ac:dyDescent="0.2"/>
  <cols>
    <col min="1" max="1" width="38.85546875" customWidth="1"/>
    <col min="2" max="2" width="12" customWidth="1"/>
    <col min="3" max="3" width="10" style="2" customWidth="1"/>
    <col min="4" max="4" width="13.42578125" customWidth="1"/>
    <col min="5" max="5" width="11.5703125" customWidth="1"/>
    <col min="7" max="7" width="12.42578125" bestFit="1" customWidth="1"/>
    <col min="8" max="8" width="34.7109375" customWidth="1"/>
    <col min="10" max="10" width="12.42578125" bestFit="1" customWidth="1"/>
    <col min="11" max="11" width="15.140625" customWidth="1"/>
    <col min="12" max="12" width="13.28515625" customWidth="1"/>
    <col min="14" max="14" width="7.85546875" customWidth="1"/>
    <col min="16" max="16" width="8.28515625" customWidth="1"/>
  </cols>
  <sheetData>
    <row r="1" spans="1:16" ht="30.75" customHeight="1" x14ac:dyDescent="0.4">
      <c r="A1" s="686" t="s">
        <v>547</v>
      </c>
      <c r="B1" s="686"/>
      <c r="C1" s="686"/>
      <c r="D1" s="686"/>
      <c r="E1" s="686"/>
      <c r="F1" s="686"/>
      <c r="G1" s="686"/>
      <c r="H1" s="686"/>
      <c r="I1" s="686"/>
    </row>
    <row r="2" spans="1:16" ht="12" customHeight="1" x14ac:dyDescent="0.2">
      <c r="A2" s="49"/>
      <c r="B2" s="49" t="s">
        <v>227</v>
      </c>
      <c r="C2" s="50"/>
      <c r="E2" s="49"/>
      <c r="F2" s="49"/>
      <c r="G2" s="49"/>
      <c r="H2" s="49"/>
      <c r="I2" s="49"/>
    </row>
    <row r="3" spans="1:16" ht="11.25" customHeight="1" x14ac:dyDescent="0.2">
      <c r="A3" s="49"/>
      <c r="B3" s="49" t="s">
        <v>276</v>
      </c>
      <c r="C3" s="51"/>
      <c r="E3" s="49"/>
      <c r="F3" s="49"/>
      <c r="G3" s="49"/>
      <c r="H3" s="49"/>
      <c r="I3" s="49"/>
    </row>
    <row r="4" spans="1:16" ht="11.25" customHeight="1" x14ac:dyDescent="0.2">
      <c r="A4" s="49"/>
      <c r="B4" s="49" t="s">
        <v>228</v>
      </c>
      <c r="C4" s="52"/>
      <c r="E4" s="49"/>
      <c r="F4" s="49"/>
      <c r="G4" s="49"/>
      <c r="H4" s="49"/>
      <c r="I4" s="49"/>
    </row>
    <row r="5" spans="1:16" x14ac:dyDescent="0.2">
      <c r="A5" s="2" t="s">
        <v>51</v>
      </c>
      <c r="B5" s="2" t="s">
        <v>8</v>
      </c>
      <c r="C5" s="2" t="s">
        <v>9</v>
      </c>
      <c r="E5" s="685" t="s">
        <v>13</v>
      </c>
      <c r="F5" s="685"/>
      <c r="G5" s="685"/>
      <c r="H5" s="685"/>
      <c r="I5" s="2" t="s">
        <v>575</v>
      </c>
    </row>
    <row r="6" spans="1:16" ht="16.5" thickBot="1" x14ac:dyDescent="0.3">
      <c r="A6" s="582" t="s">
        <v>179</v>
      </c>
      <c r="B6" s="2"/>
      <c r="D6" s="2"/>
      <c r="E6" s="49"/>
      <c r="F6" s="49"/>
      <c r="G6" s="49"/>
      <c r="H6" s="49"/>
      <c r="I6" s="2"/>
    </row>
    <row r="7" spans="1:16" x14ac:dyDescent="0.2">
      <c r="A7" s="222" t="s">
        <v>375</v>
      </c>
      <c r="B7" s="12">
        <f>'Design Converter'!E6</f>
        <v>5</v>
      </c>
      <c r="C7" s="63" t="s">
        <v>0</v>
      </c>
      <c r="D7" s="121" t="s">
        <v>376</v>
      </c>
      <c r="E7" s="63"/>
      <c r="F7" s="63"/>
      <c r="G7" s="63"/>
      <c r="H7" s="63"/>
      <c r="I7" s="64">
        <v>1</v>
      </c>
    </row>
    <row r="8" spans="1:16" x14ac:dyDescent="0.2">
      <c r="A8" s="223"/>
      <c r="B8" s="29">
        <f>'Design Converter'!E7</f>
        <v>19</v>
      </c>
      <c r="C8" t="s">
        <v>0</v>
      </c>
      <c r="D8" t="s">
        <v>14</v>
      </c>
      <c r="I8" s="57"/>
      <c r="K8" s="314" t="s">
        <v>940</v>
      </c>
      <c r="L8" s="120">
        <v>1</v>
      </c>
      <c r="M8" s="118" t="s">
        <v>954</v>
      </c>
      <c r="O8" s="120">
        <v>1</v>
      </c>
    </row>
    <row r="9" spans="1:16" x14ac:dyDescent="0.2">
      <c r="A9" s="223" t="s">
        <v>374</v>
      </c>
      <c r="B9" s="29">
        <f>'Design Converter'!E8</f>
        <v>24</v>
      </c>
      <c r="C9" t="s">
        <v>0</v>
      </c>
      <c r="D9" s="118" t="s">
        <v>377</v>
      </c>
      <c r="I9" s="57"/>
      <c r="K9" s="314" t="s">
        <v>941</v>
      </c>
      <c r="L9" s="120">
        <v>2</v>
      </c>
      <c r="M9" s="118" t="s">
        <v>953</v>
      </c>
      <c r="O9" s="120">
        <v>2</v>
      </c>
    </row>
    <row r="10" spans="1:16" x14ac:dyDescent="0.2">
      <c r="A10" s="223" t="s">
        <v>817</v>
      </c>
      <c r="B10" s="587">
        <f>B40</f>
        <v>10.748344370860927</v>
      </c>
      <c r="C10" t="s">
        <v>0</v>
      </c>
      <c r="D10" s="118"/>
      <c r="I10" s="57"/>
      <c r="K10" s="599" t="s">
        <v>900</v>
      </c>
      <c r="L10" s="600">
        <v>1</v>
      </c>
      <c r="M10" s="389" t="s">
        <v>951</v>
      </c>
      <c r="O10" s="600">
        <v>1</v>
      </c>
      <c r="P10" s="118" t="s">
        <v>952</v>
      </c>
    </row>
    <row r="11" spans="1:16" x14ac:dyDescent="0.2">
      <c r="A11" s="223"/>
      <c r="B11" s="547"/>
      <c r="C11"/>
      <c r="D11" s="118"/>
      <c r="I11" s="57"/>
    </row>
    <row r="12" spans="1:16" x14ac:dyDescent="0.2">
      <c r="A12" s="56" t="s">
        <v>5</v>
      </c>
      <c r="B12" s="29">
        <f>'Design Converter'!E9</f>
        <v>12</v>
      </c>
      <c r="C12" t="s">
        <v>0</v>
      </c>
      <c r="D12" t="s">
        <v>1</v>
      </c>
      <c r="I12" s="57">
        <v>1</v>
      </c>
    </row>
    <row r="13" spans="1:16" x14ac:dyDescent="0.2">
      <c r="A13" s="56" t="s">
        <v>6</v>
      </c>
      <c r="B13" s="29">
        <f>'Design Converter'!E10</f>
        <v>6</v>
      </c>
      <c r="C13" t="s">
        <v>2</v>
      </c>
      <c r="D13" s="118" t="s">
        <v>378</v>
      </c>
      <c r="I13" s="57">
        <v>1</v>
      </c>
    </row>
    <row r="14" spans="1:16" x14ac:dyDescent="0.2">
      <c r="A14" s="223" t="s">
        <v>472</v>
      </c>
      <c r="B14" s="313">
        <f>Vout/Iout</f>
        <v>2</v>
      </c>
      <c r="C14" s="225" t="s">
        <v>120</v>
      </c>
      <c r="D14" s="118" t="s">
        <v>473</v>
      </c>
      <c r="I14" s="57"/>
    </row>
    <row r="15" spans="1:16" x14ac:dyDescent="0.2">
      <c r="A15" s="223" t="s">
        <v>396</v>
      </c>
      <c r="B15" s="313">
        <f>Vout*Iout</f>
        <v>72</v>
      </c>
      <c r="C15" t="s">
        <v>120</v>
      </c>
      <c r="D15" s="118" t="s">
        <v>428</v>
      </c>
      <c r="I15" s="57"/>
    </row>
    <row r="16" spans="1:16" x14ac:dyDescent="0.2">
      <c r="A16" s="223" t="s">
        <v>152</v>
      </c>
      <c r="B16" s="337">
        <v>0.96</v>
      </c>
      <c r="C16"/>
      <c r="D16" s="118" t="s">
        <v>595</v>
      </c>
      <c r="I16" s="57"/>
    </row>
    <row r="17" spans="1:9" x14ac:dyDescent="0.2">
      <c r="A17" s="223" t="s">
        <v>400</v>
      </c>
      <c r="B17" s="338">
        <f>Pout/Efficiency</f>
        <v>75</v>
      </c>
      <c r="C17" t="s">
        <v>120</v>
      </c>
      <c r="D17" s="118" t="s">
        <v>427</v>
      </c>
      <c r="I17" s="57"/>
    </row>
    <row r="18" spans="1:9" x14ac:dyDescent="0.2">
      <c r="A18" s="223" t="s">
        <v>397</v>
      </c>
      <c r="B18" s="328">
        <f>Pin/VIN_min</f>
        <v>15</v>
      </c>
      <c r="C18" t="s">
        <v>2</v>
      </c>
      <c r="D18" s="118"/>
      <c r="I18" s="57"/>
    </row>
    <row r="19" spans="1:9" x14ac:dyDescent="0.2">
      <c r="A19" s="223" t="s">
        <v>398</v>
      </c>
      <c r="B19" s="328">
        <f>Pin/VIN_nom</f>
        <v>3.9473684210526314</v>
      </c>
      <c r="C19" t="s">
        <v>2</v>
      </c>
      <c r="D19" s="118" t="s">
        <v>429</v>
      </c>
      <c r="I19" s="57"/>
    </row>
    <row r="20" spans="1:9" x14ac:dyDescent="0.2">
      <c r="A20" s="223" t="s">
        <v>399</v>
      </c>
      <c r="B20" s="328">
        <f>Pin/VIN_max</f>
        <v>3.125</v>
      </c>
      <c r="C20" t="s">
        <v>2</v>
      </c>
      <c r="D20" s="118"/>
      <c r="I20" s="57"/>
    </row>
    <row r="21" spans="1:9" x14ac:dyDescent="0.2">
      <c r="A21" s="223"/>
      <c r="C21"/>
      <c r="D21" s="118"/>
      <c r="I21" s="57"/>
    </row>
    <row r="22" spans="1:9" x14ac:dyDescent="0.2">
      <c r="A22" s="58" t="s">
        <v>7</v>
      </c>
      <c r="B22" s="271">
        <f>'Design Converter'!E11*1000</f>
        <v>224000</v>
      </c>
      <c r="C22" s="118" t="s">
        <v>10</v>
      </c>
      <c r="D22" s="118" t="s">
        <v>379</v>
      </c>
      <c r="I22" s="57">
        <v>1</v>
      </c>
    </row>
    <row r="23" spans="1:9" x14ac:dyDescent="0.2">
      <c r="A23" s="223" t="s">
        <v>864</v>
      </c>
      <c r="B23" s="585">
        <f>1/Fsw</f>
        <v>4.4642857142857146E-6</v>
      </c>
      <c r="C23" s="118" t="s">
        <v>808</v>
      </c>
      <c r="D23" s="118" t="s">
        <v>863</v>
      </c>
      <c r="I23" s="57"/>
    </row>
    <row r="24" spans="1:9" x14ac:dyDescent="0.2">
      <c r="A24" s="58" t="s">
        <v>44</v>
      </c>
      <c r="B24" s="59">
        <v>0.8</v>
      </c>
      <c r="C24" t="s">
        <v>0</v>
      </c>
      <c r="D24" t="s">
        <v>45</v>
      </c>
      <c r="I24" s="57"/>
    </row>
    <row r="25" spans="1:9" x14ac:dyDescent="0.2">
      <c r="A25" s="223" t="s">
        <v>359</v>
      </c>
      <c r="B25" s="329">
        <f>((1/Fsw)-200*10^-9)/(37*10^-12)</f>
        <v>115250.96525096527</v>
      </c>
      <c r="C25" s="225" t="s">
        <v>120</v>
      </c>
      <c r="D25" t="s">
        <v>430</v>
      </c>
      <c r="I25" s="57"/>
    </row>
    <row r="26" spans="1:9" x14ac:dyDescent="0.2">
      <c r="A26" s="223"/>
      <c r="B26" s="334"/>
      <c r="C26" s="225"/>
      <c r="I26" s="57"/>
    </row>
    <row r="27" spans="1:9" x14ac:dyDescent="0.2">
      <c r="A27" s="223"/>
      <c r="B27" s="334"/>
      <c r="C27" s="225"/>
      <c r="I27" s="57"/>
    </row>
    <row r="28" spans="1:9" x14ac:dyDescent="0.2">
      <c r="A28" s="118" t="s">
        <v>867</v>
      </c>
      <c r="B28" s="30">
        <v>2.9999999999999999E-7</v>
      </c>
      <c r="C28" s="118" t="s">
        <v>808</v>
      </c>
      <c r="D28" s="118" t="s">
        <v>868</v>
      </c>
      <c r="E28" s="2" t="s">
        <v>873</v>
      </c>
      <c r="I28" s="57"/>
    </row>
    <row r="29" spans="1:9" x14ac:dyDescent="0.2">
      <c r="A29" s="118" t="s">
        <v>862</v>
      </c>
      <c r="B29" s="398">
        <f>0.0000003</f>
        <v>2.9999999999999999E-7</v>
      </c>
      <c r="C29" s="118" t="s">
        <v>808</v>
      </c>
      <c r="D29" s="118" t="s">
        <v>869</v>
      </c>
      <c r="E29" s="2" t="s">
        <v>874</v>
      </c>
      <c r="I29" s="57"/>
    </row>
    <row r="30" spans="1:9" x14ac:dyDescent="0.2">
      <c r="A30" s="118" t="s">
        <v>876</v>
      </c>
      <c r="B30" s="586">
        <v>1.1999999999999999E-6</v>
      </c>
      <c r="C30" s="118" t="s">
        <v>808</v>
      </c>
      <c r="E30" s="2" t="s">
        <v>877</v>
      </c>
      <c r="I30" s="57"/>
    </row>
    <row r="31" spans="1:9" x14ac:dyDescent="0.2">
      <c r="A31" s="118"/>
      <c r="B31" s="586"/>
      <c r="C31" s="118"/>
      <c r="E31" s="118"/>
      <c r="I31" s="57"/>
    </row>
    <row r="32" spans="1:9" x14ac:dyDescent="0.2">
      <c r="A32" s="118" t="s">
        <v>872</v>
      </c>
      <c r="B32" s="592">
        <f>Ton_min_boost/Ts</f>
        <v>6.7199999999999996E-2</v>
      </c>
      <c r="C32"/>
      <c r="E32" s="118"/>
      <c r="I32" s="57"/>
    </row>
    <row r="33" spans="1:9" x14ac:dyDescent="0.2">
      <c r="A33" s="118" t="s">
        <v>919</v>
      </c>
      <c r="B33" s="592">
        <f>B30/(2*Ts)</f>
        <v>0.13439999999999999</v>
      </c>
      <c r="C33"/>
      <c r="E33" s="118"/>
      <c r="I33" s="57"/>
    </row>
    <row r="34" spans="1:9" x14ac:dyDescent="0.2">
      <c r="A34" s="118" t="s">
        <v>875</v>
      </c>
      <c r="B34" s="591">
        <f>1-B28/(2*Ts)</f>
        <v>0.96640000000000004</v>
      </c>
      <c r="C34"/>
      <c r="E34" s="118"/>
      <c r="I34" s="57"/>
    </row>
    <row r="35" spans="1:9" x14ac:dyDescent="0.2">
      <c r="A35" s="223"/>
      <c r="B35" s="588"/>
      <c r="C35" s="225"/>
      <c r="I35" s="57"/>
    </row>
    <row r="36" spans="1:9" x14ac:dyDescent="0.2">
      <c r="A36" s="118" t="s">
        <v>925</v>
      </c>
      <c r="B36" s="591">
        <f>Ton_min_boost/(2*Ts)</f>
        <v>3.3599999999999998E-2</v>
      </c>
      <c r="C36"/>
      <c r="I36" s="57"/>
    </row>
    <row r="37" spans="1:9" x14ac:dyDescent="0.2">
      <c r="A37" s="118" t="s">
        <v>920</v>
      </c>
      <c r="B37" s="591">
        <f>1-B30/(2*Ts)</f>
        <v>0.86560000000000004</v>
      </c>
      <c r="C37"/>
      <c r="I37" s="57"/>
    </row>
    <row r="38" spans="1:9" x14ac:dyDescent="0.2">
      <c r="A38" s="118" t="s">
        <v>878</v>
      </c>
      <c r="B38" s="591">
        <f>1-Toff_min_buck/Ts</f>
        <v>0.93279999999999996</v>
      </c>
      <c r="C38"/>
      <c r="I38" s="57"/>
    </row>
    <row r="39" spans="1:9" x14ac:dyDescent="0.2">
      <c r="I39" s="57"/>
    </row>
    <row r="40" spans="1:9" x14ac:dyDescent="0.2">
      <c r="A40" s="118" t="s">
        <v>866</v>
      </c>
      <c r="B40" s="589">
        <f>Vout*(1-B33)/B34</f>
        <v>10.748344370860927</v>
      </c>
      <c r="C40" s="118" t="s">
        <v>0</v>
      </c>
      <c r="I40" s="57"/>
    </row>
    <row r="41" spans="1:9" x14ac:dyDescent="0.2">
      <c r="A41" s="118" t="s">
        <v>865</v>
      </c>
      <c r="B41" s="320">
        <f>Vout*(1-B32)</f>
        <v>11.1936</v>
      </c>
      <c r="C41" s="118" t="s">
        <v>0</v>
      </c>
      <c r="I41" s="57"/>
    </row>
    <row r="42" spans="1:9" x14ac:dyDescent="0.2">
      <c r="A42" s="118" t="s">
        <v>871</v>
      </c>
      <c r="B42" s="589">
        <f>Vout/B38</f>
        <v>12.864493996569468</v>
      </c>
      <c r="C42" s="118" t="s">
        <v>0</v>
      </c>
      <c r="I42" s="57"/>
    </row>
    <row r="43" spans="1:9" x14ac:dyDescent="0.2">
      <c r="A43" s="118" t="s">
        <v>870</v>
      </c>
      <c r="B43" s="589">
        <f>Vout/B37*(1-B36)</f>
        <v>13.397412199630313</v>
      </c>
      <c r="C43" s="118" t="s">
        <v>0</v>
      </c>
      <c r="I43" s="57"/>
    </row>
    <row r="44" spans="1:9" ht="13.5" thickBot="1" x14ac:dyDescent="0.25">
      <c r="A44" s="60"/>
      <c r="B44" s="590"/>
      <c r="C44" s="61"/>
      <c r="D44" s="61"/>
      <c r="E44" s="61"/>
      <c r="F44" s="61"/>
      <c r="G44" s="61"/>
      <c r="H44" s="61"/>
      <c r="I44" s="62"/>
    </row>
    <row r="47" spans="1:9" ht="16.5" thickBot="1" x14ac:dyDescent="0.3">
      <c r="A47" s="582" t="s">
        <v>280</v>
      </c>
      <c r="B47" s="2"/>
    </row>
    <row r="48" spans="1:9" x14ac:dyDescent="0.2">
      <c r="A48" s="222" t="s">
        <v>15</v>
      </c>
      <c r="B48" s="308">
        <f>Vout/VIN_nom</f>
        <v>0.63157894736842102</v>
      </c>
      <c r="C48" s="323">
        <f>(Vout-VIN_nom)/Vout</f>
        <v>-0.58333333333333337</v>
      </c>
      <c r="D48" s="312"/>
      <c r="E48" s="121" t="s">
        <v>389</v>
      </c>
      <c r="F48" s="63"/>
      <c r="G48" s="63"/>
      <c r="H48" s="63"/>
      <c r="I48" s="64">
        <v>1</v>
      </c>
    </row>
    <row r="49" spans="1:9" x14ac:dyDescent="0.2">
      <c r="A49" s="223" t="s">
        <v>16</v>
      </c>
      <c r="B49" s="309">
        <f>1-48:48</f>
        <v>0.36842105263157898</v>
      </c>
      <c r="C49"/>
      <c r="E49" s="118" t="s">
        <v>390</v>
      </c>
      <c r="I49" s="57">
        <v>1</v>
      </c>
    </row>
    <row r="50" spans="1:9" x14ac:dyDescent="0.2">
      <c r="A50" s="118"/>
      <c r="C50"/>
      <c r="E50" s="118"/>
      <c r="I50" s="57"/>
    </row>
    <row r="51" spans="1:9" x14ac:dyDescent="0.2">
      <c r="A51" s="223" t="s">
        <v>391</v>
      </c>
      <c r="B51" s="321">
        <f>IF(VIN_min&gt;Vout, Vout/VIN_min, (Vout-VIN_min)/Vout)</f>
        <v>0.58333333333333337</v>
      </c>
      <c r="C51" t="str">
        <f>IF(VIN_min&gt;Vout, "BUCK", "BOOST")</f>
        <v>BOOST</v>
      </c>
      <c r="E51" s="118"/>
      <c r="I51" s="57"/>
    </row>
    <row r="52" spans="1:9" x14ac:dyDescent="0.2">
      <c r="A52" s="223" t="s">
        <v>409</v>
      </c>
      <c r="B52" s="321">
        <f>IF(VIN_nom&gt;Vout, Vout/VIN_nom, (Vout-VIN_nom)/Vout)</f>
        <v>0.63157894736842102</v>
      </c>
      <c r="C52" t="str">
        <f>IF(VIN_nom&gt;Vout, "BUCK", "BOOST")</f>
        <v>BUCK</v>
      </c>
      <c r="I52" s="57"/>
    </row>
    <row r="53" spans="1:9" x14ac:dyDescent="0.2">
      <c r="A53" s="223" t="s">
        <v>392</v>
      </c>
      <c r="B53" s="321">
        <f>IF(VIN_max&gt;Vout, Vout/VIN_max, (Vout-VIN_max)/Vout)</f>
        <v>0.5</v>
      </c>
      <c r="C53" t="str">
        <f>IF(VIN_max&gt;Vout, "BUCK", "BOOST")</f>
        <v>BUCK</v>
      </c>
      <c r="E53" s="118"/>
      <c r="I53" s="57"/>
    </row>
    <row r="54" spans="1:9" x14ac:dyDescent="0.2">
      <c r="A54" s="118" t="s">
        <v>815</v>
      </c>
      <c r="B54" s="321">
        <f>B33</f>
        <v>0.13439999999999999</v>
      </c>
      <c r="C54" s="118" t="s">
        <v>814</v>
      </c>
      <c r="E54" s="118"/>
      <c r="I54" s="57"/>
    </row>
    <row r="55" spans="1:9" x14ac:dyDescent="0.2">
      <c r="A55" s="118"/>
      <c r="C55"/>
      <c r="E55" s="118"/>
      <c r="I55" s="57"/>
    </row>
    <row r="56" spans="1:9" x14ac:dyDescent="0.2">
      <c r="A56" s="223" t="s">
        <v>393</v>
      </c>
      <c r="B56" s="311">
        <f>(VIN_min-Vout)*Don_Vinmin/(Fsw*Iout*0.3)</f>
        <v>-1.0127314814814816E-5</v>
      </c>
      <c r="C56" s="311">
        <f>VIN_min/(Iin_Vinmin*0.3*Fsw)*(1-VIN_min/Vout)</f>
        <v>2.893518518518518E-6</v>
      </c>
      <c r="D56" s="118" t="s">
        <v>20</v>
      </c>
      <c r="I56" s="57"/>
    </row>
    <row r="57" spans="1:9" x14ac:dyDescent="0.2">
      <c r="A57" s="223" t="s">
        <v>407</v>
      </c>
      <c r="B57" s="311">
        <f>(VIN_nom-Vout)*Don_Vinnom/(Fsw*Iout*0.4)</f>
        <v>8.2236842105263156E-6</v>
      </c>
      <c r="C57" s="311">
        <f>VIN_nom/(Iin_Vinnom*0.4*Fsw)*(1-VIN_nom/Vout)</f>
        <v>-3.1336805555555549E-5</v>
      </c>
      <c r="D57" t="s">
        <v>20</v>
      </c>
      <c r="I57" s="57">
        <v>1</v>
      </c>
    </row>
    <row r="58" spans="1:9" x14ac:dyDescent="0.2">
      <c r="A58" s="223" t="s">
        <v>394</v>
      </c>
      <c r="B58" s="311">
        <f>(VIN_max-Vout)*Don_Vinmax/(Fsw*Iout*0.8)</f>
        <v>5.5803571428571429E-6</v>
      </c>
      <c r="C58" s="311">
        <f>VIN_max/(Iin_Vinmax*0.3*Fsw)*(1-VIN_max/Vout)</f>
        <v>-1.1428571428571428E-4</v>
      </c>
      <c r="D58" s="118" t="s">
        <v>20</v>
      </c>
      <c r="I58" s="57"/>
    </row>
    <row r="59" spans="1:9" x14ac:dyDescent="0.2">
      <c r="A59" s="118"/>
      <c r="C59"/>
      <c r="I59" s="57"/>
    </row>
    <row r="60" spans="1:9" x14ac:dyDescent="0.2">
      <c r="A60" s="118" t="s">
        <v>404</v>
      </c>
      <c r="B60" s="310">
        <f>IF(VIN_min&gt;Vout, (VIN_min-Vout)*Don_Vinmin/(Fsw*Iout*0.3), VIN_min/(Iin_Vinmin*0.3*Fsw)*(1-VIN_min/Vout))</f>
        <v>2.893518518518518E-6</v>
      </c>
      <c r="C60" s="118" t="s">
        <v>20</v>
      </c>
      <c r="D60" t="str">
        <f>IF(VIN_min&gt;Vout, "BUCK", "BOOST")</f>
        <v>BOOST</v>
      </c>
      <c r="E60" s="118" t="s">
        <v>826</v>
      </c>
      <c r="I60" s="57"/>
    </row>
    <row r="61" spans="1:9" x14ac:dyDescent="0.2">
      <c r="A61" s="118" t="s">
        <v>405</v>
      </c>
      <c r="B61" s="310">
        <f>IF(VIN_nom&gt;Vout, (VIN_nom-Vout)*Don_Vinnom/(Fsw*Iout*0.4), VIN_nom/(Iin_Vinnom*0.4*Fsw)*(1-VIN_nom/Vout))</f>
        <v>8.2236842105263156E-6</v>
      </c>
      <c r="C61" t="s">
        <v>20</v>
      </c>
      <c r="D61" t="str">
        <f>IF(VIN_nom&gt;Vout, "BUCK", "BOOST")</f>
        <v>BUCK</v>
      </c>
      <c r="E61" s="118" t="s">
        <v>827</v>
      </c>
      <c r="I61" s="57"/>
    </row>
    <row r="62" spans="1:9" x14ac:dyDescent="0.2">
      <c r="A62" s="118" t="s">
        <v>406</v>
      </c>
      <c r="B62" s="310">
        <f>IF(VIN_max&gt;Vout, (VIN_max-Vout)*Don_Vinmax/(Fsw*Iout*0.8), VIN_max/(Iin_Vinmax*0.8*Fsw)*(1-VIN_max/Vout))</f>
        <v>5.5803571428571429E-6</v>
      </c>
      <c r="C62" s="118" t="s">
        <v>20</v>
      </c>
      <c r="D62" t="str">
        <f>IF(VIN_max&gt;Vout, "BUCK", "BOOST")</f>
        <v>BUCK</v>
      </c>
      <c r="E62" s="118" t="s">
        <v>828</v>
      </c>
      <c r="I62" s="57"/>
    </row>
    <row r="63" spans="1:9" x14ac:dyDescent="0.2">
      <c r="A63" s="118"/>
      <c r="C63" s="118"/>
      <c r="E63" s="118"/>
      <c r="I63" s="57"/>
    </row>
    <row r="64" spans="1:9" x14ac:dyDescent="0.2">
      <c r="A64" s="223" t="s">
        <v>408</v>
      </c>
      <c r="B64" s="310">
        <f>AVERAGE(B60,B62)</f>
        <v>4.23693783068783E-6</v>
      </c>
      <c r="C64" t="s">
        <v>20</v>
      </c>
      <c r="D64" s="118" t="s">
        <v>829</v>
      </c>
      <c r="E64" s="118"/>
      <c r="I64" s="57"/>
    </row>
    <row r="65" spans="1:9" x14ac:dyDescent="0.2">
      <c r="A65" s="223"/>
      <c r="C65"/>
      <c r="E65" s="118"/>
      <c r="I65" s="57"/>
    </row>
    <row r="66" spans="1:9" x14ac:dyDescent="0.2">
      <c r="A66" s="223" t="s">
        <v>395</v>
      </c>
      <c r="B66" s="72">
        <f>'Design Converter'!E16/1000000</f>
        <v>4.6999999999999999E-6</v>
      </c>
      <c r="C66" t="s">
        <v>20</v>
      </c>
      <c r="E66" s="118" t="s">
        <v>830</v>
      </c>
      <c r="I66" s="57">
        <v>2</v>
      </c>
    </row>
    <row r="67" spans="1:9" x14ac:dyDescent="0.2">
      <c r="A67" s="223" t="s">
        <v>12</v>
      </c>
      <c r="B67" s="29">
        <f>'Design Converter'!E17/1000</f>
        <v>6.0000000000000001E-3</v>
      </c>
      <c r="C67" s="225" t="s">
        <v>120</v>
      </c>
      <c r="E67" s="118" t="s">
        <v>831</v>
      </c>
      <c r="I67" s="57">
        <v>1</v>
      </c>
    </row>
    <row r="68" spans="1:9" x14ac:dyDescent="0.2">
      <c r="A68" s="223"/>
      <c r="B68" s="118"/>
      <c r="C68" s="118"/>
      <c r="D68" s="118"/>
      <c r="E68" s="118"/>
      <c r="I68" s="57"/>
    </row>
    <row r="69" spans="1:9" x14ac:dyDescent="0.2">
      <c r="A69" s="223" t="s">
        <v>17</v>
      </c>
      <c r="B69" s="321">
        <f>(Vout+Iout*(Rdcr+Rs))/(Vin+Iout*Rs)</f>
        <v>0.63439731205375893</v>
      </c>
      <c r="C69"/>
      <c r="I69" s="57">
        <v>2</v>
      </c>
    </row>
    <row r="70" spans="1:9" x14ac:dyDescent="0.2">
      <c r="A70" s="223" t="s">
        <v>18</v>
      </c>
      <c r="B70" s="321">
        <f>1-_Don2</f>
        <v>0.36560268794624107</v>
      </c>
      <c r="C70"/>
      <c r="I70" s="57">
        <v>2</v>
      </c>
    </row>
    <row r="71" spans="1:9" x14ac:dyDescent="0.2">
      <c r="A71" s="223"/>
      <c r="C71"/>
      <c r="I71" s="57"/>
    </row>
    <row r="72" spans="1:9" x14ac:dyDescent="0.2">
      <c r="A72" s="223" t="s">
        <v>410</v>
      </c>
      <c r="B72" s="321">
        <f>IF(VIN_min&gt;Vout, (Vout+Iout*(Rdcr+Rs))/(VIN_min+Iout*Rs), (Vout-VIN_min+Iin_Vinmin*(Rdcr))/(Vout-Iin_Vinmin*Rs))</f>
        <v>0.59680134680134678</v>
      </c>
      <c r="C72" t="str">
        <f>IF(VIN_min&gt;Vout, "BUCK", "BOOST")</f>
        <v>BOOST</v>
      </c>
      <c r="E72" s="118" t="s">
        <v>565</v>
      </c>
      <c r="I72" s="57">
        <v>2</v>
      </c>
    </row>
    <row r="73" spans="1:9" ht="15.75" x14ac:dyDescent="0.3">
      <c r="A73" s="223" t="s">
        <v>411</v>
      </c>
      <c r="B73" s="321">
        <f>IF(VIN_nom&gt;Vout, (Vout+Iout*(Rdcr+Rs))/(VIN_nom+Iout*Rs), (Vout-VIN_nom+Iin_Vinnom*(Rdcr))/(Vout-Iin_Vinnom*Rs))</f>
        <v>0.63439731205375893</v>
      </c>
      <c r="C73" t="str">
        <f>IF(VIN_nom&gt;Vout, "BUCK", "BOOST")</f>
        <v>BUCK</v>
      </c>
      <c r="E73" s="407" t="s">
        <v>596</v>
      </c>
      <c r="I73" s="57"/>
    </row>
    <row r="74" spans="1:9" x14ac:dyDescent="0.2">
      <c r="A74" s="223" t="s">
        <v>412</v>
      </c>
      <c r="B74" s="321">
        <f>IF(VIN_max&gt;Vout, (Vout+Iout*(Rdcr+Rs))/(VIN_max+Iout*Rs), (Vout-VIN_max+Iin_Vinmax*(Rdcr))/(Vout-Iin_Vinmax*Rs))</f>
        <v>0.50249500998003993</v>
      </c>
      <c r="C74" t="str">
        <f>IF(VIN_max&gt;Vout, "BUCK", "BOOST")</f>
        <v>BUCK</v>
      </c>
      <c r="I74" s="57"/>
    </row>
    <row r="75" spans="1:9" x14ac:dyDescent="0.2">
      <c r="A75" s="223"/>
      <c r="C75"/>
      <c r="I75" s="57"/>
    </row>
    <row r="76" spans="1:9" x14ac:dyDescent="0.2">
      <c r="A76" s="223" t="s">
        <v>22</v>
      </c>
      <c r="B76" s="449">
        <f>'Design Converter'!E40/1000</f>
        <v>0.12</v>
      </c>
      <c r="C76" t="s">
        <v>0</v>
      </c>
      <c r="E76" s="118" t="s">
        <v>606</v>
      </c>
      <c r="I76" s="57">
        <v>1</v>
      </c>
    </row>
    <row r="77" spans="1:9" x14ac:dyDescent="0.2">
      <c r="A77" s="223"/>
      <c r="C77"/>
      <c r="I77" s="57"/>
    </row>
    <row r="78" spans="1:9" x14ac:dyDescent="0.2">
      <c r="A78" s="223" t="s">
        <v>401</v>
      </c>
      <c r="B78" s="578">
        <f>IF(VIN_min&gt;Vout, (VIN_min-Vout)*Don_Vinmin_2/(Fsw*Lf),VIN_min*Don_Vinmin_2/(Lf*Fsw))</f>
        <v>2.8343529008422625</v>
      </c>
      <c r="C78" s="578">
        <f>(VIN_min-Vout)*Don_Vinmin_2/(Fsw*Lf)</f>
        <v>-3.9680940611791673</v>
      </c>
      <c r="D78" s="118" t="s">
        <v>2</v>
      </c>
      <c r="E78" t="str">
        <f>IF(VIN_min&gt;Vout, "BUCK", "BOOST")</f>
        <v>BOOST</v>
      </c>
      <c r="G78" s="30"/>
      <c r="H78">
        <f>VIN_min*Don_Vinmin_2/(Lopt*Fsw)</f>
        <v>3.1441241685144128</v>
      </c>
      <c r="I78" s="57"/>
    </row>
    <row r="79" spans="1:9" x14ac:dyDescent="0.2">
      <c r="A79" s="223" t="s">
        <v>402</v>
      </c>
      <c r="B79" s="578">
        <f>IF(VIN_nom&gt;Vout, (VIN_nom-Vout)*Don_Vinnom_2/(Fsw*Lf),VIN_nom*Don_Vinnom_2/(Lf*Fsw))</f>
        <v>4.2180672343999932</v>
      </c>
      <c r="C79" s="578">
        <f>(VIN_nom-Vout)*Don_Vinnom_2/(Fsw*Lf)</f>
        <v>4.2180672343999932</v>
      </c>
      <c r="D79" s="118" t="s">
        <v>2</v>
      </c>
      <c r="E79" t="str">
        <f>IF(VIN_nom&gt;Vout, "BUCK", "BOOST")</f>
        <v>BUCK</v>
      </c>
      <c r="I79" s="57"/>
    </row>
    <row r="80" spans="1:9" x14ac:dyDescent="0.2">
      <c r="A80" s="223" t="s">
        <v>403</v>
      </c>
      <c r="B80" s="578">
        <f>IF(VIN_max&gt;Vout, (VIN_max-Vout)*Don_Vinmax_2/(Fsw*Lf),VIN_max*Don_Vinmax_2/(Lf*Fsw))</f>
        <v>5.7275267094989353</v>
      </c>
      <c r="C80" s="578">
        <f>(VIN_max-Vout)*Don_Vinmax_2/(Fsw*Lf)</f>
        <v>5.7275267094989353</v>
      </c>
      <c r="D80" s="118" t="s">
        <v>2</v>
      </c>
      <c r="E80" t="str">
        <f>IF(VIN_max&gt;Vout, "BUCK", "BOOST")</f>
        <v>BUCK</v>
      </c>
      <c r="I80" s="57"/>
    </row>
    <row r="81" spans="1:9" x14ac:dyDescent="0.2">
      <c r="A81" s="223" t="s">
        <v>818</v>
      </c>
      <c r="B81" s="578">
        <f>VIN_edgebuckboost*Don_buckboost/(Lf*Fsw/2)</f>
        <v>2.7442581372410881</v>
      </c>
      <c r="C81" s="524"/>
      <c r="D81" s="118" t="s">
        <v>2</v>
      </c>
      <c r="E81" s="118" t="s">
        <v>845</v>
      </c>
      <c r="I81" s="57"/>
    </row>
    <row r="82" spans="1:9" x14ac:dyDescent="0.2">
      <c r="A82" s="223"/>
      <c r="B82" s="118"/>
      <c r="C82" s="118"/>
      <c r="D82" s="118"/>
      <c r="I82" s="57"/>
    </row>
    <row r="83" spans="1:9" x14ac:dyDescent="0.2">
      <c r="A83" s="223" t="s">
        <v>880</v>
      </c>
      <c r="B83" s="446">
        <f>IF(VIN_min&gt;Vout, SQRT(1-Don_Vinmin_2)*SQRT(Iout^2+(Iripple_Vinmin^2)/12), SQRT(Don_Vinmin_2)*SQRT(Iin_Vinmin^2+(Iripple_Vinmin^2)/12))</f>
        <v>11.605164344746033</v>
      </c>
      <c r="C83" s="118" t="s">
        <v>2</v>
      </c>
      <c r="E83" s="4">
        <f>SQRT(1-Don_Vinmin_2)*SQRT(Iout^2+(Iripple_Vinmin^2)/12)</f>
        <v>3.8451369426111008</v>
      </c>
      <c r="F83" s="387">
        <f>SQRT(Don_Vinmin_2)*SQRT(Iout^2+(Iripple_Vinmin^2)/12)</f>
        <v>4.6780749163635784</v>
      </c>
      <c r="I83" s="57"/>
    </row>
    <row r="84" spans="1:9" x14ac:dyDescent="0.2">
      <c r="A84" s="223" t="s">
        <v>881</v>
      </c>
      <c r="B84" s="446">
        <f>IF(VIN_nom&gt;Vout, SQRT(1-Don_Vinnom_2)*SQRT(Iout^2+(Iripple_Vinnom^2)/12), SQRT(Don_Vinnom_2)*SQRT(Iin_Vinnom^2+(Iripple_Vinnom^2)/12))</f>
        <v>3.7018598654083945</v>
      </c>
      <c r="C84" s="118" t="s">
        <v>2</v>
      </c>
      <c r="E84" s="4">
        <f>SQRT(1-Don_Vinnom_2)*SQRT(Iout^2+(Iripple_Vinnom^2)/12)</f>
        <v>3.7018598654083945</v>
      </c>
      <c r="F84" s="387">
        <f>SQRT(Don_Vinnom_2)*SQRT(Iout^2+(Iripple_Vinnom^2)/12)</f>
        <v>4.8763621484707675</v>
      </c>
      <c r="I84" s="57"/>
    </row>
    <row r="85" spans="1:9" x14ac:dyDescent="0.2">
      <c r="A85" s="223" t="s">
        <v>882</v>
      </c>
      <c r="B85" s="446">
        <f>IF(VIN_max&gt;Vout, SQRT(1-Don_Vinmax_2)*SQRT(Iout^2+(Iripple_Vinmax^2)/12), SQRT(Don_Vinmax_2)*SQRT(Iin_Vinmax^2+(Iripple_Vinmax^2)/12))</f>
        <v>4.3897853884760583</v>
      </c>
      <c r="C85" s="118" t="s">
        <v>2</v>
      </c>
      <c r="E85" s="4">
        <f>SQRT(1-Don_Vinmax_2)*SQRT(Iout^2+(Iripple_Vinmax^2)/12)</f>
        <v>4.3897853884760583</v>
      </c>
      <c r="F85" s="387">
        <f>SQRT(Don_Vinmax_2)*SQRT(Iout^2+(Iripple_Vinmax^2)/12)</f>
        <v>4.4117454324175842</v>
      </c>
      <c r="I85" s="57"/>
    </row>
    <row r="86" spans="1:9" x14ac:dyDescent="0.2">
      <c r="A86" s="223" t="s">
        <v>883</v>
      </c>
      <c r="B86" s="431">
        <f>MAX(B83,B85)^2*Rs</f>
        <v>1.0774387157485168</v>
      </c>
      <c r="C86" s="118" t="s">
        <v>120</v>
      </c>
      <c r="D86" s="118" t="str">
        <f>IF(B85&gt;B83, "BUCK", "BOOST")</f>
        <v>BOOST</v>
      </c>
      <c r="E86" s="118"/>
      <c r="I86" s="57"/>
    </row>
    <row r="87" spans="1:9" x14ac:dyDescent="0.2">
      <c r="A87" s="223"/>
      <c r="B87" s="118"/>
      <c r="C87" s="118"/>
      <c r="D87" s="118"/>
      <c r="I87" s="57"/>
    </row>
    <row r="88" spans="1:9" x14ac:dyDescent="0.2">
      <c r="A88" s="223" t="s">
        <v>426</v>
      </c>
      <c r="B88" s="322">
        <f>MAX(B78:B80)</f>
        <v>5.7275267094989353</v>
      </c>
      <c r="C88" s="118" t="s">
        <v>2</v>
      </c>
      <c r="I88" s="57"/>
    </row>
    <row r="89" spans="1:9" x14ac:dyDescent="0.2">
      <c r="A89" s="223"/>
      <c r="B89" s="118"/>
      <c r="C89" s="118"/>
      <c r="D89" s="118"/>
      <c r="F89" s="118" t="s">
        <v>186</v>
      </c>
      <c r="G89" s="314" t="s">
        <v>414</v>
      </c>
      <c r="I89" s="57"/>
    </row>
    <row r="90" spans="1:9" x14ac:dyDescent="0.2">
      <c r="A90" s="223" t="s">
        <v>413</v>
      </c>
      <c r="B90" s="445">
        <f>IF(VIN_min&gt;Vout, B78/Iout, B78/Iin_Vinmin)</f>
        <v>0.18895686005615084</v>
      </c>
      <c r="C90" t="str">
        <f>IF(VIN_min&gt;Vout, "BUCK", "BOOST")</f>
        <v>BOOST</v>
      </c>
      <c r="F90" s="4">
        <f>B78</f>
        <v>2.8343529008422625</v>
      </c>
      <c r="G90" s="446">
        <f>Iin_Vinmin</f>
        <v>15</v>
      </c>
      <c r="I90" s="57"/>
    </row>
    <row r="91" spans="1:9" x14ac:dyDescent="0.2">
      <c r="A91" s="223"/>
      <c r="B91" s="445">
        <f>IF(VIN_nom&gt;Vout, B79/Iout, B79/Iin_Vinnom)</f>
        <v>0.7030112057333322</v>
      </c>
      <c r="C91" t="str">
        <f>IF(VIN_nom&gt;Vout, "BUCK", "BOOST")</f>
        <v>BUCK</v>
      </c>
      <c r="F91" s="4">
        <f>B79</f>
        <v>4.2180672343999932</v>
      </c>
      <c r="G91" s="446">
        <f>Iin_Vinnom</f>
        <v>3.9473684210526314</v>
      </c>
      <c r="I91" s="57"/>
    </row>
    <row r="92" spans="1:9" x14ac:dyDescent="0.2">
      <c r="A92" s="223"/>
      <c r="B92" s="445">
        <f>IF(VIN_max&gt;Vout, B80/Iout, B80/Iin_Vinmax)</f>
        <v>0.95458778491648921</v>
      </c>
      <c r="C92" t="str">
        <f>IF(VIN_max&gt;Vout, "BUCK", "BOOST")</f>
        <v>BUCK</v>
      </c>
      <c r="F92" s="4">
        <f>B80</f>
        <v>5.7275267094989353</v>
      </c>
      <c r="G92" s="446">
        <f>Iin_Vinmax</f>
        <v>3.125</v>
      </c>
      <c r="I92" s="57"/>
    </row>
    <row r="93" spans="1:9" x14ac:dyDescent="0.2">
      <c r="A93" s="223"/>
      <c r="C93"/>
      <c r="I93" s="57"/>
    </row>
    <row r="94" spans="1:9" x14ac:dyDescent="0.2">
      <c r="A94" t="s">
        <v>269</v>
      </c>
      <c r="B94" s="337">
        <v>100</v>
      </c>
      <c r="C94"/>
      <c r="D94" s="118"/>
      <c r="I94" s="57"/>
    </row>
    <row r="95" spans="1:9" x14ac:dyDescent="0.2">
      <c r="A95" s="223" t="s">
        <v>268</v>
      </c>
      <c r="B95" s="422">
        <f>Rdcr*(1+0.0039*(B94-25))</f>
        <v>7.7549999999999997E-3</v>
      </c>
      <c r="C95" s="225" t="s">
        <v>120</v>
      </c>
      <c r="I95" s="57"/>
    </row>
    <row r="96" spans="1:9" ht="13.5" thickBot="1" x14ac:dyDescent="0.25">
      <c r="A96" s="341"/>
      <c r="B96" s="342"/>
      <c r="C96" s="61"/>
      <c r="D96" s="61"/>
      <c r="E96" s="61"/>
      <c r="F96" s="61"/>
      <c r="G96" s="61"/>
      <c r="H96" s="61"/>
      <c r="I96" s="62"/>
    </row>
    <row r="97" spans="1:16" x14ac:dyDescent="0.2">
      <c r="A97" s="2"/>
      <c r="B97" s="1"/>
      <c r="C97" s="1"/>
    </row>
    <row r="98" spans="1:16" ht="16.5" thickBot="1" x14ac:dyDescent="0.3">
      <c r="A98" s="582" t="s">
        <v>544</v>
      </c>
      <c r="B98" s="1"/>
      <c r="C98" s="1"/>
    </row>
    <row r="99" spans="1:16" x14ac:dyDescent="0.2">
      <c r="A99" s="94"/>
      <c r="B99" s="63"/>
      <c r="C99" s="63"/>
      <c r="D99" s="63"/>
      <c r="E99" s="63"/>
      <c r="F99" s="63"/>
      <c r="G99" s="63"/>
      <c r="H99" s="63"/>
      <c r="I99" s="64"/>
    </row>
    <row r="100" spans="1:16" x14ac:dyDescent="0.2">
      <c r="A100" s="223" t="s">
        <v>425</v>
      </c>
      <c r="B100" s="29">
        <f>'Design Converter'!E26</f>
        <v>8</v>
      </c>
      <c r="C100" t="s">
        <v>2</v>
      </c>
      <c r="E100" s="118" t="s">
        <v>742</v>
      </c>
      <c r="I100" s="57"/>
      <c r="K100" s="118" t="s">
        <v>436</v>
      </c>
      <c r="N100" s="118" t="s">
        <v>597</v>
      </c>
    </row>
    <row r="101" spans="1:16" x14ac:dyDescent="0.2">
      <c r="A101" s="223"/>
      <c r="C101"/>
      <c r="I101" s="57"/>
      <c r="K101" s="118" t="s">
        <v>451</v>
      </c>
      <c r="L101" s="118" t="s">
        <v>452</v>
      </c>
    </row>
    <row r="102" spans="1:16" x14ac:dyDescent="0.2">
      <c r="A102" s="223" t="s">
        <v>433</v>
      </c>
      <c r="B102" s="328">
        <f>IF(VIN_min&gt;Vout, Ilimit_DC-Iripple_Vinmin/2, Ilimit_DC/(1-Don_Vinmin_2)+Iripple_Vinmin/2)</f>
        <v>21.258512567331358</v>
      </c>
      <c r="C102" t="s">
        <v>2</v>
      </c>
      <c r="D102" t="str">
        <f>IF(VIN_min&gt;Vout, "BUCK", "BOOST")</f>
        <v>BOOST</v>
      </c>
      <c r="E102" s="118" t="s">
        <v>832</v>
      </c>
      <c r="I102" s="57"/>
      <c r="K102" s="328">
        <f>Ilimit_DC-Iripple_Vinmin/2</f>
        <v>6.5828235495788689</v>
      </c>
      <c r="L102" s="328">
        <f>Ilimit_DC/(1-Don_Vinmin_2)+Iripple_Vinmin/2</f>
        <v>21.258512567331358</v>
      </c>
      <c r="M102" t="str">
        <f>IF(VIN_min&gt;Vout, "BUCK", "BOOST")</f>
        <v>BOOST</v>
      </c>
      <c r="N102" s="330">
        <f>IF(VIN_min&gt;Vout, Buck_CS_threshold/K102, Boost_CS_Threshold/L102)</f>
        <v>7.5263967548640804E-3</v>
      </c>
      <c r="P102" s="336">
        <f>Boost_CS_Threshold/L102</f>
        <v>7.5263967548640804E-3</v>
      </c>
    </row>
    <row r="103" spans="1:16" x14ac:dyDescent="0.2">
      <c r="A103" s="223" t="s">
        <v>435</v>
      </c>
      <c r="B103" s="328">
        <f>IF(VIN_nom&gt;Vout, Ilimit_DC-Iripple_Vinnom/2, Ilimit_DC/(1-Don_Vinnom_2)+Iripple_Vinnom/2)</f>
        <v>5.8909663828000038</v>
      </c>
      <c r="C103" t="s">
        <v>2</v>
      </c>
      <c r="D103" t="str">
        <f>IF(VIN_nom&gt;Vout, "BUCK", "BOOST")</f>
        <v>BUCK</v>
      </c>
      <c r="E103" s="118" t="s">
        <v>432</v>
      </c>
      <c r="I103" s="57"/>
      <c r="K103" s="328">
        <f>Ilimit_DC-Iripple_Vinnom/2</f>
        <v>5.8909663828000038</v>
      </c>
      <c r="L103" s="328">
        <f>Ilimit_DC/(1-Don_Vinnom_2)+Iripple_Vinnom/2</f>
        <v>23.990710814213209</v>
      </c>
      <c r="M103" t="str">
        <f>IF(VIN_nom&gt;Vout, "BUCK", "BOOST")</f>
        <v>BUCK</v>
      </c>
      <c r="N103" s="330">
        <f>IF(VIN_nom&gt;Vout, Buck_CS_threshold/K103, Boost_CS_Threshold/L103)</f>
        <v>1.3580114840508669E-2</v>
      </c>
      <c r="P103" s="336">
        <f>Boost_CS_Threshold/L103</f>
        <v>6.6692479951535487E-3</v>
      </c>
    </row>
    <row r="104" spans="1:16" x14ac:dyDescent="0.2">
      <c r="A104" s="223" t="s">
        <v>434</v>
      </c>
      <c r="B104" s="328">
        <f>IF(VIN_max&gt;Vout, Ilimit_DC-Iripple_Vinmax/2, Ilimit_DC/(1-Don_Vinmax_2)+Iripple_Vinmax/2)</f>
        <v>5.1362366452505324</v>
      </c>
      <c r="C104" t="s">
        <v>2</v>
      </c>
      <c r="D104" t="str">
        <f>IF(VIN_max&gt;Vout, "BUCK", "BOOST")</f>
        <v>BUCK</v>
      </c>
      <c r="E104" s="118" t="s">
        <v>833</v>
      </c>
      <c r="I104" s="57"/>
      <c r="K104" s="328">
        <f>Ilimit_DC-Iripple_Vinmax/2</f>
        <v>5.1362366452505324</v>
      </c>
      <c r="L104" s="328">
        <f>Ilimit_DC/(1-Don_Vinmax_2)+Iripple_Vinmax/2</f>
        <v>18.944004076915967</v>
      </c>
      <c r="M104" t="str">
        <f>IF(VIN_max&gt;Vout, "BUCK", "BOOST")</f>
        <v>BUCK</v>
      </c>
      <c r="N104" s="330">
        <f>IF(VIN_max&gt;Vout, Buck_CS_threshold/K104, Boost_CS_Threshold/L104)</f>
        <v>1.5575606329193543E-2</v>
      </c>
      <c r="P104" s="336">
        <f>Boost_CS_Threshold/L104</f>
        <v>8.4459441283042409E-3</v>
      </c>
    </row>
    <row r="105" spans="1:16" x14ac:dyDescent="0.2">
      <c r="A105" s="223" t="s">
        <v>816</v>
      </c>
      <c r="B105" s="328">
        <f>Ilimit_DC/(1-Don_buckboost)+Iripple_edgebuckboost/2</f>
        <v>10.614273246069711</v>
      </c>
      <c r="C105" s="118" t="s">
        <v>2</v>
      </c>
      <c r="D105" s="118" t="s">
        <v>834</v>
      </c>
      <c r="I105" s="57"/>
    </row>
    <row r="106" spans="1:16" x14ac:dyDescent="0.2">
      <c r="I106" s="57"/>
    </row>
    <row r="107" spans="1:16" x14ac:dyDescent="0.2">
      <c r="A107" s="223" t="s">
        <v>739</v>
      </c>
      <c r="B107" s="525">
        <v>6.4000000000000001E-2</v>
      </c>
      <c r="C107" s="118" t="s">
        <v>0</v>
      </c>
      <c r="I107" s="57"/>
    </row>
    <row r="108" spans="1:16" x14ac:dyDescent="0.2">
      <c r="A108" s="223" t="s">
        <v>423</v>
      </c>
      <c r="B108" s="327">
        <v>0.08</v>
      </c>
      <c r="C108" s="118" t="s">
        <v>0</v>
      </c>
      <c r="D108" s="2" t="s">
        <v>846</v>
      </c>
      <c r="I108" s="57"/>
    </row>
    <row r="109" spans="1:16" x14ac:dyDescent="0.2">
      <c r="A109" s="223" t="s">
        <v>744</v>
      </c>
      <c r="B109" s="525">
        <v>9.6000000000000002E-2</v>
      </c>
      <c r="C109" s="118" t="s">
        <v>0</v>
      </c>
      <c r="I109" s="57"/>
    </row>
    <row r="110" spans="1:16" x14ac:dyDescent="0.2">
      <c r="A110" s="223"/>
      <c r="B110" s="387"/>
      <c r="C110" s="118"/>
      <c r="I110" s="57"/>
    </row>
    <row r="111" spans="1:16" x14ac:dyDescent="0.2">
      <c r="A111" s="223" t="s">
        <v>740</v>
      </c>
      <c r="B111" s="525">
        <v>0.128</v>
      </c>
      <c r="C111" s="118" t="s">
        <v>0</v>
      </c>
      <c r="I111" s="57"/>
    </row>
    <row r="112" spans="1:16" x14ac:dyDescent="0.2">
      <c r="A112" s="223" t="s">
        <v>424</v>
      </c>
      <c r="B112" s="327">
        <v>0.16</v>
      </c>
      <c r="C112" s="118" t="s">
        <v>0</v>
      </c>
      <c r="D112" s="2" t="s">
        <v>847</v>
      </c>
      <c r="I112" s="57"/>
    </row>
    <row r="113" spans="1:12" x14ac:dyDescent="0.2">
      <c r="A113" s="223" t="s">
        <v>745</v>
      </c>
      <c r="B113" s="525">
        <v>0.192</v>
      </c>
      <c r="C113" s="118" t="s">
        <v>0</v>
      </c>
      <c r="I113" s="57"/>
    </row>
    <row r="114" spans="1:12" x14ac:dyDescent="0.2">
      <c r="I114" s="57"/>
    </row>
    <row r="115" spans="1:12" x14ac:dyDescent="0.2">
      <c r="A115" s="574" t="s">
        <v>841</v>
      </c>
      <c r="B115" s="118"/>
      <c r="C115" s="118"/>
      <c r="I115" s="57"/>
    </row>
    <row r="116" spans="1:12" x14ac:dyDescent="0.2">
      <c r="A116" s="223" t="s">
        <v>837</v>
      </c>
      <c r="B116" s="330">
        <f>IF(VIN_min&gt;Vout,Buck_CS_threshold/B102, Boost_CS_Threshold/B102)</f>
        <v>7.5263967548640804E-3</v>
      </c>
      <c r="C116" s="225" t="s">
        <v>120</v>
      </c>
      <c r="D116" t="str">
        <f>IF(VIN_min&gt;Vout, "BUCK", "BOOST")</f>
        <v>BOOST</v>
      </c>
      <c r="I116" s="57"/>
    </row>
    <row r="117" spans="1:12" x14ac:dyDescent="0.2">
      <c r="A117" s="223" t="s">
        <v>838</v>
      </c>
      <c r="B117" s="330">
        <f>IF(VIN_nom&gt;Vout,Buck_CS_threshold/B103, Boost_CS_Threshold/B103)</f>
        <v>1.3580114840508669E-2</v>
      </c>
      <c r="C117" s="225" t="s">
        <v>120</v>
      </c>
      <c r="D117" t="str">
        <f>IF(VIN_nom&gt;Vout, "BUCK", "BOOST")</f>
        <v>BUCK</v>
      </c>
      <c r="I117" s="57"/>
    </row>
    <row r="118" spans="1:12" x14ac:dyDescent="0.2">
      <c r="A118" s="223" t="s">
        <v>839</v>
      </c>
      <c r="B118" s="330">
        <f>IF(VIN_max&gt;Vout,Buck_CS_threshold/B104, Boost_CS_Threshold/B104)</f>
        <v>1.5575606329193543E-2</v>
      </c>
      <c r="C118" s="225" t="s">
        <v>120</v>
      </c>
      <c r="D118" t="str">
        <f>IF(VIN_max&gt;Vout, "BUCK", "BOOST")</f>
        <v>BUCK</v>
      </c>
      <c r="I118" s="57"/>
    </row>
    <row r="119" spans="1:12" x14ac:dyDescent="0.2">
      <c r="A119" s="223" t="s">
        <v>842</v>
      </c>
      <c r="B119" s="330">
        <f>IF(VIN_min&lt;VIN_edgebuckboost,Buck_CS_threshold/B105, 10)</f>
        <v>7.5370209665200274E-3</v>
      </c>
      <c r="C119" s="225" t="s">
        <v>120</v>
      </c>
      <c r="D119" s="118" t="s">
        <v>843</v>
      </c>
      <c r="I119" s="57"/>
    </row>
    <row r="120" spans="1:12" x14ac:dyDescent="0.2">
      <c r="A120" s="223"/>
      <c r="B120" s="30"/>
      <c r="C120" s="225"/>
      <c r="I120" s="57"/>
    </row>
    <row r="121" spans="1:12" x14ac:dyDescent="0.2">
      <c r="A121" s="223" t="s">
        <v>431</v>
      </c>
      <c r="B121" s="331">
        <f>MIN(B116:B119)</f>
        <v>7.5263967548640804E-3</v>
      </c>
      <c r="C121" s="225" t="s">
        <v>120</v>
      </c>
      <c r="E121" s="118" t="s">
        <v>840</v>
      </c>
      <c r="I121" s="57"/>
    </row>
    <row r="122" spans="1:12" x14ac:dyDescent="0.2">
      <c r="A122" s="223" t="s">
        <v>200</v>
      </c>
      <c r="B122" s="572">
        <f>'Design Converter'!E28/1000</f>
        <v>8.0000000000000002E-3</v>
      </c>
      <c r="C122" s="225" t="s">
        <v>120</v>
      </c>
      <c r="E122" s="118" t="s">
        <v>437</v>
      </c>
      <c r="I122" s="57"/>
      <c r="K122" s="118"/>
      <c r="L122" s="118"/>
    </row>
    <row r="123" spans="1:12" x14ac:dyDescent="0.2">
      <c r="A123" s="223"/>
      <c r="B123" s="447"/>
      <c r="C123" s="225"/>
      <c r="E123" s="118"/>
      <c r="I123" s="57"/>
      <c r="K123" s="118"/>
      <c r="L123" s="118"/>
    </row>
    <row r="124" spans="1:12" x14ac:dyDescent="0.2">
      <c r="A124" s="223" t="s">
        <v>598</v>
      </c>
      <c r="B124" s="4">
        <f>Boost_CS_Threshold/Rs</f>
        <v>20</v>
      </c>
      <c r="C124" s="118" t="s">
        <v>2</v>
      </c>
      <c r="E124" s="118" t="s">
        <v>835</v>
      </c>
      <c r="I124" s="57"/>
    </row>
    <row r="125" spans="1:12" x14ac:dyDescent="0.2">
      <c r="A125" s="223" t="s">
        <v>741</v>
      </c>
      <c r="B125" s="4">
        <f>Buck_CS_threshold/Rs</f>
        <v>10</v>
      </c>
      <c r="C125" s="118" t="s">
        <v>2</v>
      </c>
      <c r="E125" s="118" t="s">
        <v>836</v>
      </c>
      <c r="I125" s="57"/>
    </row>
    <row r="126" spans="1:12" x14ac:dyDescent="0.2">
      <c r="A126" s="223"/>
      <c r="I126" s="57"/>
    </row>
    <row r="127" spans="1:12" ht="15.75" x14ac:dyDescent="0.3">
      <c r="A127" s="223" t="s">
        <v>599</v>
      </c>
      <c r="B127" s="338">
        <f>IF(VIN_min&gt;Vout,Buck_CS_threshold/Rs+Iripple_Vinmin/2, (Boost_CS_Threshold/Rs-Iripple_Vinmin/2)*(1-Don_Vinmin_2))</f>
        <v>7.4925694278184167</v>
      </c>
      <c r="C127" t="s">
        <v>2</v>
      </c>
      <c r="D127" t="str">
        <f>IF(VIN_min&gt;Vout, "BUCK", "BOOST")</f>
        <v>BOOST</v>
      </c>
      <c r="E127" s="118" t="s">
        <v>605</v>
      </c>
      <c r="I127" s="57"/>
    </row>
    <row r="128" spans="1:12" x14ac:dyDescent="0.2">
      <c r="A128" s="223" t="s">
        <v>661</v>
      </c>
      <c r="B128" s="338">
        <f>IF(VIN_nom&gt;Vout,Buck_CS_threshold/Rs+Iripple_Vinnom/2, IF(VIN_nom&lt;VIN_edgebuckboost,(Boost_CS_Threshold/Rs-Iripple_Vinnom/2)*(1-Don_Vinnom_2),(Buck_CS_threshold/Rs-Iripple_Vinnom/2)*(1-Don_Vinnom_2)))</f>
        <v>12.109033617199996</v>
      </c>
      <c r="C128" t="s">
        <v>2</v>
      </c>
      <c r="D128" t="str">
        <f>IF(VIN_nom&gt;Vout,"BUCK",IF(VIN_nom&lt;VIN_edgebuckboost,"BOOST","BUCK-BOOST"))</f>
        <v>BUCK</v>
      </c>
      <c r="I128" s="57"/>
    </row>
    <row r="129" spans="1:14" x14ac:dyDescent="0.2">
      <c r="A129" s="223" t="s">
        <v>600</v>
      </c>
      <c r="B129" s="338">
        <f>IF(VIN_max&gt;Vout, Buck_CS_threshold/Rs+Iripple_Vinmax/2, (Boost_CS_Threshold/Rs-Iripple_Vinmax/2)*(1-Don_Vinmax_2))</f>
        <v>12.863763354749468</v>
      </c>
      <c r="C129" t="s">
        <v>2</v>
      </c>
      <c r="D129" t="str">
        <f>IF(VIN_max&gt;Vout, "BUCK", "BOOST")</f>
        <v>BUCK</v>
      </c>
      <c r="I129" s="57"/>
    </row>
    <row r="130" spans="1:14" x14ac:dyDescent="0.2">
      <c r="A130" s="223" t="s">
        <v>819</v>
      </c>
      <c r="B130" s="338">
        <f>(Buck_CS_threshold/Rs-Iripple_edgebuckboost/2)*(1-Don_buckboost)</f>
        <v>7.4682850782020562</v>
      </c>
      <c r="C130" t="s">
        <v>2</v>
      </c>
      <c r="D130" s="2" t="s">
        <v>844</v>
      </c>
      <c r="I130" s="57"/>
      <c r="K130" s="118" t="s">
        <v>747</v>
      </c>
      <c r="M130" s="118" t="s">
        <v>748</v>
      </c>
    </row>
    <row r="131" spans="1:14" x14ac:dyDescent="0.2">
      <c r="A131" s="223"/>
      <c r="B131" s="118"/>
      <c r="C131"/>
      <c r="I131" s="57"/>
      <c r="K131" s="118"/>
      <c r="M131" s="118"/>
    </row>
    <row r="132" spans="1:14" x14ac:dyDescent="0.2">
      <c r="A132" s="223" t="s">
        <v>601</v>
      </c>
      <c r="B132" s="575">
        <f>IF(VIN_min&gt;Vout, Buck_CS_threshold/Rs+Iripple_Vinmin, Boost_CS_Threshold/Rs)</f>
        <v>20</v>
      </c>
      <c r="C132" t="s">
        <v>2</v>
      </c>
      <c r="D132" t="str">
        <f>IF(VIN_min&gt;Vout, "BUCK", "BOOST")</f>
        <v>BOOST</v>
      </c>
      <c r="E132" s="118" t="s">
        <v>604</v>
      </c>
      <c r="H132">
        <f>SQRT(Don_Vinmin_2)*SQRT(Iin_Vinmin^2+(Iripple_Vinmin^2)/12)</f>
        <v>11.605164344746033</v>
      </c>
      <c r="I132" s="57"/>
      <c r="K132" s="48">
        <f>IF(VIN_min&gt;Vout, SQRT(1-Don_Vinmin_2)*SQRT(Iout_OCP_Vinmin^2+(Iripple_Vinmin^2)/12), SQRT(Don_Vinmin_2)*SQRT(Iin_Vinmin^2+(Iripple_Vinmin^2)/12))</f>
        <v>11.605164344746033</v>
      </c>
      <c r="L132" s="2" t="s">
        <v>2</v>
      </c>
      <c r="M132" s="4">
        <f>K132^2*Rs</f>
        <v>1.0774387157485168</v>
      </c>
      <c r="N132" s="2" t="s">
        <v>120</v>
      </c>
    </row>
    <row r="133" spans="1:14" x14ac:dyDescent="0.2">
      <c r="A133" s="223" t="s">
        <v>602</v>
      </c>
      <c r="B133" s="575">
        <f>IF(VIN_nom&gt;Vout, Buck_CS_threshold/Rs+Iripple_Vinnom, IF(VIN_nom&lt;VIN_edgebuckboost, Boost_CS_Threshold/Rs, Buck_CS_threshold/Rs))</f>
        <v>14.218067234399992</v>
      </c>
      <c r="C133" t="s">
        <v>2</v>
      </c>
      <c r="D133" t="str">
        <f>IF(VIN_nom&gt;Vout,"BUCK",IF(VIN_nom&lt;VIN_edgebuckboost,"BOOST","BUCK-BOOST"))</f>
        <v>BUCK</v>
      </c>
      <c r="H133">
        <f>SQRT(1-Don_Vinnom_2)*SQRT(Iout_OCP_Vinnom^2+(Iripple_Vinnom^2)/12)</f>
        <v>7.3586625667438552</v>
      </c>
      <c r="I133" s="57"/>
      <c r="K133" s="48">
        <f>IF(VIN_nom&gt;Vout, SQRT(1-Don_Vinnom_2)*SQRT(Iout_OCP_Vinnom^2+(Iripple_Vinnom^2)/12), SQRT(Don_Vinnom_2)*SQRT(Iin_Vinnom^2+(Iripple_Vinnom^2)/12))</f>
        <v>7.3586625667438552</v>
      </c>
      <c r="L133" s="2" t="s">
        <v>2</v>
      </c>
      <c r="M133" s="4">
        <f>K133^2*Rs</f>
        <v>0.43319931816957813</v>
      </c>
      <c r="N133" s="2" t="s">
        <v>120</v>
      </c>
    </row>
    <row r="134" spans="1:14" x14ac:dyDescent="0.2">
      <c r="A134" s="223" t="s">
        <v>603</v>
      </c>
      <c r="B134" s="575">
        <f>IF(VIN_max&gt;Vout, Buck_CS_threshold/Rs+Iripple_Vinmax, Boost_CS_Threshold/Rs)</f>
        <v>15.727526709498935</v>
      </c>
      <c r="C134" t="s">
        <v>2</v>
      </c>
      <c r="D134" t="str">
        <f>IF(VIN_max&gt;Vout, "BUCK", "BOOST")</f>
        <v>BUCK</v>
      </c>
      <c r="H134">
        <f>SQRT(1-Don_Vinmax_2)*SQRT(Iout_OCP_Vinmax^2+(Iripple_Vinmax^2)/12)</f>
        <v>9.147971067461711</v>
      </c>
      <c r="I134" s="57"/>
      <c r="K134" s="48">
        <f>IF(VIN_max&gt;Vout, SQRT(1-Don_Vinmax_2)*SQRT(Iout_OCP_Vinmax^2+(Iripple_Vinmax^2)/12), SQRT(Don_Vinmax_2)*SQRT(Iin_Vinmax^2+(Iripple_Vinmax^2)/12))</f>
        <v>9.147971067461711</v>
      </c>
      <c r="L134" s="526" t="s">
        <v>2</v>
      </c>
      <c r="M134" s="4">
        <f>K134^2*Rs</f>
        <v>0.66948299720893245</v>
      </c>
      <c r="N134" s="2" t="s">
        <v>120</v>
      </c>
    </row>
    <row r="135" spans="1:14" x14ac:dyDescent="0.2">
      <c r="A135" s="223" t="s">
        <v>956</v>
      </c>
      <c r="B135" s="576">
        <f>MAX(B132:B134)</f>
        <v>20</v>
      </c>
      <c r="C135" s="118" t="s">
        <v>2</v>
      </c>
      <c r="I135" s="57"/>
      <c r="K135" s="48"/>
      <c r="L135" s="526"/>
      <c r="M135" s="4"/>
      <c r="N135" s="2"/>
    </row>
    <row r="136" spans="1:14" x14ac:dyDescent="0.2">
      <c r="A136" s="223"/>
      <c r="B136" s="527"/>
      <c r="C136"/>
      <c r="I136" s="57"/>
    </row>
    <row r="137" spans="1:14" x14ac:dyDescent="0.2">
      <c r="A137" s="223" t="s">
        <v>662</v>
      </c>
      <c r="B137" s="576">
        <f>MAX(B132:B134)</f>
        <v>20</v>
      </c>
      <c r="C137" t="s">
        <v>2</v>
      </c>
      <c r="E137" t="s">
        <v>663</v>
      </c>
      <c r="I137" s="57"/>
    </row>
    <row r="138" spans="1:14" x14ac:dyDescent="0.2">
      <c r="A138" s="223"/>
      <c r="B138" s="4"/>
      <c r="C138" s="118"/>
      <c r="I138" s="57"/>
    </row>
    <row r="139" spans="1:14" x14ac:dyDescent="0.2">
      <c r="A139" s="223" t="s">
        <v>438</v>
      </c>
      <c r="B139" s="329">
        <f>Lf/Rs*0.4*10^6*0.7</f>
        <v>164.5</v>
      </c>
      <c r="C139" s="118" t="s">
        <v>32</v>
      </c>
      <c r="E139" s="118" t="s">
        <v>825</v>
      </c>
      <c r="I139" s="57"/>
    </row>
    <row r="140" spans="1:14" x14ac:dyDescent="0.2">
      <c r="A140" s="223" t="s">
        <v>441</v>
      </c>
      <c r="B140" s="332">
        <f>'Standard Value Calculator'!O14</f>
        <v>150</v>
      </c>
      <c r="C140" s="118" t="s">
        <v>32</v>
      </c>
      <c r="E140" s="118" t="s">
        <v>749</v>
      </c>
      <c r="I140" s="57"/>
    </row>
    <row r="141" spans="1:14" x14ac:dyDescent="0.2">
      <c r="A141" s="223" t="s">
        <v>442</v>
      </c>
      <c r="B141" s="335">
        <f>'Design Converter'!E32</f>
        <v>150</v>
      </c>
      <c r="C141" s="118" t="s">
        <v>32</v>
      </c>
      <c r="E141" s="118" t="s">
        <v>824</v>
      </c>
      <c r="I141" s="57"/>
    </row>
    <row r="142" spans="1:14" x14ac:dyDescent="0.2">
      <c r="A142" s="223"/>
      <c r="B142" s="225"/>
      <c r="C142" s="118"/>
      <c r="E142" s="118"/>
      <c r="I142" s="57"/>
    </row>
    <row r="143" spans="1:14" x14ac:dyDescent="0.2">
      <c r="A143" s="223" t="s">
        <v>447</v>
      </c>
      <c r="B143" s="444">
        <v>3.9999999999999998E-6</v>
      </c>
      <c r="C143" s="118" t="s">
        <v>2</v>
      </c>
      <c r="E143" s="118"/>
      <c r="I143" s="57"/>
    </row>
    <row r="144" spans="1:14" x14ac:dyDescent="0.2">
      <c r="A144" s="223"/>
      <c r="B144" s="4"/>
      <c r="C144" s="225"/>
      <c r="D144" s="118"/>
      <c r="G144" s="459">
        <f>Islope_fixed/(Cslope*10^-12)</f>
        <v>26666.666666666664</v>
      </c>
      <c r="I144" s="57"/>
    </row>
    <row r="145" spans="1:14" x14ac:dyDescent="0.2">
      <c r="A145" s="223" t="s">
        <v>448</v>
      </c>
      <c r="B145" s="333">
        <f>(ABS((VIN_min-Vout))*2*10^-6 + Islope_fixed)/(Cslope*10^-12)</f>
        <v>120000</v>
      </c>
      <c r="C145" s="118" t="s">
        <v>443</v>
      </c>
      <c r="E145" t="s">
        <v>444</v>
      </c>
      <c r="I145" s="57"/>
    </row>
    <row r="146" spans="1:14" x14ac:dyDescent="0.2">
      <c r="A146" s="223" t="s">
        <v>448</v>
      </c>
      <c r="B146" s="333">
        <f>(ABS((VIN_nom-Vout))*2*10^-6 + Islope_fixed)/(Cslope*10^-12)</f>
        <v>120000</v>
      </c>
      <c r="C146" s="118" t="s">
        <v>443</v>
      </c>
      <c r="E146" s="118" t="s">
        <v>445</v>
      </c>
      <c r="I146" s="57"/>
    </row>
    <row r="147" spans="1:14" x14ac:dyDescent="0.2">
      <c r="A147" s="223" t="s">
        <v>448</v>
      </c>
      <c r="B147" s="333">
        <f>(ABS((VIN_max-Vout))*2*10^-6 + Islope_fixed)/(Cslope*10^-12)</f>
        <v>186666.66666666666</v>
      </c>
      <c r="C147" s="118" t="s">
        <v>443</v>
      </c>
      <c r="E147" s="118" t="s">
        <v>446</v>
      </c>
      <c r="I147" s="57"/>
    </row>
    <row r="148" spans="1:14" x14ac:dyDescent="0.2">
      <c r="C148"/>
      <c r="I148" s="57"/>
      <c r="K148" s="2" t="s">
        <v>449</v>
      </c>
      <c r="L148" s="2" t="s">
        <v>450</v>
      </c>
    </row>
    <row r="149" spans="1:14" x14ac:dyDescent="0.2">
      <c r="A149" s="223" t="s">
        <v>462</v>
      </c>
      <c r="B149" s="577">
        <f>IF(D149="BUCK", K149,L149)</f>
        <v>0.31971500721500717</v>
      </c>
      <c r="C149" s="118" t="s">
        <v>0</v>
      </c>
      <c r="D149" t="str">
        <f>IF(VIN_min&gt;Vout, "BUCK", "BOOST")</f>
        <v>BOOST</v>
      </c>
      <c r="E149" t="s">
        <v>444</v>
      </c>
      <c r="I149" s="57"/>
      <c r="K149" s="336">
        <f>B145*(1-Don_Vinmin_2)/Fsw</f>
        <v>0.21599927849927852</v>
      </c>
      <c r="L149" s="336">
        <f>B145*Don_Vinmin_2/Fsw</f>
        <v>0.31971500721500717</v>
      </c>
      <c r="N149" t="str">
        <f>IF(VIN_min&gt;Vout, "BUCK", "BOOST")</f>
        <v>BOOST</v>
      </c>
    </row>
    <row r="150" spans="1:14" x14ac:dyDescent="0.2">
      <c r="A150" s="223" t="s">
        <v>463</v>
      </c>
      <c r="B150" s="577">
        <f>IF(D150="BUCK", K150,L150)</f>
        <v>0.19585858282834342</v>
      </c>
      <c r="C150" s="118" t="s">
        <v>0</v>
      </c>
      <c r="D150" t="str">
        <f>IF(VIN_nom&gt;Vout,"BUCK",IF(VIN_nom&lt;VIN_edgebuckboost,"BOOST","BUCK-BOOST"))</f>
        <v>BUCK</v>
      </c>
      <c r="E150" s="118" t="s">
        <v>445</v>
      </c>
      <c r="I150" s="57"/>
      <c r="K150" s="336">
        <f>B146*(1-Don_Vinnom_2)/Fsw</f>
        <v>0.19585858282834342</v>
      </c>
      <c r="L150" s="336">
        <f>B146*Don_Vinnom_2/Fsw</f>
        <v>0.33985570288594225</v>
      </c>
      <c r="N150" t="str">
        <f>IF(VIN_nom&gt;Vout, "BUCK", "BOOST")</f>
        <v>BUCK</v>
      </c>
    </row>
    <row r="151" spans="1:14" x14ac:dyDescent="0.2">
      <c r="A151" s="223" t="s">
        <v>464</v>
      </c>
      <c r="B151" s="577">
        <f>IF(D151="BUCK", K151,L151)</f>
        <v>0.4145874916833</v>
      </c>
      <c r="C151" s="118" t="s">
        <v>0</v>
      </c>
      <c r="D151" t="str">
        <f>IF(VIN_max&gt;Vout, "BUCK", "BOOST")</f>
        <v>BUCK</v>
      </c>
      <c r="E151" s="118" t="s">
        <v>446</v>
      </c>
      <c r="I151" s="57"/>
      <c r="K151" s="336">
        <f>B147*(1-Don_Vinmax_2)/Fsw</f>
        <v>0.4145874916833</v>
      </c>
      <c r="L151" s="336">
        <f>B147*Don_Vinmax_2/Fsw</f>
        <v>0.41874584165003326</v>
      </c>
      <c r="N151" t="str">
        <f>IF(VIN_max&gt;Vout, "BUCK", "BOOST")</f>
        <v>BUCK</v>
      </c>
    </row>
    <row r="152" spans="1:14" x14ac:dyDescent="0.2">
      <c r="A152" s="223"/>
      <c r="C152" s="225"/>
      <c r="E152" s="118"/>
      <c r="I152" s="57"/>
    </row>
    <row r="153" spans="1:14" x14ac:dyDescent="0.2">
      <c r="A153" s="56"/>
      <c r="D153" s="225"/>
      <c r="E153" s="118"/>
      <c r="I153" s="57"/>
    </row>
    <row r="154" spans="1:14" x14ac:dyDescent="0.2">
      <c r="A154" s="223" t="s">
        <v>453</v>
      </c>
      <c r="B154" s="425" t="str">
        <f>'Design Converter'!E36</f>
        <v>N/A</v>
      </c>
      <c r="C154" s="118" t="s">
        <v>2</v>
      </c>
      <c r="D154" s="225"/>
      <c r="E154" s="118"/>
      <c r="I154" s="57"/>
    </row>
    <row r="155" spans="1:14" x14ac:dyDescent="0.2">
      <c r="A155" s="223" t="s">
        <v>454</v>
      </c>
      <c r="B155" s="337">
        <v>50</v>
      </c>
      <c r="C155" s="118" t="s">
        <v>383</v>
      </c>
      <c r="I155" s="57"/>
    </row>
    <row r="156" spans="1:14" x14ac:dyDescent="0.2">
      <c r="A156" s="223" t="s">
        <v>455</v>
      </c>
      <c r="B156" s="333">
        <f>IF(Constant_Current_Loop_Setpoint="N/A", 0, Iout_threshold/Constant_Current_Loop_Setpoint)</f>
        <v>0</v>
      </c>
      <c r="C156" s="45" t="s">
        <v>439</v>
      </c>
      <c r="I156" s="57"/>
    </row>
    <row r="157" spans="1:14" ht="13.5" thickBot="1" x14ac:dyDescent="0.25">
      <c r="A157" s="60"/>
      <c r="B157" s="61"/>
      <c r="C157" s="61"/>
      <c r="D157" s="61"/>
      <c r="E157" s="122"/>
      <c r="F157" s="61"/>
      <c r="G157" s="61"/>
      <c r="H157" s="61"/>
      <c r="I157" s="62"/>
    </row>
    <row r="159" spans="1:14" ht="16.5" thickBot="1" x14ac:dyDescent="0.3">
      <c r="A159" s="598" t="s">
        <v>170</v>
      </c>
      <c r="D159" s="2"/>
    </row>
    <row r="160" spans="1:14" x14ac:dyDescent="0.2">
      <c r="A160" s="222" t="s">
        <v>459</v>
      </c>
      <c r="B160" s="340">
        <f>IF(D160="BUCK", Iripple_Vinmin/SQRT(12), Iout*SQRT((Vout-VIN_min)/VIN_min))</f>
        <v>7.0992957397195386</v>
      </c>
      <c r="C160" s="339" t="s">
        <v>2</v>
      </c>
      <c r="D160" s="312" t="str">
        <f>IF(VIN_min&gt;Vout, "BUCK", "BOOST")</f>
        <v>BOOST</v>
      </c>
      <c r="E160" s="121" t="s">
        <v>458</v>
      </c>
      <c r="F160" s="63"/>
      <c r="G160" s="63"/>
      <c r="H160" s="63"/>
      <c r="I160" s="64"/>
      <c r="L160" s="4"/>
    </row>
    <row r="161" spans="1:12" x14ac:dyDescent="0.2">
      <c r="A161" s="223" t="s">
        <v>460</v>
      </c>
      <c r="B161" s="338">
        <f>IF(D161="BUCK", Iripple_Vinnom/SQRT(12), Iout*SQRT((Vout-VIN_nom)/VIN_nom))</f>
        <v>1.2176511266203882</v>
      </c>
      <c r="C161" s="118" t="s">
        <v>2</v>
      </c>
      <c r="D161" t="str">
        <f>IF(VIN_nom&gt;Vout,"BUCK",IF(VIN_nom&lt;VIN_edgebuckboost,"BOOST","BUCK-BOOST"))</f>
        <v>BUCK</v>
      </c>
      <c r="E161" s="118"/>
      <c r="I161" s="57"/>
      <c r="L161" s="4"/>
    </row>
    <row r="162" spans="1:12" x14ac:dyDescent="0.2">
      <c r="A162" s="223" t="s">
        <v>461</v>
      </c>
      <c r="B162" s="338">
        <f>IF(D162="BUCK", Iripple_Vinmax/SQRT(12), Iout*SQRT((Vout-VIN_max)/VIN_max))</f>
        <v>1.6533945437599911</v>
      </c>
      <c r="C162" s="118" t="s">
        <v>2</v>
      </c>
      <c r="D162" t="str">
        <f>IF(VIN_max&gt;Vout, "BUCK", "BOOST")</f>
        <v>BUCK</v>
      </c>
      <c r="E162" s="118"/>
      <c r="I162" s="57"/>
      <c r="L162" s="4"/>
    </row>
    <row r="163" spans="1:12" x14ac:dyDescent="0.2">
      <c r="A163" s="223" t="s">
        <v>851</v>
      </c>
      <c r="B163" s="338">
        <f>MAX(B160:B162)</f>
        <v>7.0992957397195386</v>
      </c>
      <c r="C163" s="118" t="s">
        <v>2</v>
      </c>
      <c r="E163" s="118"/>
      <c r="I163" s="57"/>
      <c r="L163" s="4"/>
    </row>
    <row r="164" spans="1:12" x14ac:dyDescent="0.2">
      <c r="A164" s="223"/>
      <c r="B164" s="48"/>
      <c r="C164" s="118"/>
      <c r="E164" s="118"/>
      <c r="I164" s="57"/>
      <c r="L164" s="4"/>
    </row>
    <row r="165" spans="1:12" x14ac:dyDescent="0.2">
      <c r="A165" s="223" t="s">
        <v>576</v>
      </c>
      <c r="B165" s="448">
        <f>Vripple1*1000</f>
        <v>120</v>
      </c>
      <c r="C165" s="118" t="s">
        <v>383</v>
      </c>
      <c r="E165" s="118" t="s">
        <v>607</v>
      </c>
      <c r="I165" s="57"/>
      <c r="L165" s="4"/>
    </row>
    <row r="166" spans="1:12" x14ac:dyDescent="0.2">
      <c r="A166" s="56"/>
      <c r="B166" s="118"/>
      <c r="E166" s="118"/>
      <c r="I166" s="57"/>
    </row>
    <row r="167" spans="1:12" x14ac:dyDescent="0.2">
      <c r="A167" s="66" t="s">
        <v>24</v>
      </c>
      <c r="B167" s="460">
        <f>IF(VIN_min&gt;Vout, Iripple_Vinmin/(Fsw*8*Vripple1), Iout*Don_Vinmin_2/(Vripple1*Fsw))</f>
        <v>1.3321458633958633E-4</v>
      </c>
      <c r="C167" t="s">
        <v>26</v>
      </c>
      <c r="E167" t="s">
        <v>23</v>
      </c>
      <c r="H167">
        <f>Vripple2</f>
        <v>0.10077114103217044</v>
      </c>
      <c r="I167" s="57">
        <v>1</v>
      </c>
      <c r="K167" s="1">
        <f>Coutmin</f>
        <v>1.3321458633958633E-4</v>
      </c>
    </row>
    <row r="168" spans="1:12" x14ac:dyDescent="0.2">
      <c r="A168" s="223" t="s">
        <v>858</v>
      </c>
      <c r="B168" s="522">
        <f>IF(Coutmin*1000000&lt;22, 22,Coutmin*1000000)</f>
        <v>133.21458633958633</v>
      </c>
      <c r="C168" s="42" t="s">
        <v>25</v>
      </c>
      <c r="I168" s="57"/>
      <c r="K168" s="1">
        <f>Coutmin*1000000</f>
        <v>133.21458633958633</v>
      </c>
    </row>
    <row r="169" spans="1:12" x14ac:dyDescent="0.2">
      <c r="A169" s="223" t="s">
        <v>27</v>
      </c>
      <c r="B169" s="461">
        <f>'Design Converter'!E42/1000000</f>
        <v>2.72E-4</v>
      </c>
      <c r="C169" t="s">
        <v>26</v>
      </c>
      <c r="E169" s="118" t="s">
        <v>465</v>
      </c>
      <c r="I169" s="57">
        <v>1</v>
      </c>
    </row>
    <row r="170" spans="1:12" x14ac:dyDescent="0.2">
      <c r="A170" s="66" t="s">
        <v>52</v>
      </c>
      <c r="B170" s="523">
        <f>IF(VIN_min&gt;Vout, SQRT((Vripple1/Iripple_Vinmin)^2-(1/(Fsw*Cout*8))^2), (Vripple1-Iout*Don_Vinmin_2/(Fsw*Cout))/Iout)</f>
        <v>1.0204809827971593E-2</v>
      </c>
      <c r="C170" s="225" t="s">
        <v>120</v>
      </c>
      <c r="E170" s="118" t="s">
        <v>301</v>
      </c>
      <c r="I170" s="57">
        <v>1</v>
      </c>
    </row>
    <row r="171" spans="1:12" x14ac:dyDescent="0.2">
      <c r="A171" s="2"/>
      <c r="B171" s="580"/>
      <c r="C171" s="225"/>
      <c r="E171" s="118"/>
      <c r="I171" s="57"/>
    </row>
    <row r="172" spans="1:12" x14ac:dyDescent="0.2">
      <c r="A172" s="520" t="s">
        <v>731</v>
      </c>
      <c r="B172" s="521">
        <f>IF(OR(CoutEsrMax&gt;0.3, CoutEsrMax&lt;0, (ISERROR(CoutEsrMax))), "N/A", CoutEsrMax*1000)</f>
        <v>10.204809827971593</v>
      </c>
      <c r="C172" s="45" t="s">
        <v>439</v>
      </c>
      <c r="E172" s="118"/>
      <c r="I172" s="57"/>
    </row>
    <row r="173" spans="1:12" x14ac:dyDescent="0.2">
      <c r="A173" s="223" t="s">
        <v>168</v>
      </c>
      <c r="B173" s="449">
        <f>'Design Converter'!E44/1000</f>
        <v>7.0000000000000001E-3</v>
      </c>
      <c r="C173" s="225" t="s">
        <v>120</v>
      </c>
      <c r="E173" s="118" t="s">
        <v>302</v>
      </c>
      <c r="I173" s="57">
        <v>1</v>
      </c>
      <c r="K173" t="b">
        <f>ISERROR(CoutEsrMax)</f>
        <v>0</v>
      </c>
      <c r="L173" t="b">
        <f>ISERROR(B172)</f>
        <v>0</v>
      </c>
    </row>
    <row r="174" spans="1:12" ht="13.5" thickBot="1" x14ac:dyDescent="0.25">
      <c r="A174" s="412" t="s">
        <v>230</v>
      </c>
      <c r="B174" s="450">
        <f>IF(VIN_min&gt;Vout, Iripple_Vinmax*SQRT(CoutEsr^2+(1/(8*Fsw*Cout))^2), CoutEsr*Iout+Iout*Don_Vinmin_2/(Fsw*Cout))</f>
        <v>0.10077114103217044</v>
      </c>
      <c r="C174" s="109" t="s">
        <v>42</v>
      </c>
      <c r="D174" s="61"/>
      <c r="E174" s="61"/>
      <c r="F174" s="61"/>
      <c r="G174" s="61"/>
      <c r="H174" s="61"/>
      <c r="I174" s="62"/>
      <c r="L174" t="b">
        <f>OR(CoutEsrMax&gt;0.3,CoutEsrMax&lt;0)</f>
        <v>0</v>
      </c>
    </row>
    <row r="175" spans="1:12" x14ac:dyDescent="0.2">
      <c r="K175" t="b">
        <f>OR(TRUE, FALSE, TRUE)</f>
        <v>1</v>
      </c>
    </row>
    <row r="176" spans="1:12" ht="16.5" thickBot="1" x14ac:dyDescent="0.3">
      <c r="A176" s="598" t="s">
        <v>171</v>
      </c>
    </row>
    <row r="177" spans="1:11" ht="15.75" x14ac:dyDescent="0.25">
      <c r="A177" s="99"/>
      <c r="B177" s="100"/>
      <c r="C177" s="343"/>
      <c r="D177" s="100"/>
      <c r="E177" s="100"/>
      <c r="F177" s="100"/>
      <c r="G177" s="100"/>
      <c r="H177" s="100"/>
      <c r="I177" s="101"/>
    </row>
    <row r="178" spans="1:11" x14ac:dyDescent="0.2">
      <c r="A178" s="223" t="s">
        <v>848</v>
      </c>
      <c r="B178" s="116">
        <f>IF(D178="BUCK", Iout*SQRT(Don_Vinmin_2*(1-Don_Vinmax_2)), Iripple_Vinmin/SQRT(12))</f>
        <v>0.81820720513983847</v>
      </c>
      <c r="C178" s="97" t="s">
        <v>2</v>
      </c>
      <c r="D178" t="str">
        <f>IF(VIN_min&gt;Vout, "BUCK", "BOOST")</f>
        <v>BOOST</v>
      </c>
      <c r="F178" s="431">
        <f>Iripple_Vinmin/SQRT(12)</f>
        <v>0.81820720513983847</v>
      </c>
      <c r="G178" s="387">
        <f>Iout*SQRT(Don_Vinmax_2*(1-Don_Vinmax_2))</f>
        <v>2.9999626493186851</v>
      </c>
      <c r="H178" s="120">
        <f>Iout*0.25</f>
        <v>1.5</v>
      </c>
      <c r="I178" s="103"/>
    </row>
    <row r="179" spans="1:11" x14ac:dyDescent="0.2">
      <c r="A179" s="223" t="s">
        <v>849</v>
      </c>
      <c r="B179" s="116">
        <f>IF(D179="BUCK", Iout*SQRT(Don_Vinnom_2*(1-Don_Vinnom_2)), Iripple_Vinnom/SQRT(12))</f>
        <v>2.889592540559669</v>
      </c>
      <c r="C179" s="97" t="s">
        <v>2</v>
      </c>
      <c r="D179" t="str">
        <f>IF(VIN_nom&gt;Vout,"BUCK",IF(VIN_nom&lt;VIN_edgebuckboost,"BOOST","BUCK-BOOST"))</f>
        <v>BUCK</v>
      </c>
      <c r="F179" s="431"/>
      <c r="G179" s="387"/>
      <c r="I179" s="103"/>
    </row>
    <row r="180" spans="1:11" x14ac:dyDescent="0.2">
      <c r="A180" s="223" t="s">
        <v>850</v>
      </c>
      <c r="B180" s="116">
        <f>IF(D180="BUCK", Iout*SQRT(Don_Vinmax_2*(1-Don_Vinmax_2)), Iripple_Vinmax/SQRT(12))</f>
        <v>2.9999626493186851</v>
      </c>
      <c r="C180" s="97" t="s">
        <v>2</v>
      </c>
      <c r="D180" t="str">
        <f>IF(VIN_max&gt;Vout, "BUCK", "BOOST")</f>
        <v>BUCK</v>
      </c>
      <c r="F180" s="431"/>
      <c r="G180" s="387"/>
      <c r="I180" s="103"/>
    </row>
    <row r="181" spans="1:11" x14ac:dyDescent="0.2">
      <c r="A181" s="223" t="s">
        <v>856</v>
      </c>
      <c r="B181" s="116">
        <f>MAX(B178:B180)</f>
        <v>2.9999626493186851</v>
      </c>
      <c r="C181" s="42" t="s">
        <v>2</v>
      </c>
      <c r="D181" s="118" t="s">
        <v>899</v>
      </c>
      <c r="F181" s="431"/>
      <c r="G181" s="387"/>
      <c r="I181" s="103"/>
    </row>
    <row r="182" spans="1:11" x14ac:dyDescent="0.2">
      <c r="A182" s="118"/>
      <c r="B182" s="581"/>
      <c r="C182" s="97"/>
      <c r="F182" s="431"/>
      <c r="G182" s="387"/>
      <c r="I182" s="103"/>
    </row>
    <row r="183" spans="1:11" x14ac:dyDescent="0.2">
      <c r="A183" s="102" t="s">
        <v>273</v>
      </c>
      <c r="B183" s="344">
        <f>'Design Converter'!E49/1000</f>
        <v>0.1</v>
      </c>
      <c r="C183" t="s">
        <v>42</v>
      </c>
      <c r="D183" s="118" t="s">
        <v>857</v>
      </c>
      <c r="I183" s="103"/>
    </row>
    <row r="184" spans="1:11" x14ac:dyDescent="0.2">
      <c r="A184" s="118"/>
      <c r="B184" s="581"/>
      <c r="C184" s="97"/>
      <c r="F184" s="431"/>
      <c r="G184" s="387"/>
      <c r="I184" s="103"/>
    </row>
    <row r="185" spans="1:11" x14ac:dyDescent="0.2">
      <c r="A185" s="520" t="s">
        <v>885</v>
      </c>
      <c r="B185" s="595">
        <f>IF(VIN_max&gt;Vout, Iout*Don_Vinmax_2*(1-Don_Vinmax_2)/(Vinripple1*Fsw), Iripple_Vinmax/(Fsw*8*Vinripple1))</f>
        <v>6.6962618283535576E-5</v>
      </c>
      <c r="C185" s="97" t="s">
        <v>26</v>
      </c>
      <c r="D185" s="118" t="s">
        <v>893</v>
      </c>
      <c r="I185" s="103"/>
      <c r="K185" s="8">
        <f>Iripple_Vinnom/(Fsw*8*Vinripple1)</f>
        <v>2.3538321620535675E-5</v>
      </c>
    </row>
    <row r="186" spans="1:11" x14ac:dyDescent="0.2">
      <c r="A186" s="520" t="s">
        <v>889</v>
      </c>
      <c r="B186" s="596">
        <f>IF(VIN_max&gt;Vout, Iout*0.5*(1-0.5)/(Vinripple1*Fsw), Iripple_Vinmax/(Fsw*8*Vinripple1))</f>
        <v>6.6964285714285718E-5</v>
      </c>
      <c r="C186" s="97"/>
      <c r="D186" s="118" t="s">
        <v>886</v>
      </c>
      <c r="G186" s="30"/>
      <c r="I186" s="103"/>
      <c r="K186" s="8"/>
    </row>
    <row r="187" spans="1:11" x14ac:dyDescent="0.2">
      <c r="A187" s="520" t="s">
        <v>272</v>
      </c>
      <c r="B187" s="30">
        <f>IF(VIN_max&lt;2*Vout, B185,B186)</f>
        <v>6.6964285714285718E-5</v>
      </c>
      <c r="C187" s="97"/>
      <c r="G187" s="30"/>
      <c r="I187" s="103"/>
      <c r="K187" s="8"/>
    </row>
    <row r="188" spans="1:11" x14ac:dyDescent="0.2">
      <c r="A188" s="520" t="s">
        <v>730</v>
      </c>
      <c r="B188" s="522">
        <f>IF(Cinmin*1000000&lt;10, 10,Cinmin*1000000)</f>
        <v>66.964285714285722</v>
      </c>
      <c r="C188" s="42" t="s">
        <v>25</v>
      </c>
      <c r="D188" s="118" t="s">
        <v>899</v>
      </c>
      <c r="I188" s="103"/>
    </row>
    <row r="189" spans="1:11" x14ac:dyDescent="0.2">
      <c r="A189" s="104" t="s">
        <v>61</v>
      </c>
      <c r="B189" s="462">
        <f>'Design Converter'!E51/1000000</f>
        <v>1E-4</v>
      </c>
      <c r="C189" s="97" t="s">
        <v>26</v>
      </c>
      <c r="D189" t="s">
        <v>178</v>
      </c>
      <c r="I189" s="103"/>
    </row>
    <row r="190" spans="1:11" x14ac:dyDescent="0.2">
      <c r="A190" s="520" t="s">
        <v>887</v>
      </c>
      <c r="B190" s="330">
        <f>IF(VIN_max&gt;Vout, -(Iout*Don_Vinmax_2*(1-Don_Vinmax_2)/(Cin*Fsw)-Vinripple1)/(Iout+Iripple_Vinmax/2), SQRT((Vinripple1/Iripple_Vinmax)^2-(1/(Fsw*Cin*8))^2))</f>
        <v>3.727240946562729E-3</v>
      </c>
      <c r="C190" s="225" t="s">
        <v>120</v>
      </c>
      <c r="I190" s="103"/>
    </row>
    <row r="191" spans="1:11" x14ac:dyDescent="0.2">
      <c r="A191" s="520" t="s">
        <v>888</v>
      </c>
      <c r="B191" s="330">
        <f>IF(VIN_max&gt;Vout, -(Iout*0.5*(1-0.5)/(Cin*Fsw)-Vinripple1)/(Iout+Iripple_Vinmax/2), SQRT((Vinripple1/Iripple_Vinmax)^2-(1/(Fsw*Cin*8))^2))</f>
        <v>3.7270528288656057E-3</v>
      </c>
      <c r="C191" s="225" t="s">
        <v>120</v>
      </c>
      <c r="D191" s="118" t="s">
        <v>894</v>
      </c>
      <c r="I191" s="103"/>
    </row>
    <row r="192" spans="1:11" x14ac:dyDescent="0.2">
      <c r="A192" s="520" t="s">
        <v>274</v>
      </c>
      <c r="B192" s="330">
        <f>IF(VIN_max&lt;2*Vout, B190,B191)</f>
        <v>3.7270528288656057E-3</v>
      </c>
      <c r="C192" s="225" t="s">
        <v>120</v>
      </c>
      <c r="I192" s="103"/>
    </row>
    <row r="193" spans="1:11" x14ac:dyDescent="0.2">
      <c r="A193" s="520" t="s">
        <v>732</v>
      </c>
      <c r="B193" s="579">
        <f>IF(OR(CinEsrMax&gt;0.3, CinEsrMax&lt;0), "N/A",CinEsrMax*1000)</f>
        <v>3.7270528288656055</v>
      </c>
      <c r="C193" s="45" t="s">
        <v>439</v>
      </c>
      <c r="D193" t="s">
        <v>899</v>
      </c>
      <c r="I193" s="103"/>
    </row>
    <row r="194" spans="1:11" x14ac:dyDescent="0.2">
      <c r="A194" s="104" t="s">
        <v>90</v>
      </c>
      <c r="B194" s="98">
        <f>'Design Converter'!E53/1000</f>
        <v>2E-3</v>
      </c>
      <c r="C194" s="225" t="s">
        <v>120</v>
      </c>
      <c r="D194" s="118" t="s">
        <v>303</v>
      </c>
      <c r="I194" s="103"/>
    </row>
    <row r="195" spans="1:11" x14ac:dyDescent="0.2">
      <c r="D195" s="118"/>
      <c r="I195" s="103"/>
      <c r="K195" s="336">
        <f>CinEsrMax</f>
        <v>3.7270528288656057E-3</v>
      </c>
    </row>
    <row r="196" spans="1:11" x14ac:dyDescent="0.2">
      <c r="A196" s="520" t="s">
        <v>890</v>
      </c>
      <c r="B196" s="426">
        <f>IF(VIN_max&gt;Vout, Iout*Don_Vinmax_2*(1-Don_Vinmax_2)/(Cin*Fsw)+(Iout +Iripple_Vinmax/2)*RCinEsr, Iripple_Vinmax*SQRT(RCinEsr^2+(1/(8*Fsw*Cin))^2))</f>
        <v>8.4690144993034511E-2</v>
      </c>
      <c r="C196" s="97" t="s">
        <v>42</v>
      </c>
      <c r="I196" s="103"/>
    </row>
    <row r="197" spans="1:11" x14ac:dyDescent="0.2">
      <c r="A197" s="520" t="s">
        <v>891</v>
      </c>
      <c r="B197" s="426">
        <f>IF(VIN_max&gt;Vout, Iout*0.5*(1-0.5)/(Cin*Fsw)+(Iout +Iripple_Vinmax/2)*RCinEsr, Iripple_Vinmax*SQRT(RCinEsr^2+(1/(8*Fsw*Cin))^2))</f>
        <v>8.4691812423784651E-2</v>
      </c>
      <c r="C197" s="97" t="s">
        <v>42</v>
      </c>
      <c r="D197" s="118" t="s">
        <v>892</v>
      </c>
      <c r="I197" s="103"/>
    </row>
    <row r="198" spans="1:11" x14ac:dyDescent="0.2">
      <c r="A198" s="520" t="s">
        <v>275</v>
      </c>
      <c r="B198" s="426">
        <f>IF(VIN_max&lt;2*Vout, B196,B197)</f>
        <v>8.4691812423784651E-2</v>
      </c>
      <c r="C198" s="97" t="s">
        <v>42</v>
      </c>
      <c r="D198" s="118" t="s">
        <v>898</v>
      </c>
      <c r="I198" s="103"/>
    </row>
    <row r="199" spans="1:11" x14ac:dyDescent="0.2">
      <c r="A199" s="104"/>
      <c r="B199" s="597"/>
      <c r="C199" s="97"/>
      <c r="I199" s="103"/>
    </row>
    <row r="200" spans="1:11" ht="13.5" thickBot="1" x14ac:dyDescent="0.25">
      <c r="A200" s="105"/>
      <c r="B200" s="427">
        <f>Iout*Don_Vinmax_2*(1-Don_Vinmax_2)/(Cin*Fsw)</f>
        <v>6.6962618283535572E-2</v>
      </c>
      <c r="C200" s="345" t="s">
        <v>42</v>
      </c>
      <c r="D200" s="106"/>
      <c r="E200" s="107"/>
      <c r="F200" s="107"/>
      <c r="G200" s="107"/>
      <c r="H200" s="107"/>
      <c r="I200" s="108"/>
    </row>
    <row r="202" spans="1:11" ht="16.5" thickBot="1" x14ac:dyDescent="0.3">
      <c r="A202" s="582" t="s">
        <v>897</v>
      </c>
    </row>
    <row r="203" spans="1:11" x14ac:dyDescent="0.2">
      <c r="A203" s="93" t="s">
        <v>181</v>
      </c>
      <c r="B203" s="12">
        <f>'Design Converter'!E58/1000</f>
        <v>1.4999999999999999E-2</v>
      </c>
      <c r="C203" s="63" t="s">
        <v>163</v>
      </c>
      <c r="D203" s="121" t="s">
        <v>610</v>
      </c>
      <c r="E203" s="63"/>
      <c r="F203" s="63"/>
      <c r="G203" s="63"/>
      <c r="H203" s="63"/>
      <c r="I203" s="64"/>
    </row>
    <row r="204" spans="1:11" x14ac:dyDescent="0.2">
      <c r="A204" s="56" t="s">
        <v>182</v>
      </c>
      <c r="B204" s="68">
        <f>Cout*Vout/Tss</f>
        <v>0.21760000000000002</v>
      </c>
      <c r="C204" t="s">
        <v>2</v>
      </c>
      <c r="D204" s="118" t="s">
        <v>609</v>
      </c>
      <c r="I204" s="57"/>
    </row>
    <row r="205" spans="1:11" x14ac:dyDescent="0.2">
      <c r="A205" s="56" t="s">
        <v>183</v>
      </c>
      <c r="B205" s="463">
        <f>0.000005*Tss/0.8</f>
        <v>9.3750000000000002E-8</v>
      </c>
      <c r="C205" t="s">
        <v>26</v>
      </c>
      <c r="I205" s="57"/>
    </row>
    <row r="206" spans="1:11" ht="13.5" thickBot="1" x14ac:dyDescent="0.25">
      <c r="A206" s="60" t="s">
        <v>197</v>
      </c>
      <c r="B206" s="464">
        <f>'Standard Value Calculator'!B4</f>
        <v>9.9999999999999995E-8</v>
      </c>
      <c r="C206" s="61" t="s">
        <v>26</v>
      </c>
      <c r="D206" s="61"/>
      <c r="E206" s="61"/>
      <c r="F206" s="61"/>
      <c r="G206" s="61"/>
      <c r="H206" s="61"/>
      <c r="I206" s="62"/>
    </row>
    <row r="208" spans="1:11" ht="16.5" thickBot="1" x14ac:dyDescent="0.3">
      <c r="A208" s="582" t="s">
        <v>896</v>
      </c>
    </row>
    <row r="209" spans="1:9" ht="12.75" customHeight="1" x14ac:dyDescent="0.2">
      <c r="A209" s="222"/>
      <c r="B209" s="95"/>
      <c r="C209" s="315"/>
      <c r="D209" s="121"/>
      <c r="E209" s="63"/>
      <c r="F209" s="63"/>
      <c r="G209" s="63"/>
      <c r="H209" s="63"/>
      <c r="I209" s="64"/>
    </row>
    <row r="210" spans="1:9" ht="12.75" customHeight="1" x14ac:dyDescent="0.3">
      <c r="A210" s="223" t="s">
        <v>305</v>
      </c>
      <c r="B210" s="425">
        <f>'Design Converter'!E62</f>
        <v>5.5</v>
      </c>
      <c r="C210" s="118" t="s">
        <v>0</v>
      </c>
      <c r="I210" s="57"/>
    </row>
    <row r="211" spans="1:9" ht="12.75" customHeight="1" x14ac:dyDescent="0.2">
      <c r="A211" s="223"/>
      <c r="B211" s="44"/>
      <c r="C211" s="118"/>
      <c r="I211" s="57"/>
    </row>
    <row r="212" spans="1:9" ht="12.75" customHeight="1" x14ac:dyDescent="0.3">
      <c r="A212" s="223" t="s">
        <v>330</v>
      </c>
      <c r="B212" s="344">
        <f>'Design Converter'!E64</f>
        <v>200</v>
      </c>
      <c r="C212" s="45" t="s">
        <v>309</v>
      </c>
      <c r="E212">
        <f>'Standard Value Calculator'!O16</f>
        <v>200</v>
      </c>
      <c r="F212" s="45" t="s">
        <v>309</v>
      </c>
      <c r="G212" s="44">
        <f>IF(Ruvlo1&lt;0,"N/A",E212)</f>
        <v>200</v>
      </c>
      <c r="H212" s="44" t="str">
        <f>IF(Ruvlo1&lt;0,"N/A",E212&amp;"kΩ")</f>
        <v>200kΩ</v>
      </c>
      <c r="I212" s="57"/>
    </row>
    <row r="213" spans="1:9" ht="12.75" customHeight="1" x14ac:dyDescent="0.3">
      <c r="A213" s="223" t="s">
        <v>331</v>
      </c>
      <c r="B213" s="429">
        <f>Vuvlo_on/((VINuvlo_on-Vuvlo_on)/Ruvlo1+Iuvlo1)</f>
        <v>52.794496990541703</v>
      </c>
      <c r="C213" s="45" t="s">
        <v>309</v>
      </c>
      <c r="E213">
        <f>'Standard Value Calculator'!O17</f>
        <v>52.300000000000004</v>
      </c>
      <c r="F213" s="45" t="s">
        <v>309</v>
      </c>
      <c r="G213" s="44">
        <f>IF(G212="N/A","N/A",E213)</f>
        <v>52.300000000000004</v>
      </c>
      <c r="H213" s="44" t="str">
        <f>IF(H212="N/A","N/A",E213&amp;"kΩ")</f>
        <v>52.3kΩ</v>
      </c>
      <c r="I213" s="57"/>
    </row>
    <row r="214" spans="1:9" ht="12.75" customHeight="1" x14ac:dyDescent="0.2">
      <c r="A214" s="223"/>
      <c r="B214" s="224"/>
      <c r="C214" s="45"/>
      <c r="F214" s="45"/>
      <c r="I214" s="57"/>
    </row>
    <row r="215" spans="1:9" ht="12.75" customHeight="1" x14ac:dyDescent="0.3">
      <c r="A215" s="223" t="s">
        <v>310</v>
      </c>
      <c r="B215" s="224">
        <f>(E212+E213)/E213*Vuvlo_on-Iuvlo1*E212</f>
        <v>5.5439847036328871</v>
      </c>
      <c r="C215" s="45"/>
      <c r="F215" s="45"/>
      <c r="I215" s="57"/>
    </row>
    <row r="216" spans="1:9" ht="12.75" customHeight="1" x14ac:dyDescent="0.3">
      <c r="A216" s="223" t="s">
        <v>311</v>
      </c>
      <c r="B216" s="224">
        <f>(E212+E213)/E213*Vuvlo_off-Iuvlo2*E212</f>
        <v>4.8439847036328869</v>
      </c>
      <c r="C216" s="45"/>
      <c r="F216" s="45"/>
      <c r="I216" s="57"/>
    </row>
    <row r="217" spans="1:9" ht="12.75" customHeight="1" x14ac:dyDescent="0.2">
      <c r="A217" s="223"/>
      <c r="B217" s="44"/>
      <c r="C217"/>
      <c r="I217" s="57"/>
    </row>
    <row r="218" spans="1:9" ht="12.75" customHeight="1" x14ac:dyDescent="0.2">
      <c r="A218" s="223" t="s">
        <v>306</v>
      </c>
      <c r="B218" s="428">
        <v>1.228</v>
      </c>
      <c r="C218" s="118" t="s">
        <v>0</v>
      </c>
      <c r="I218" s="57"/>
    </row>
    <row r="219" spans="1:9" ht="12.75" customHeight="1" x14ac:dyDescent="0.2">
      <c r="A219" s="223" t="s">
        <v>307</v>
      </c>
      <c r="B219" s="428">
        <v>1.228</v>
      </c>
      <c r="C219" s="118" t="s">
        <v>0</v>
      </c>
      <c r="I219" s="57"/>
    </row>
    <row r="220" spans="1:9" ht="12.75" customHeight="1" x14ac:dyDescent="0.2">
      <c r="A220" s="223" t="s">
        <v>380</v>
      </c>
      <c r="B220" s="44">
        <f>B218-B219</f>
        <v>0</v>
      </c>
      <c r="C220" s="118" t="s">
        <v>0</v>
      </c>
      <c r="I220" s="57"/>
    </row>
    <row r="221" spans="1:9" ht="12.75" customHeight="1" x14ac:dyDescent="0.2">
      <c r="A221" s="223" t="s">
        <v>382</v>
      </c>
      <c r="B221" s="44">
        <v>1.9E-3</v>
      </c>
      <c r="C221" s="118" t="s">
        <v>68</v>
      </c>
      <c r="I221" s="57"/>
    </row>
    <row r="222" spans="1:9" ht="12.75" customHeight="1" x14ac:dyDescent="0.2">
      <c r="A222" s="223" t="s">
        <v>381</v>
      </c>
      <c r="B222" s="44">
        <v>5.4000000000000003E-3</v>
      </c>
      <c r="C222" s="118" t="s">
        <v>68</v>
      </c>
      <c r="E222" s="118" t="s">
        <v>803</v>
      </c>
      <c r="I222" s="57"/>
    </row>
    <row r="223" spans="1:9" ht="12.75" customHeight="1" x14ac:dyDescent="0.2">
      <c r="A223" s="223" t="s">
        <v>308</v>
      </c>
      <c r="B223" s="44">
        <f>B222-B221</f>
        <v>3.5000000000000005E-3</v>
      </c>
      <c r="C223" s="118" t="s">
        <v>68</v>
      </c>
      <c r="E223" s="118" t="s">
        <v>802</v>
      </c>
      <c r="I223" s="57"/>
    </row>
    <row r="224" spans="1:9" ht="12.75" customHeight="1" x14ac:dyDescent="0.2">
      <c r="B224" s="44"/>
      <c r="C224"/>
      <c r="I224" s="57"/>
    </row>
    <row r="225" spans="1:9" ht="12.75" customHeight="1" x14ac:dyDescent="0.3">
      <c r="A225" s="56" t="s">
        <v>207</v>
      </c>
      <c r="B225" s="44">
        <v>20</v>
      </c>
      <c r="C225" s="45" t="s">
        <v>309</v>
      </c>
      <c r="I225" s="57"/>
    </row>
    <row r="226" spans="1:9" ht="12.75" customHeight="1" x14ac:dyDescent="0.3">
      <c r="A226" s="56" t="s">
        <v>208</v>
      </c>
      <c r="B226" s="44"/>
      <c r="C226" s="225" t="s">
        <v>120</v>
      </c>
      <c r="I226" s="57"/>
    </row>
    <row r="227" spans="1:9" ht="12.75" customHeight="1" x14ac:dyDescent="0.2">
      <c r="A227" s="56" t="s">
        <v>192</v>
      </c>
      <c r="B227" s="44">
        <v>0</v>
      </c>
      <c r="C227" s="225" t="s">
        <v>120</v>
      </c>
      <c r="I227" s="57"/>
    </row>
    <row r="228" spans="1:9" ht="12.75" customHeight="1" x14ac:dyDescent="0.2">
      <c r="A228" s="430" t="s">
        <v>577</v>
      </c>
      <c r="B228" s="44"/>
      <c r="C228" s="225" t="s">
        <v>120</v>
      </c>
      <c r="D228" s="407" t="s">
        <v>457</v>
      </c>
      <c r="E228" s="118" t="s">
        <v>804</v>
      </c>
      <c r="I228" s="57"/>
    </row>
    <row r="229" spans="1:9" ht="12.75" customHeight="1" x14ac:dyDescent="0.2">
      <c r="A229" s="223"/>
      <c r="B229" s="44"/>
      <c r="C229" s="225"/>
      <c r="I229" s="57"/>
    </row>
    <row r="230" spans="1:9" ht="12.75" customHeight="1" x14ac:dyDescent="0.2">
      <c r="A230" s="223" t="s">
        <v>805</v>
      </c>
      <c r="B230" s="425">
        <f>'Design Converter'!E60*1000</f>
        <v>5000</v>
      </c>
      <c r="C230" s="118" t="s">
        <v>10</v>
      </c>
      <c r="I230" s="57"/>
    </row>
    <row r="231" spans="1:9" ht="12.75" customHeight="1" x14ac:dyDescent="0.2">
      <c r="A231" s="223" t="s">
        <v>467</v>
      </c>
      <c r="B231" s="424">
        <f>10*10^-6/Fdither/0.24</f>
        <v>8.3333333333333319E-9</v>
      </c>
      <c r="C231" s="118" t="s">
        <v>26</v>
      </c>
      <c r="I231" s="57"/>
    </row>
    <row r="232" spans="1:9" ht="12.75" customHeight="1" x14ac:dyDescent="0.2">
      <c r="A232" s="223" t="s">
        <v>468</v>
      </c>
      <c r="B232" s="424">
        <f>'Standard Value Calculator'!O19</f>
        <v>8.2000000000000006E-9</v>
      </c>
      <c r="C232" s="118" t="s">
        <v>26</v>
      </c>
      <c r="I232" s="57"/>
    </row>
    <row r="233" spans="1:9" ht="12.75" customHeight="1" thickBot="1" x14ac:dyDescent="0.25">
      <c r="A233" s="60"/>
      <c r="B233" s="70"/>
      <c r="C233" s="316"/>
      <c r="D233" s="61"/>
      <c r="E233" s="61"/>
      <c r="F233" s="61"/>
      <c r="G233" s="61"/>
      <c r="H233" s="61"/>
      <c r="I233" s="62"/>
    </row>
    <row r="234" spans="1:9" x14ac:dyDescent="0.2">
      <c r="B234" s="44"/>
      <c r="C234" s="317"/>
    </row>
    <row r="235" spans="1:9" ht="16.5" thickBot="1" x14ac:dyDescent="0.3">
      <c r="A235" s="582" t="s">
        <v>895</v>
      </c>
    </row>
    <row r="236" spans="1:9" x14ac:dyDescent="0.2">
      <c r="A236" s="402" t="s">
        <v>41</v>
      </c>
      <c r="B236" s="403">
        <v>3.1415926500000002</v>
      </c>
      <c r="C236" s="404"/>
      <c r="D236" s="405" t="s">
        <v>525</v>
      </c>
      <c r="E236" s="63"/>
      <c r="F236" s="63"/>
      <c r="G236" s="63"/>
      <c r="H236" s="63"/>
      <c r="I236" s="64"/>
    </row>
    <row r="237" spans="1:9" x14ac:dyDescent="0.2">
      <c r="A237" s="118" t="s">
        <v>541</v>
      </c>
      <c r="B237" s="118">
        <v>5</v>
      </c>
      <c r="C237" s="46"/>
      <c r="D237" s="225"/>
      <c r="I237" s="57"/>
    </row>
    <row r="238" spans="1:9" x14ac:dyDescent="0.2">
      <c r="A238" s="118" t="s">
        <v>513</v>
      </c>
      <c r="B238">
        <f>Rs*CSAmp_gain</f>
        <v>0.04</v>
      </c>
      <c r="C238" s="225" t="s">
        <v>120</v>
      </c>
      <c r="D238" s="118" t="s">
        <v>532</v>
      </c>
      <c r="I238" s="57"/>
    </row>
    <row r="239" spans="1:9" x14ac:dyDescent="0.2">
      <c r="A239" s="118" t="s">
        <v>494</v>
      </c>
      <c r="B239" s="118">
        <v>1.2700000000000001E-3</v>
      </c>
      <c r="C239" s="118" t="s">
        <v>70</v>
      </c>
      <c r="D239" s="118" t="s">
        <v>514</v>
      </c>
      <c r="I239" s="57"/>
    </row>
    <row r="240" spans="1:9" x14ac:dyDescent="0.2">
      <c r="A240" s="118"/>
      <c r="B240" s="118"/>
      <c r="C240" s="118"/>
      <c r="D240" s="118"/>
      <c r="I240" s="57"/>
    </row>
    <row r="241" spans="1:9" x14ac:dyDescent="0.2">
      <c r="A241" s="118" t="s">
        <v>539</v>
      </c>
      <c r="B241" s="473">
        <v>1.9999999999999999E-6</v>
      </c>
      <c r="C241" s="118" t="s">
        <v>70</v>
      </c>
      <c r="D241" s="118" t="s">
        <v>540</v>
      </c>
      <c r="I241" s="57"/>
    </row>
    <row r="242" spans="1:9" x14ac:dyDescent="0.2">
      <c r="A242" s="118" t="s">
        <v>553</v>
      </c>
      <c r="B242" s="473">
        <v>3.9999999999999998E-6</v>
      </c>
      <c r="C242" s="118" t="s">
        <v>2</v>
      </c>
      <c r="D242" s="118" t="s">
        <v>564</v>
      </c>
      <c r="I242" s="57"/>
    </row>
    <row r="243" spans="1:9" x14ac:dyDescent="0.2">
      <c r="A243" s="118"/>
      <c r="B243" s="421"/>
      <c r="C243" s="118"/>
      <c r="D243" s="118"/>
      <c r="I243" s="57"/>
    </row>
    <row r="244" spans="1:9" x14ac:dyDescent="0.2">
      <c r="A244" s="118" t="s">
        <v>635</v>
      </c>
      <c r="B244" s="399">
        <f>Isc_const/(Cslope*10^-12)</f>
        <v>26666.666666666664</v>
      </c>
      <c r="C244" s="118" t="s">
        <v>443</v>
      </c>
      <c r="D244" s="118"/>
      <c r="I244" s="57"/>
    </row>
    <row r="245" spans="1:9" x14ac:dyDescent="0.2">
      <c r="A245" s="118" t="s">
        <v>636</v>
      </c>
      <c r="B245" s="334">
        <f>(ABS((Vin-Vout))*gm_slopecomp)/(Cslope*10^-12)</f>
        <v>93333.333333333328</v>
      </c>
      <c r="C245" s="118" t="s">
        <v>443</v>
      </c>
      <c r="D245" s="118"/>
      <c r="I245" s="57"/>
    </row>
    <row r="246" spans="1:9" x14ac:dyDescent="0.2">
      <c r="A246" s="118" t="s">
        <v>515</v>
      </c>
      <c r="B246" s="408">
        <f>Se_fixed+Se_proportional</f>
        <v>120000</v>
      </c>
      <c r="C246" s="409" t="s">
        <v>443</v>
      </c>
      <c r="D246" s="409" t="s">
        <v>643</v>
      </c>
      <c r="E246" s="409"/>
      <c r="I246" s="57"/>
    </row>
    <row r="247" spans="1:9" x14ac:dyDescent="0.2">
      <c r="A247" s="118"/>
      <c r="B247" s="408"/>
      <c r="C247" s="409"/>
      <c r="D247" s="409"/>
      <c r="E247" s="409"/>
      <c r="I247" s="57"/>
    </row>
    <row r="248" spans="1:9" x14ac:dyDescent="0.2">
      <c r="A248" s="118" t="s">
        <v>640</v>
      </c>
      <c r="B248" s="474">
        <f>Se_fixed/Fsw</f>
        <v>0.11904761904761904</v>
      </c>
      <c r="C248" s="409" t="s">
        <v>443</v>
      </c>
      <c r="D248" s="409" t="s">
        <v>650</v>
      </c>
      <c r="E248" s="409"/>
      <c r="I248" s="57"/>
    </row>
    <row r="249" spans="1:9" x14ac:dyDescent="0.2">
      <c r="A249" s="118" t="s">
        <v>641</v>
      </c>
      <c r="B249" s="474">
        <f>Se_proportional/Fsw</f>
        <v>0.41666666666666663</v>
      </c>
      <c r="C249" s="409" t="s">
        <v>443</v>
      </c>
      <c r="D249" s="409" t="s">
        <v>651</v>
      </c>
      <c r="E249" s="409"/>
      <c r="I249" s="57"/>
    </row>
    <row r="250" spans="1:9" x14ac:dyDescent="0.2">
      <c r="A250" s="118" t="s">
        <v>642</v>
      </c>
      <c r="B250" s="474">
        <f>Se/Fsw</f>
        <v>0.5357142857142857</v>
      </c>
      <c r="C250" s="409" t="s">
        <v>443</v>
      </c>
      <c r="D250" s="409" t="s">
        <v>652</v>
      </c>
      <c r="I250" s="57"/>
    </row>
    <row r="251" spans="1:9" x14ac:dyDescent="0.2">
      <c r="A251" s="118" t="s">
        <v>649</v>
      </c>
      <c r="B251" s="474">
        <f>gm_slopecomp/(Cslope*10^-12*Fsw)</f>
        <v>5.9523809523809527E-2</v>
      </c>
      <c r="C251" s="409"/>
      <c r="D251" s="409" t="s">
        <v>653</v>
      </c>
      <c r="I251" s="57"/>
    </row>
    <row r="252" spans="1:9" x14ac:dyDescent="0.2">
      <c r="A252" s="118"/>
      <c r="B252" s="410"/>
      <c r="C252" s="409"/>
      <c r="D252" s="409" t="s">
        <v>654</v>
      </c>
      <c r="I252" s="57"/>
    </row>
    <row r="253" spans="1:9" x14ac:dyDescent="0.2">
      <c r="A253" s="118"/>
      <c r="B253" s="410"/>
      <c r="C253" s="409"/>
      <c r="D253" s="409"/>
      <c r="I253" s="57"/>
    </row>
    <row r="254" spans="1:9" x14ac:dyDescent="0.2">
      <c r="A254" s="118" t="s">
        <v>637</v>
      </c>
      <c r="B254" s="406">
        <f>(ABS((Vin-Vout))*gm_slopecomp+0.000004)/(Cslope*10^-12)/Ri</f>
        <v>3000000</v>
      </c>
      <c r="C254" s="389" t="s">
        <v>516</v>
      </c>
      <c r="D254" s="389" t="s">
        <v>542</v>
      </c>
      <c r="I254" s="57"/>
    </row>
    <row r="255" spans="1:9" x14ac:dyDescent="0.2">
      <c r="A255" s="118" t="s">
        <v>517</v>
      </c>
      <c r="B255" s="406">
        <f>IF(VIN_nom&gt;Vout, (Vin-Vout)/Lf, Vin/Lf)</f>
        <v>1489361.7021276597</v>
      </c>
      <c r="C255" s="389" t="s">
        <v>516</v>
      </c>
      <c r="D255" s="389" t="s">
        <v>518</v>
      </c>
      <c r="I255" s="57">
        <f>Cslope</f>
        <v>150</v>
      </c>
    </row>
    <row r="256" spans="1:9" x14ac:dyDescent="0.2">
      <c r="A256" s="118" t="s">
        <v>537</v>
      </c>
      <c r="B256" s="406">
        <f>IF(VIN_nom&gt;Vout, Vout/Lf, (Vout-Vin)/Lf)</f>
        <v>2553191.489361702</v>
      </c>
      <c r="C256" s="389" t="s">
        <v>516</v>
      </c>
      <c r="D256" s="389" t="s">
        <v>536</v>
      </c>
      <c r="I256" s="57"/>
    </row>
    <row r="257" spans="1:9" x14ac:dyDescent="0.2">
      <c r="A257" s="118"/>
      <c r="B257" s="406"/>
      <c r="C257" s="389"/>
      <c r="D257" s="389"/>
      <c r="I257" s="57"/>
    </row>
    <row r="258" spans="1:9" x14ac:dyDescent="0.2">
      <c r="A258" s="118" t="s">
        <v>543</v>
      </c>
      <c r="B258" s="417">
        <f>Se/1000</f>
        <v>120</v>
      </c>
      <c r="C258" s="418" t="s">
        <v>591</v>
      </c>
      <c r="D258" s="418" t="s">
        <v>551</v>
      </c>
      <c r="I258" s="57"/>
    </row>
    <row r="259" spans="1:9" x14ac:dyDescent="0.2">
      <c r="A259" s="118" t="s">
        <v>549</v>
      </c>
      <c r="B259" s="417">
        <f>Sn*Ri/1000</f>
        <v>59.574468085106389</v>
      </c>
      <c r="C259" s="418" t="s">
        <v>591</v>
      </c>
      <c r="D259" s="418" t="s">
        <v>552</v>
      </c>
      <c r="I259" s="57"/>
    </row>
    <row r="260" spans="1:9" x14ac:dyDescent="0.2">
      <c r="A260" s="118" t="s">
        <v>550</v>
      </c>
      <c r="B260" s="417">
        <f>Sf*Ri/1000</f>
        <v>102.12765957446808</v>
      </c>
      <c r="C260" s="418" t="s">
        <v>591</v>
      </c>
      <c r="D260" s="418" t="s">
        <v>552</v>
      </c>
      <c r="I260" s="57"/>
    </row>
    <row r="261" spans="1:9" x14ac:dyDescent="0.2">
      <c r="A261" s="118"/>
      <c r="B261" s="417"/>
      <c r="C261" s="418"/>
      <c r="D261" s="418"/>
      <c r="I261" s="57"/>
    </row>
    <row r="262" spans="1:9" x14ac:dyDescent="0.2">
      <c r="A262" s="118" t="s">
        <v>809</v>
      </c>
      <c r="B262" s="543">
        <f>(1-Don_Vinmax_2)/Fsw</f>
        <v>2.2210044197319644E-6</v>
      </c>
      <c r="C262" s="409" t="s">
        <v>808</v>
      </c>
      <c r="D262" s="418"/>
      <c r="I262" s="57"/>
    </row>
    <row r="263" spans="1:9" x14ac:dyDescent="0.2">
      <c r="A263" s="118"/>
      <c r="B263" s="543"/>
      <c r="C263" s="409"/>
      <c r="D263" s="418"/>
      <c r="I263" s="57"/>
    </row>
    <row r="264" spans="1:9" x14ac:dyDescent="0.2">
      <c r="A264" s="118" t="s">
        <v>813</v>
      </c>
      <c r="B264" s="543">
        <f>IF(VIN_min&gt;Vout, (1-Don_Vinmin_2)/Fsw, Don_Vinmin_2/Fsw)</f>
        <v>2.6642917267917267E-6</v>
      </c>
      <c r="C264" s="409" t="s">
        <v>808</v>
      </c>
      <c r="D264" s="418"/>
      <c r="I264" s="57"/>
    </row>
    <row r="265" spans="1:9" x14ac:dyDescent="0.2">
      <c r="A265" s="118"/>
      <c r="B265" s="542"/>
      <c r="C265" s="409"/>
      <c r="D265" s="418"/>
      <c r="I265" s="57"/>
    </row>
    <row r="266" spans="1:9" x14ac:dyDescent="0.2">
      <c r="A266" s="118" t="s">
        <v>811</v>
      </c>
      <c r="B266" s="544">
        <f>1.6+5*Rs*(-Iripple_Vinmax/2)-(gm_slopecomp*(VIN_max-Vout)+Isc_const)/(Cslope*0.000000000001)*Toff_Vinmax</f>
        <v>1.0708619741267213</v>
      </c>
      <c r="C266" s="545" t="s">
        <v>0</v>
      </c>
      <c r="D266" s="545" t="s">
        <v>812</v>
      </c>
      <c r="F266" s="411">
        <f>1.6+5*Rs*(Iripple_Vinmax/2)+(gm_slopecomp*(Vout-VIN_max)+Isc_const)/(Cslope*0.000000000001)*Don_Vinmax_2/Fsw</f>
        <v>1.4154463615828121</v>
      </c>
      <c r="G266" s="389" t="s">
        <v>450</v>
      </c>
      <c r="I266" s="57"/>
    </row>
    <row r="267" spans="1:9" x14ac:dyDescent="0.2">
      <c r="A267" s="118" t="s">
        <v>810</v>
      </c>
      <c r="B267" s="544">
        <f>1.6+5*Rs*(Iin_Vinmin+Iripple_Vinmin/2)+(gm_slopecomp*(Vout-VIN_min)+Isc_const)/(Cslope*0.000000000001)*Ton_Vinmin</f>
        <v>2.5764020652318527</v>
      </c>
      <c r="C267" s="545" t="s">
        <v>0</v>
      </c>
      <c r="D267" s="545" t="s">
        <v>450</v>
      </c>
      <c r="F267" s="411">
        <f>1.6+5*Rs*(-Iripple_Vinmin/2)-(gm_slopecomp*(VIN_min-Vout)+Isc_const)/(Cslope*0.000000000001)*(1-Don_Vinmin_2)/Fsw</f>
        <v>1.6633125411494207</v>
      </c>
      <c r="G267" s="389" t="s">
        <v>812</v>
      </c>
      <c r="I267" s="57"/>
    </row>
    <row r="268" spans="1:9" x14ac:dyDescent="0.2">
      <c r="A268" s="118"/>
      <c r="B268" s="417"/>
      <c r="C268" s="418"/>
      <c r="D268" s="418"/>
      <c r="I268" s="57"/>
    </row>
    <row r="269" spans="1:9" x14ac:dyDescent="0.2">
      <c r="A269" s="118"/>
      <c r="B269" s="458">
        <f>IF(VIN_max&gt;Vout, B266,F266)</f>
        <v>1.0708619741267213</v>
      </c>
      <c r="C269" s="418"/>
      <c r="D269" s="418"/>
      <c r="I269" s="57"/>
    </row>
    <row r="270" spans="1:9" x14ac:dyDescent="0.2">
      <c r="A270" s="118"/>
      <c r="B270" s="458">
        <f>IF(VIN_min&lt;Vout, B267,F267)</f>
        <v>2.5764020652318527</v>
      </c>
      <c r="C270" s="418"/>
      <c r="D270" s="418"/>
      <c r="I270" s="57"/>
    </row>
    <row r="271" spans="1:9" x14ac:dyDescent="0.2">
      <c r="A271" s="118"/>
      <c r="B271" s="458"/>
      <c r="C271" s="418"/>
      <c r="D271" s="418"/>
      <c r="I271" s="57"/>
    </row>
    <row r="272" spans="1:9" x14ac:dyDescent="0.2">
      <c r="A272" s="118"/>
      <c r="B272" s="417"/>
      <c r="C272" s="418"/>
      <c r="D272" s="389"/>
      <c r="I272" s="57"/>
    </row>
    <row r="273" spans="1:9" x14ac:dyDescent="0.2">
      <c r="A273" s="118" t="s">
        <v>589</v>
      </c>
      <c r="B273" s="387">
        <f>1+Se_ext/Sf</f>
        <v>2.1749999999999998</v>
      </c>
      <c r="C273"/>
      <c r="D273" s="118" t="s">
        <v>538</v>
      </c>
      <c r="I273" s="57"/>
    </row>
    <row r="274" spans="1:9" x14ac:dyDescent="0.2">
      <c r="A274" s="118" t="s">
        <v>590</v>
      </c>
      <c r="B274" s="411">
        <f>mc_buck*Don_Vinnom_2</f>
        <v>1.3798141537169255</v>
      </c>
      <c r="C274" s="389"/>
      <c r="D274" s="389" t="s">
        <v>535</v>
      </c>
      <c r="I274" s="57"/>
    </row>
    <row r="275" spans="1:9" x14ac:dyDescent="0.2">
      <c r="A275" s="2" t="s">
        <v>581</v>
      </c>
      <c r="B275" s="431">
        <f>1+Se_ext/Sn</f>
        <v>3.0142857142857142</v>
      </c>
      <c r="C275" s="389"/>
      <c r="D275" s="118" t="s">
        <v>648</v>
      </c>
      <c r="I275" s="57"/>
    </row>
    <row r="276" spans="1:9" x14ac:dyDescent="0.2">
      <c r="A276" s="2" t="s">
        <v>582</v>
      </c>
      <c r="B276" s="411">
        <f>mc_boost*(1-Don_Vinnom_2)</f>
        <v>1.1020309593808124</v>
      </c>
      <c r="C276" s="389"/>
      <c r="D276" s="389" t="s">
        <v>592</v>
      </c>
      <c r="I276" s="57"/>
    </row>
    <row r="277" spans="1:9" x14ac:dyDescent="0.2">
      <c r="A277" s="2"/>
      <c r="B277" s="431"/>
      <c r="C277" s="389"/>
      <c r="D277" s="389"/>
      <c r="I277" s="57"/>
    </row>
    <row r="278" spans="1:9" x14ac:dyDescent="0.2">
      <c r="A278" s="2" t="s">
        <v>519</v>
      </c>
      <c r="B278" s="411">
        <f>IF(VIN_nom&gt;Vout, mc_buck, mc_boost)</f>
        <v>2.1749999999999998</v>
      </c>
      <c r="C278" s="389"/>
      <c r="D278" s="389"/>
      <c r="I278" s="57"/>
    </row>
    <row r="279" spans="1:9" x14ac:dyDescent="0.2">
      <c r="A279" s="2" t="s">
        <v>493</v>
      </c>
      <c r="B279" s="458">
        <f>IF(VIN_nom&gt;Vout, k_buck, k_boost)</f>
        <v>1.3798141537169255</v>
      </c>
      <c r="C279" s="389"/>
      <c r="D279" s="389"/>
      <c r="I279" s="57"/>
    </row>
    <row r="280" spans="1:9" x14ac:dyDescent="0.2">
      <c r="A280" s="118" t="s">
        <v>29</v>
      </c>
      <c r="B280" s="387">
        <f>1/Pi/(k-0.5)</f>
        <v>0.36179218668256036</v>
      </c>
      <c r="C280"/>
      <c r="D280" s="118" t="s">
        <v>530</v>
      </c>
      <c r="F280" s="118" t="s">
        <v>545</v>
      </c>
      <c r="I280" s="57"/>
    </row>
    <row r="281" spans="1:9" x14ac:dyDescent="0.2">
      <c r="A281" s="118"/>
      <c r="B281" s="387"/>
      <c r="C281"/>
      <c r="D281" s="118"/>
      <c r="F281" s="118"/>
      <c r="I281" s="57"/>
    </row>
    <row r="282" spans="1:9" x14ac:dyDescent="0.2">
      <c r="A282" s="2" t="s">
        <v>633</v>
      </c>
      <c r="B282" s="446">
        <f>1/((0.5-Don_Vinnom_2)*Ri/(Fsw*Lf)+V_sc_fixed/Vout+K_SL*Don_Vinnom_2)</f>
        <v>23.487356226107089</v>
      </c>
      <c r="C282" s="118"/>
      <c r="D282" s="118"/>
      <c r="E282" s="118"/>
      <c r="I282" s="57"/>
    </row>
    <row r="283" spans="1:9" x14ac:dyDescent="0.2">
      <c r="A283" s="2" t="s">
        <v>655</v>
      </c>
      <c r="B283" s="398">
        <f>0.5*Ri/(Lf*Fsw)*Don_Vinnom_2*(1-Don_Vinnom_2)+K_SL*Don_Vinnom_2^2</f>
        <v>2.8362054288398535E-2</v>
      </c>
      <c r="C283" s="118"/>
      <c r="D283" s="118"/>
      <c r="E283" s="118"/>
      <c r="I283" s="57"/>
    </row>
    <row r="284" spans="1:9" x14ac:dyDescent="0.2">
      <c r="A284" s="2" t="s">
        <v>634</v>
      </c>
      <c r="B284" s="446">
        <f>1+Ro/Rout+Rout*(1-Don_Vinnom_2)^2/Ri*(1/KM+K_1/(1-Don_Vinnom_2))</f>
        <v>2.8030095694834603</v>
      </c>
      <c r="C284" s="118"/>
      <c r="E284" s="118"/>
      <c r="I284" s="57"/>
    </row>
    <row r="285" spans="1:9" x14ac:dyDescent="0.2">
      <c r="A285" s="118"/>
      <c r="B285" s="387"/>
      <c r="C285"/>
      <c r="D285" s="118"/>
      <c r="F285" s="118"/>
      <c r="I285" s="57"/>
    </row>
    <row r="286" spans="1:9" x14ac:dyDescent="0.2">
      <c r="A286" s="389" t="s">
        <v>593</v>
      </c>
      <c r="B286" s="387"/>
      <c r="C286"/>
      <c r="D286" s="118"/>
      <c r="I286" s="57"/>
    </row>
    <row r="287" spans="1:9" x14ac:dyDescent="0.2">
      <c r="A287" s="118" t="s">
        <v>520</v>
      </c>
      <c r="B287" s="401">
        <v>8</v>
      </c>
      <c r="C287" s="118" t="s">
        <v>217</v>
      </c>
      <c r="D287" s="118" t="s">
        <v>647</v>
      </c>
      <c r="I287" s="57"/>
    </row>
    <row r="288" spans="1:9" x14ac:dyDescent="0.2">
      <c r="A288" s="118" t="s">
        <v>521</v>
      </c>
      <c r="B288" s="30">
        <f>gm/(2*Pi*GBW*1000000)</f>
        <v>2.5265847244708825E-11</v>
      </c>
      <c r="C288" s="118" t="s">
        <v>26</v>
      </c>
      <c r="D288" s="118" t="s">
        <v>646</v>
      </c>
      <c r="I288" s="57"/>
    </row>
    <row r="289" spans="1:12" x14ac:dyDescent="0.2">
      <c r="A289" s="118" t="s">
        <v>522</v>
      </c>
      <c r="B289" s="423">
        <v>20000000</v>
      </c>
      <c r="C289" s="225" t="s">
        <v>120</v>
      </c>
      <c r="D289" s="118" t="s">
        <v>645</v>
      </c>
      <c r="I289" s="57"/>
    </row>
    <row r="290" spans="1:12" x14ac:dyDescent="0.2">
      <c r="A290" s="118" t="s">
        <v>963</v>
      </c>
      <c r="B290">
        <f>gm*RoEA</f>
        <v>25400</v>
      </c>
      <c r="C290" s="225"/>
      <c r="D290" s="118"/>
      <c r="I290" s="57"/>
    </row>
    <row r="291" spans="1:12" x14ac:dyDescent="0.2">
      <c r="A291" s="118" t="s">
        <v>964</v>
      </c>
      <c r="B291" s="4">
        <f>20*LOG(B290)</f>
        <v>88.096674332398777</v>
      </c>
      <c r="C291" s="118" t="s">
        <v>962</v>
      </c>
      <c r="D291" s="118"/>
      <c r="I291" s="57"/>
    </row>
    <row r="292" spans="1:12" x14ac:dyDescent="0.2">
      <c r="A292" s="2" t="s">
        <v>523</v>
      </c>
      <c r="B292" s="334">
        <f>gm*RoEA</f>
        <v>25400</v>
      </c>
      <c r="C292" s="118" t="s">
        <v>30</v>
      </c>
      <c r="D292" s="118" t="s">
        <v>644</v>
      </c>
      <c r="I292" s="57"/>
    </row>
    <row r="293" spans="1:12" x14ac:dyDescent="0.2">
      <c r="A293" s="2" t="s">
        <v>524</v>
      </c>
      <c r="B293" s="4">
        <f>Vref/Vout</f>
        <v>6.6666666666666666E-2</v>
      </c>
      <c r="C293" s="118" t="s">
        <v>30</v>
      </c>
      <c r="D293" s="118" t="s">
        <v>639</v>
      </c>
      <c r="I293" s="57"/>
    </row>
    <row r="294" spans="1:12" x14ac:dyDescent="0.2">
      <c r="A294" s="2" t="s">
        <v>478</v>
      </c>
      <c r="B294" s="118">
        <f>1/Ri</f>
        <v>25</v>
      </c>
      <c r="C294" s="118"/>
      <c r="D294" s="118" t="s">
        <v>531</v>
      </c>
      <c r="I294" s="57"/>
      <c r="L294">
        <f>Ri</f>
        <v>0.04</v>
      </c>
    </row>
    <row r="295" spans="1:12" x14ac:dyDescent="0.2">
      <c r="A295" s="2" t="s">
        <v>580</v>
      </c>
      <c r="B295" s="48">
        <f>Ro/Ri*1/((1+Ro*(k-0.5)/(Fsw*Lf)))</f>
        <v>18.716921551692959</v>
      </c>
      <c r="C295"/>
      <c r="D295" s="2" t="s">
        <v>638</v>
      </c>
      <c r="I295" s="57"/>
    </row>
    <row r="296" spans="1:12" x14ac:dyDescent="0.2">
      <c r="A296" s="2" t="s">
        <v>583</v>
      </c>
      <c r="B296" s="48">
        <f>Ro*(1-Don_Vinnom_2)/(Ri*KD)</f>
        <v>6.5216096999200479</v>
      </c>
      <c r="C296"/>
      <c r="D296" s="389" t="s">
        <v>594</v>
      </c>
      <c r="I296" s="57"/>
    </row>
    <row r="297" spans="1:12" x14ac:dyDescent="0.2">
      <c r="A297" s="2" t="s">
        <v>483</v>
      </c>
      <c r="B297" s="48">
        <f>IF(VIN_nom&gt;Vout, Am_buck, Am_boost)</f>
        <v>18.716921551692959</v>
      </c>
      <c r="C297"/>
      <c r="D297" s="118" t="s">
        <v>656</v>
      </c>
      <c r="I297" s="57"/>
    </row>
    <row r="298" spans="1:12" x14ac:dyDescent="0.2">
      <c r="A298" s="2"/>
      <c r="B298" s="4"/>
      <c r="C298"/>
      <c r="D298" s="389"/>
      <c r="I298" s="57"/>
    </row>
    <row r="299" spans="1:12" x14ac:dyDescent="0.2">
      <c r="A299" s="118" t="s">
        <v>630</v>
      </c>
      <c r="B299" s="4">
        <f>2*Pi*Ri/gm</f>
        <v>197.8956</v>
      </c>
      <c r="C299"/>
      <c r="D299" s="118" t="s">
        <v>657</v>
      </c>
      <c r="I299" s="57"/>
    </row>
    <row r="300" spans="1:12" x14ac:dyDescent="0.2">
      <c r="A300" s="118" t="s">
        <v>631</v>
      </c>
      <c r="B300" s="4">
        <f>2*Pi*Ri/gm</f>
        <v>197.8956</v>
      </c>
      <c r="C300"/>
      <c r="D300" s="118" t="s">
        <v>658</v>
      </c>
      <c r="I300" s="57"/>
    </row>
    <row r="301" spans="1:12" x14ac:dyDescent="0.2">
      <c r="A301" s="389" t="s">
        <v>584</v>
      </c>
      <c r="B301" s="4"/>
      <c r="C301"/>
      <c r="D301" s="118"/>
      <c r="I301" s="57"/>
    </row>
    <row r="302" spans="1:12" x14ac:dyDescent="0.2">
      <c r="A302" s="389"/>
      <c r="B302" s="4"/>
      <c r="C302"/>
      <c r="D302" s="118"/>
      <c r="I302" s="57"/>
    </row>
    <row r="303" spans="1:12" x14ac:dyDescent="0.2">
      <c r="A303" s="223" t="s">
        <v>46</v>
      </c>
      <c r="B303" s="118">
        <f>Rout</f>
        <v>2</v>
      </c>
      <c r="C303" s="225" t="s">
        <v>120</v>
      </c>
      <c r="D303" s="118" t="s">
        <v>350</v>
      </c>
      <c r="I303" s="57"/>
    </row>
    <row r="304" spans="1:12" x14ac:dyDescent="0.2">
      <c r="A304" s="118" t="s">
        <v>472</v>
      </c>
      <c r="B304" s="118">
        <f>Rout</f>
        <v>2</v>
      </c>
      <c r="C304" s="225" t="s">
        <v>120</v>
      </c>
      <c r="D304" s="118" t="s">
        <v>350</v>
      </c>
      <c r="I304" s="57"/>
    </row>
    <row r="305" spans="1:12" x14ac:dyDescent="0.2">
      <c r="A305" s="118"/>
      <c r="B305" s="118"/>
      <c r="C305" s="225"/>
      <c r="D305" s="118"/>
      <c r="I305" s="57"/>
    </row>
    <row r="306" spans="1:12" x14ac:dyDescent="0.2">
      <c r="A306" s="118" t="s">
        <v>573</v>
      </c>
      <c r="B306" s="416">
        <f>1/(2*Pi*Ro*Cout)+(k-0.5)/(2*Pi*Fsw*Lf*Cout)</f>
        <v>781.55008864865476</v>
      </c>
      <c r="C306" t="s">
        <v>10</v>
      </c>
      <c r="D306" s="118" t="s">
        <v>570</v>
      </c>
      <c r="E306" s="46"/>
      <c r="I306" s="57"/>
    </row>
    <row r="307" spans="1:12" x14ac:dyDescent="0.2">
      <c r="A307" s="118" t="s">
        <v>572</v>
      </c>
      <c r="B307" s="416">
        <f>KD/(2*Pi*Ro*Cout)</f>
        <v>820.06034747598596</v>
      </c>
      <c r="C307" s="118" t="s">
        <v>10</v>
      </c>
      <c r="D307" s="389" t="s">
        <v>571</v>
      </c>
      <c r="I307" s="57"/>
    </row>
    <row r="308" spans="1:12" x14ac:dyDescent="0.2">
      <c r="A308" s="118" t="s">
        <v>622</v>
      </c>
      <c r="B308" s="399">
        <f>IF(VIN_nom&gt;Vout, Fload_u,B307)</f>
        <v>781.55008864865476</v>
      </c>
      <c r="C308" s="118" t="s">
        <v>10</v>
      </c>
      <c r="D308" s="118"/>
      <c r="E308" s="46"/>
      <c r="I308" s="57"/>
    </row>
    <row r="309" spans="1:12" x14ac:dyDescent="0.2">
      <c r="A309" s="118"/>
      <c r="B309" s="399"/>
      <c r="C309"/>
      <c r="D309" s="118"/>
      <c r="E309" s="46"/>
      <c r="I309" s="57"/>
    </row>
    <row r="310" spans="1:12" x14ac:dyDescent="0.2">
      <c r="A310" s="118" t="s">
        <v>533</v>
      </c>
      <c r="B310" s="475">
        <f>1/(2*Pi*(RoEA+Rcea1_u)*Cc1ea_u)</f>
        <v>2.9455317176396494</v>
      </c>
      <c r="C310" t="s">
        <v>10</v>
      </c>
      <c r="D310" s="118" t="s">
        <v>569</v>
      </c>
      <c r="E310" s="46"/>
      <c r="I310" s="57"/>
    </row>
    <row r="311" spans="1:12" x14ac:dyDescent="0.2">
      <c r="A311" s="118" t="s">
        <v>534</v>
      </c>
      <c r="B311" s="416">
        <f>1/(2*Pi*Rcea1_u*(Cc2ea_u+Cbw))</f>
        <v>372975.61591911386</v>
      </c>
      <c r="C311" t="s">
        <v>10</v>
      </c>
      <c r="D311" s="118" t="s">
        <v>546</v>
      </c>
      <c r="E311" s="46"/>
      <c r="I311" s="57"/>
      <c r="K311">
        <f>Fcross</f>
        <v>10000</v>
      </c>
    </row>
    <row r="312" spans="1:12" x14ac:dyDescent="0.2">
      <c r="A312" s="223" t="s">
        <v>28</v>
      </c>
      <c r="B312" s="416">
        <f>1/(2*Pi*Cout*CoutEsr)</f>
        <v>83589.781131174561</v>
      </c>
      <c r="C312" t="s">
        <v>10</v>
      </c>
      <c r="D312" s="118" t="s">
        <v>567</v>
      </c>
      <c r="I312" s="57"/>
    </row>
    <row r="313" spans="1:12" x14ac:dyDescent="0.2">
      <c r="A313" s="223" t="s">
        <v>471</v>
      </c>
      <c r="B313" s="476">
        <f>(1-Don_Vinnom_2)^2*Ro/(2*Pi*Lf)</f>
        <v>9052.5520370380891</v>
      </c>
      <c r="C313" t="s">
        <v>10</v>
      </c>
      <c r="D313" s="118" t="s">
        <v>568</v>
      </c>
      <c r="H313" s="389" t="s">
        <v>616</v>
      </c>
      <c r="I313" s="57"/>
    </row>
    <row r="314" spans="1:12" x14ac:dyDescent="0.2">
      <c r="A314" s="118" t="s">
        <v>579</v>
      </c>
      <c r="B314" s="416">
        <f>Fsw/2</f>
        <v>112000</v>
      </c>
      <c r="C314" t="s">
        <v>10</v>
      </c>
      <c r="D314" s="118" t="s">
        <v>578</v>
      </c>
      <c r="I314" s="57"/>
    </row>
    <row r="315" spans="1:12" x14ac:dyDescent="0.2">
      <c r="A315" s="118"/>
      <c r="B315" s="399"/>
      <c r="C315"/>
      <c r="D315" s="118"/>
      <c r="E315" s="46"/>
      <c r="I315" s="57"/>
    </row>
    <row r="316" spans="1:12" x14ac:dyDescent="0.2">
      <c r="A316" s="223" t="s">
        <v>566</v>
      </c>
      <c r="B316" s="344">
        <f>'Design Converter'!E71*1000</f>
        <v>10000</v>
      </c>
      <c r="C316" s="398" t="s">
        <v>10</v>
      </c>
      <c r="D316" s="118"/>
      <c r="E316">
        <f>z_RHP</f>
        <v>10000000</v>
      </c>
      <c r="I316" s="57"/>
    </row>
    <row r="317" spans="1:12" x14ac:dyDescent="0.2">
      <c r="A317" s="66" t="s">
        <v>35</v>
      </c>
      <c r="B317" s="399">
        <f>IF(VIN_nom&gt;Vout, Fcross*Cout*2*Pi*Ri/(gm*Afb), Fcross*Cout*2*Pi*Ri/(gm*Afb*(1-Don_Vinnom_2)*SQRT(1+(Fcross/z_RHP)^2)))</f>
        <v>8074.1404800000009</v>
      </c>
      <c r="C317" s="225" t="s">
        <v>120</v>
      </c>
      <c r="D317" s="118" t="s">
        <v>528</v>
      </c>
      <c r="I317" s="57">
        <v>1</v>
      </c>
      <c r="K317" s="334">
        <f>Fcross*Cout*2*Pi*Ri/(gm*Afb*(1-Don_Vinnom_2))</f>
        <v>22084.466953337167</v>
      </c>
      <c r="L317" s="225" t="s">
        <v>120</v>
      </c>
    </row>
    <row r="318" spans="1:12" x14ac:dyDescent="0.2">
      <c r="A318" s="66" t="s">
        <v>33</v>
      </c>
      <c r="B318" s="398">
        <f>2/(Rcea1*Fcross*2*Pi)</f>
        <v>3.9423377303872813E-9</v>
      </c>
      <c r="C318" t="s">
        <v>26</v>
      </c>
      <c r="D318" s="118" t="s">
        <v>879</v>
      </c>
      <c r="I318" s="57">
        <v>1</v>
      </c>
    </row>
    <row r="319" spans="1:12" x14ac:dyDescent="0.2">
      <c r="A319" s="66" t="s">
        <v>34</v>
      </c>
      <c r="B319" s="398">
        <f>1/((Rcea1*2*Pi*Fesr))-Cbw</f>
        <v>2.1054872703924022E-10</v>
      </c>
      <c r="C319" t="s">
        <v>26</v>
      </c>
      <c r="D319" s="118" t="s">
        <v>529</v>
      </c>
      <c r="I319" s="57">
        <v>1</v>
      </c>
    </row>
    <row r="320" spans="1:12" x14ac:dyDescent="0.2">
      <c r="A320" s="65"/>
      <c r="B320" s="1"/>
      <c r="C320" s="225"/>
      <c r="I320" s="57">
        <v>1</v>
      </c>
    </row>
    <row r="321" spans="1:9" x14ac:dyDescent="0.2">
      <c r="A321" s="66" t="s">
        <v>474</v>
      </c>
      <c r="I321" s="57"/>
    </row>
    <row r="322" spans="1:9" x14ac:dyDescent="0.2">
      <c r="A322" s="56" t="s">
        <v>36</v>
      </c>
      <c r="B322" s="69">
        <f>'Design Converter'!D78*1000</f>
        <v>12100</v>
      </c>
      <c r="C322" s="225" t="s">
        <v>120</v>
      </c>
      <c r="I322" s="57">
        <v>2</v>
      </c>
    </row>
    <row r="323" spans="1:9" x14ac:dyDescent="0.2">
      <c r="A323" s="56" t="s">
        <v>37</v>
      </c>
      <c r="B323" s="69">
        <f>'Design Converter'!D79*0.000000001</f>
        <v>2.7000000000000002E-9</v>
      </c>
      <c r="C323" t="s">
        <v>26</v>
      </c>
      <c r="I323" s="57">
        <v>2</v>
      </c>
    </row>
    <row r="324" spans="1:9" x14ac:dyDescent="0.2">
      <c r="A324" s="56" t="s">
        <v>38</v>
      </c>
      <c r="B324" s="69">
        <f>'Design Converter'!D80*0.000000000001</f>
        <v>9.9999999999999994E-12</v>
      </c>
      <c r="C324" t="s">
        <v>26</v>
      </c>
      <c r="I324" s="57">
        <v>2</v>
      </c>
    </row>
    <row r="325" spans="1:9" x14ac:dyDescent="0.2">
      <c r="A325" s="56"/>
      <c r="B325" s="48"/>
      <c r="C325"/>
      <c r="I325" s="57"/>
    </row>
    <row r="326" spans="1:9" x14ac:dyDescent="0.2">
      <c r="A326" s="223" t="s">
        <v>527</v>
      </c>
      <c r="B326" s="68">
        <f>'Design Converter'!E32*1*10^-12</f>
        <v>1.5E-10</v>
      </c>
      <c r="C326" s="118" t="s">
        <v>32</v>
      </c>
      <c r="I326" s="57">
        <v>2</v>
      </c>
    </row>
    <row r="327" spans="1:9" x14ac:dyDescent="0.2">
      <c r="A327" s="56"/>
      <c r="C327"/>
      <c r="I327" s="57"/>
    </row>
    <row r="328" spans="1:9" x14ac:dyDescent="0.2">
      <c r="A328" s="66" t="s">
        <v>548</v>
      </c>
      <c r="C328"/>
      <c r="D328">
        <f>Cout</f>
        <v>2.72E-4</v>
      </c>
      <c r="E328">
        <f>CoutEsr</f>
        <v>7.0000000000000001E-3</v>
      </c>
      <c r="I328" s="57"/>
    </row>
    <row r="329" spans="1:9" x14ac:dyDescent="0.2">
      <c r="A329" s="66" t="s">
        <v>39</v>
      </c>
      <c r="B329" s="400">
        <f>1/(2*Pi*Rcea1_u*Cc1ea_u)</f>
        <v>4871.5929988906146</v>
      </c>
      <c r="C329" t="s">
        <v>10</v>
      </c>
      <c r="D329" s="118" t="s">
        <v>628</v>
      </c>
      <c r="I329" s="57"/>
    </row>
    <row r="330" spans="1:9" x14ac:dyDescent="0.2">
      <c r="A330" s="66" t="s">
        <v>40</v>
      </c>
      <c r="B330" s="400">
        <f>1/(2*Pi*Rcea1_u*(Cc1ea_u*(Cc2ea_u+Cbw)/(Cc1ea_u+Cc2ea_u+Cbw)))</f>
        <v>377847.20891800453</v>
      </c>
      <c r="C330" t="s">
        <v>10</v>
      </c>
      <c r="D330" t="s">
        <v>162</v>
      </c>
      <c r="I330" s="57"/>
    </row>
    <row r="331" spans="1:9" x14ac:dyDescent="0.2">
      <c r="C331"/>
      <c r="I331" s="57"/>
    </row>
    <row r="332" spans="1:9" x14ac:dyDescent="0.2">
      <c r="A332" s="56" t="s">
        <v>31</v>
      </c>
      <c r="B332" s="344">
        <f>'Design Converter'!E73*1000</f>
        <v>100000</v>
      </c>
      <c r="C332" s="225" t="s">
        <v>120</v>
      </c>
      <c r="D332" s="118" t="s">
        <v>557</v>
      </c>
      <c r="I332" s="57">
        <v>1</v>
      </c>
    </row>
    <row r="333" spans="1:9" x14ac:dyDescent="0.2">
      <c r="A333" s="66" t="s">
        <v>43</v>
      </c>
      <c r="B333" s="388">
        <f>IF(Vout=Vref,100000000,Vref*B332/((Vout-Vref)))</f>
        <v>7142.8571428571431</v>
      </c>
      <c r="C333" s="225" t="s">
        <v>120</v>
      </c>
      <c r="D333" s="118" t="s">
        <v>556</v>
      </c>
      <c r="I333" s="57"/>
    </row>
    <row r="334" spans="1:9" x14ac:dyDescent="0.2">
      <c r="A334" s="56" t="s">
        <v>167</v>
      </c>
      <c r="B334" s="68">
        <f>IF(Vout=Vref,"N/A",'Standard Value Calculator'!O10)</f>
        <v>7150</v>
      </c>
      <c r="C334" s="225" t="s">
        <v>120</v>
      </c>
      <c r="D334" s="118" t="s">
        <v>555</v>
      </c>
      <c r="I334" s="57"/>
    </row>
    <row r="335" spans="1:9" ht="13.5" thickBot="1" x14ac:dyDescent="0.25">
      <c r="A335" s="415"/>
      <c r="B335" s="415"/>
      <c r="C335" s="71"/>
      <c r="D335" s="61"/>
      <c r="E335" s="71"/>
      <c r="F335" s="61"/>
      <c r="G335" s="61"/>
      <c r="H335" s="61"/>
      <c r="I335" s="62"/>
    </row>
    <row r="336" spans="1:9" x14ac:dyDescent="0.2">
      <c r="A336" s="1"/>
      <c r="B336" s="46"/>
      <c r="C336" s="46"/>
      <c r="E336" s="46"/>
    </row>
    <row r="337" spans="1:9" x14ac:dyDescent="0.2">
      <c r="A337" s="66" t="s">
        <v>206</v>
      </c>
      <c r="B337" s="1"/>
      <c r="C337"/>
    </row>
    <row r="338" spans="1:9" x14ac:dyDescent="0.2">
      <c r="A338" s="66" t="s">
        <v>209</v>
      </c>
      <c r="B338" s="2">
        <v>0</v>
      </c>
      <c r="C338" s="225" t="s">
        <v>120</v>
      </c>
      <c r="D338" s="118" t="s">
        <v>349</v>
      </c>
      <c r="H338" t="e">
        <f>_Don2*RdsonTop+Doff2*RdsonBot+B342*Vin^2*Fsw/2/(((Iripple1/SQRT(3))^2))</f>
        <v>#NAME?</v>
      </c>
    </row>
    <row r="339" spans="1:9" x14ac:dyDescent="0.2">
      <c r="A339" s="66" t="s">
        <v>212</v>
      </c>
      <c r="B339" s="413" t="e">
        <f>0.00000002*Fsw*0.6*4/Iripple1</f>
        <v>#NAME?</v>
      </c>
      <c r="C339" s="46"/>
      <c r="E339" s="46"/>
    </row>
    <row r="340" spans="1:9" x14ac:dyDescent="0.2">
      <c r="A340" s="66" t="s">
        <v>211</v>
      </c>
      <c r="B340" s="413" t="e">
        <f>_Don2*RdsonTop+Doff2*RdsonBot</f>
        <v>#NAME?</v>
      </c>
      <c r="C340" s="46"/>
      <c r="E340" s="46"/>
    </row>
    <row r="341" spans="1:9" x14ac:dyDescent="0.2">
      <c r="A341" s="66" t="s">
        <v>210</v>
      </c>
      <c r="B341" s="413" t="e">
        <f>B342*Vin^2*Fsw/2/(((Iripple1/SQRT(3))^2))</f>
        <v>#NAME?</v>
      </c>
      <c r="C341" s="46"/>
      <c r="E341" s="46"/>
    </row>
    <row r="342" spans="1:9" x14ac:dyDescent="0.2">
      <c r="A342" s="66" t="s">
        <v>213</v>
      </c>
      <c r="B342" s="414">
        <v>5.0000000000000001E-9</v>
      </c>
      <c r="C342" s="46"/>
      <c r="E342" s="46"/>
    </row>
    <row r="343" spans="1:9" x14ac:dyDescent="0.2">
      <c r="A343" s="1"/>
      <c r="B343" s="46"/>
      <c r="C343" s="46"/>
      <c r="E343" s="46"/>
    </row>
    <row r="344" spans="1:9" ht="16.5" thickBot="1" x14ac:dyDescent="0.3">
      <c r="A344" s="96" t="s">
        <v>229</v>
      </c>
    </row>
    <row r="345" spans="1:9" x14ac:dyDescent="0.2">
      <c r="A345" s="93"/>
      <c r="B345" s="63"/>
      <c r="C345" s="318"/>
      <c r="D345" s="63"/>
      <c r="E345" s="63"/>
      <c r="F345" s="63"/>
      <c r="G345" s="63"/>
      <c r="H345" s="63"/>
      <c r="I345" s="64"/>
    </row>
    <row r="346" spans="1:9" x14ac:dyDescent="0.2">
      <c r="A346" s="66" t="s">
        <v>59</v>
      </c>
      <c r="I346" s="57"/>
    </row>
    <row r="347" spans="1:9" x14ac:dyDescent="0.2">
      <c r="A347" s="56" t="s">
        <v>87</v>
      </c>
      <c r="B347" s="29">
        <v>25</v>
      </c>
      <c r="C347" s="118" t="s">
        <v>282</v>
      </c>
      <c r="D347" t="s">
        <v>100</v>
      </c>
      <c r="I347" s="57"/>
    </row>
    <row r="348" spans="1:9" x14ac:dyDescent="0.2">
      <c r="A348" s="66" t="s">
        <v>62</v>
      </c>
      <c r="C348"/>
      <c r="I348" s="57"/>
    </row>
    <row r="349" spans="1:9" x14ac:dyDescent="0.2">
      <c r="A349" s="56" t="s">
        <v>86</v>
      </c>
      <c r="B349" s="59">
        <f>4000/1000000</f>
        <v>4.0000000000000001E-3</v>
      </c>
      <c r="C349" s="118" t="s">
        <v>358</v>
      </c>
      <c r="D349" s="118" t="s">
        <v>694</v>
      </c>
      <c r="I349" s="57"/>
    </row>
    <row r="350" spans="1:9" ht="15.75" x14ac:dyDescent="0.3">
      <c r="A350" s="223" t="s">
        <v>691</v>
      </c>
      <c r="B350" s="59">
        <v>20</v>
      </c>
      <c r="C350" s="118" t="s">
        <v>241</v>
      </c>
      <c r="D350" s="118" t="s">
        <v>692</v>
      </c>
      <c r="I350" s="57"/>
    </row>
    <row r="351" spans="1:9" x14ac:dyDescent="0.2">
      <c r="A351" s="56" t="s">
        <v>90</v>
      </c>
      <c r="B351" s="29">
        <f>RCinEsr</f>
        <v>2E-3</v>
      </c>
      <c r="C351" s="225" t="s">
        <v>120</v>
      </c>
      <c r="D351" s="118" t="s">
        <v>693</v>
      </c>
      <c r="I351" s="57"/>
    </row>
    <row r="352" spans="1:9" x14ac:dyDescent="0.2">
      <c r="A352" s="65" t="s">
        <v>164</v>
      </c>
      <c r="C352"/>
      <c r="I352" s="57"/>
    </row>
    <row r="353" spans="1:9" x14ac:dyDescent="0.2">
      <c r="A353" s="223" t="s">
        <v>688</v>
      </c>
      <c r="B353" s="59">
        <f>7.5</f>
        <v>7.5</v>
      </c>
      <c r="C353" t="s">
        <v>0</v>
      </c>
      <c r="D353" s="389" t="s">
        <v>690</v>
      </c>
      <c r="I353" s="57"/>
    </row>
    <row r="354" spans="1:9" x14ac:dyDescent="0.2">
      <c r="A354" s="66" t="s">
        <v>116</v>
      </c>
      <c r="C354"/>
      <c r="I354" s="57"/>
    </row>
    <row r="355" spans="1:9" x14ac:dyDescent="0.2">
      <c r="A355" s="56" t="s">
        <v>65</v>
      </c>
      <c r="B355" s="59">
        <v>1.5</v>
      </c>
      <c r="C355" s="225" t="s">
        <v>120</v>
      </c>
      <c r="D355" s="118" t="s">
        <v>558</v>
      </c>
      <c r="I355" s="57"/>
    </row>
    <row r="356" spans="1:9" x14ac:dyDescent="0.2">
      <c r="A356" s="56" t="s">
        <v>150</v>
      </c>
      <c r="B356" s="59">
        <v>1</v>
      </c>
      <c r="C356" s="225" t="s">
        <v>120</v>
      </c>
      <c r="D356" s="118" t="s">
        <v>559</v>
      </c>
      <c r="I356" s="57"/>
    </row>
    <row r="357" spans="1:9" x14ac:dyDescent="0.2">
      <c r="A357" s="66" t="s">
        <v>117</v>
      </c>
      <c r="C357"/>
      <c r="I357" s="57"/>
    </row>
    <row r="358" spans="1:9" x14ac:dyDescent="0.2">
      <c r="A358" s="56" t="s">
        <v>64</v>
      </c>
      <c r="B358" s="110">
        <v>1.5</v>
      </c>
      <c r="C358" s="225" t="s">
        <v>120</v>
      </c>
      <c r="D358" s="118" t="s">
        <v>560</v>
      </c>
      <c r="I358" s="57"/>
    </row>
    <row r="359" spans="1:9" x14ac:dyDescent="0.2">
      <c r="A359" s="56" t="s">
        <v>149</v>
      </c>
      <c r="B359" s="59">
        <v>1</v>
      </c>
      <c r="C359" s="225" t="s">
        <v>120</v>
      </c>
      <c r="D359" s="118" t="s">
        <v>561</v>
      </c>
      <c r="I359" s="57"/>
    </row>
    <row r="360" spans="1:9" x14ac:dyDescent="0.2">
      <c r="A360" s="66" t="s">
        <v>66</v>
      </c>
      <c r="C360"/>
      <c r="I360" s="57"/>
    </row>
    <row r="361" spans="1:9" x14ac:dyDescent="0.2">
      <c r="A361" s="56" t="s">
        <v>66</v>
      </c>
      <c r="B361" s="67">
        <v>4.9999999999999998E-8</v>
      </c>
      <c r="C361" t="s">
        <v>163</v>
      </c>
      <c r="D361" t="s">
        <v>102</v>
      </c>
      <c r="G361" s="389" t="s">
        <v>617</v>
      </c>
      <c r="I361" s="57"/>
    </row>
    <row r="362" spans="1:9" x14ac:dyDescent="0.2">
      <c r="A362" s="66" t="s">
        <v>56</v>
      </c>
      <c r="C362"/>
      <c r="I362" s="57"/>
    </row>
    <row r="363" spans="1:9" x14ac:dyDescent="0.2">
      <c r="A363" s="56" t="s">
        <v>158</v>
      </c>
      <c r="B363" s="59">
        <v>3.0000000000000001E-3</v>
      </c>
      <c r="C363" t="s">
        <v>2</v>
      </c>
      <c r="D363" s="118" t="s">
        <v>927</v>
      </c>
      <c r="I363" s="57"/>
    </row>
    <row r="364" spans="1:9" x14ac:dyDescent="0.2">
      <c r="A364" s="56"/>
      <c r="C364"/>
      <c r="I364" s="57"/>
    </row>
    <row r="365" spans="1:9" x14ac:dyDescent="0.2">
      <c r="A365" s="66" t="s">
        <v>759</v>
      </c>
      <c r="B365" s="2" t="s">
        <v>778</v>
      </c>
      <c r="C365"/>
      <c r="D365" s="2" t="s">
        <v>779</v>
      </c>
      <c r="I365" s="57"/>
    </row>
    <row r="366" spans="1:9" x14ac:dyDescent="0.2">
      <c r="A366" s="223" t="s">
        <v>780</v>
      </c>
      <c r="B366" s="29">
        <f>'Design Converter'!E87/1000</f>
        <v>5.7000000000000002E-3</v>
      </c>
      <c r="C366" s="225" t="s">
        <v>120</v>
      </c>
      <c r="D366" s="29">
        <f>'Design Converter'!F87/1000</f>
        <v>5.7000000000000002E-3</v>
      </c>
      <c r="E366" s="225" t="s">
        <v>120</v>
      </c>
      <c r="F366" s="118" t="s">
        <v>766</v>
      </c>
      <c r="I366" s="57"/>
    </row>
    <row r="367" spans="1:9" x14ac:dyDescent="0.2">
      <c r="A367" s="56" t="s">
        <v>83</v>
      </c>
      <c r="B367" s="59">
        <f>4000/1000000</f>
        <v>4.0000000000000001E-3</v>
      </c>
      <c r="C367" s="118" t="s">
        <v>358</v>
      </c>
      <c r="E367" s="118"/>
      <c r="F367" s="118" t="s">
        <v>562</v>
      </c>
      <c r="I367" s="57"/>
    </row>
    <row r="368" spans="1:9" x14ac:dyDescent="0.2">
      <c r="A368" s="223" t="s">
        <v>132</v>
      </c>
      <c r="B368" s="72">
        <f>'Design Converter'!E88/1000000000</f>
        <v>1.0999999999999999E-8</v>
      </c>
      <c r="C368" t="s">
        <v>165</v>
      </c>
      <c r="D368" s="72">
        <f>'Design Converter'!F88/1000000000</f>
        <v>1.0999999999999999E-8</v>
      </c>
      <c r="E368" t="s">
        <v>165</v>
      </c>
      <c r="F368" s="118" t="s">
        <v>754</v>
      </c>
      <c r="I368" s="57"/>
    </row>
    <row r="369" spans="1:9" x14ac:dyDescent="0.2">
      <c r="A369" s="223" t="s">
        <v>781</v>
      </c>
      <c r="B369" s="72">
        <f>'Design Converter'!E89/1000000000</f>
        <v>2.8999999999999999E-9</v>
      </c>
      <c r="C369" t="s">
        <v>165</v>
      </c>
      <c r="D369" s="72">
        <f>'Design Converter'!F89/1000000000</f>
        <v>2.8999999999999999E-9</v>
      </c>
      <c r="E369" t="s">
        <v>165</v>
      </c>
      <c r="F369" t="s">
        <v>131</v>
      </c>
      <c r="I369" s="57"/>
    </row>
    <row r="370" spans="1:9" x14ac:dyDescent="0.2">
      <c r="A370" s="223" t="s">
        <v>782</v>
      </c>
      <c r="B370" s="72">
        <f>'Design Converter'!E90/1000000000</f>
        <v>3.2999999999999998E-9</v>
      </c>
      <c r="C370" t="s">
        <v>165</v>
      </c>
      <c r="D370" s="72">
        <f>'Design Converter'!F90/1000000000</f>
        <v>3.2999999999999998E-9</v>
      </c>
      <c r="E370" t="s">
        <v>165</v>
      </c>
      <c r="I370" s="57"/>
    </row>
    <row r="371" spans="1:9" x14ac:dyDescent="0.2">
      <c r="A371" s="223" t="s">
        <v>783</v>
      </c>
      <c r="B371" s="29">
        <f>'Design Converter'!E91</f>
        <v>1.5</v>
      </c>
      <c r="C371" s="225" t="s">
        <v>120</v>
      </c>
      <c r="D371" s="29">
        <f>'Design Converter'!F91</f>
        <v>1.5</v>
      </c>
      <c r="E371" s="225" t="s">
        <v>120</v>
      </c>
      <c r="F371" t="s">
        <v>104</v>
      </c>
      <c r="I371" s="57"/>
    </row>
    <row r="372" spans="1:9" x14ac:dyDescent="0.2">
      <c r="A372" s="223" t="s">
        <v>784</v>
      </c>
      <c r="B372" s="29">
        <f>'Design Converter'!E92</f>
        <v>60</v>
      </c>
      <c r="C372" t="s">
        <v>70</v>
      </c>
      <c r="D372" s="29">
        <f>'Design Converter'!F92</f>
        <v>60</v>
      </c>
      <c r="E372" t="s">
        <v>70</v>
      </c>
      <c r="F372" s="118" t="s">
        <v>765</v>
      </c>
      <c r="I372" s="57"/>
    </row>
    <row r="373" spans="1:9" x14ac:dyDescent="0.2">
      <c r="A373" s="223" t="s">
        <v>785</v>
      </c>
      <c r="B373" s="29">
        <f>'Design Converter'!E93</f>
        <v>4</v>
      </c>
      <c r="C373" t="s">
        <v>0</v>
      </c>
      <c r="D373" s="29">
        <f>'Design Converter'!F93</f>
        <v>4</v>
      </c>
      <c r="E373" t="s">
        <v>0</v>
      </c>
      <c r="F373" s="118" t="s">
        <v>767</v>
      </c>
      <c r="I373" s="57"/>
    </row>
    <row r="374" spans="1:9" x14ac:dyDescent="0.2">
      <c r="A374" s="223" t="s">
        <v>786</v>
      </c>
      <c r="B374" s="420">
        <f>Vth_Q1+Iout/Gfs_Q1</f>
        <v>4.0999999999999996</v>
      </c>
      <c r="C374" t="s">
        <v>0</v>
      </c>
      <c r="D374" s="420">
        <f>Vth_Q2+Iout/Gfs_Q2</f>
        <v>4.0999999999999996</v>
      </c>
      <c r="E374" t="s">
        <v>0</v>
      </c>
      <c r="F374" s="118" t="s">
        <v>768</v>
      </c>
      <c r="I374" s="57"/>
    </row>
    <row r="375" spans="1:9" x14ac:dyDescent="0.2">
      <c r="A375" s="56"/>
      <c r="C375"/>
      <c r="F375" s="118"/>
      <c r="I375" s="57"/>
    </row>
    <row r="376" spans="1:9" x14ac:dyDescent="0.2">
      <c r="A376" s="223" t="s">
        <v>789</v>
      </c>
      <c r="B376" s="29">
        <f>'Design Converter'!E94</f>
        <v>0.8</v>
      </c>
      <c r="C376" t="s">
        <v>0</v>
      </c>
      <c r="D376" s="29">
        <f>'Design Converter'!F94</f>
        <v>0.8</v>
      </c>
      <c r="E376" t="s">
        <v>0</v>
      </c>
      <c r="F376" s="118" t="s">
        <v>787</v>
      </c>
      <c r="I376" s="57"/>
    </row>
    <row r="377" spans="1:9" x14ac:dyDescent="0.2">
      <c r="A377" s="223" t="s">
        <v>711</v>
      </c>
      <c r="B377" s="72">
        <f>'Design Converter'!E95/1000000000</f>
        <v>0</v>
      </c>
      <c r="C377" t="s">
        <v>165</v>
      </c>
      <c r="D377" s="72">
        <f>'Design Converter'!F95/1000000000</f>
        <v>6.2999999999999995E-8</v>
      </c>
      <c r="E377" t="s">
        <v>165</v>
      </c>
      <c r="F377" t="s">
        <v>114</v>
      </c>
      <c r="I377" s="57"/>
    </row>
    <row r="378" spans="1:9" x14ac:dyDescent="0.2">
      <c r="A378" s="223" t="s">
        <v>712</v>
      </c>
      <c r="B378" s="72">
        <v>4.0000000000000001E-8</v>
      </c>
      <c r="C378" t="s">
        <v>163</v>
      </c>
      <c r="D378" s="72">
        <v>4.0000000000000001E-8</v>
      </c>
      <c r="E378" t="s">
        <v>163</v>
      </c>
      <c r="F378" t="s">
        <v>110</v>
      </c>
      <c r="I378" s="57"/>
    </row>
    <row r="379" spans="1:9" x14ac:dyDescent="0.2">
      <c r="A379" s="223" t="s">
        <v>932</v>
      </c>
      <c r="B379" s="29">
        <f>'Design Converter'!E96</f>
        <v>50</v>
      </c>
      <c r="C379" s="118" t="s">
        <v>241</v>
      </c>
      <c r="D379" s="29">
        <f>'Design Converter'!F96</f>
        <v>50</v>
      </c>
      <c r="E379" s="118" t="s">
        <v>241</v>
      </c>
      <c r="F379" t="s">
        <v>107</v>
      </c>
      <c r="I379" s="57"/>
    </row>
    <row r="380" spans="1:9" x14ac:dyDescent="0.2">
      <c r="A380" s="223"/>
      <c r="B380" s="29"/>
      <c r="C380" s="118"/>
      <c r="D380" s="29"/>
      <c r="E380" s="118"/>
      <c r="I380" s="57"/>
    </row>
    <row r="381" spans="1:9" x14ac:dyDescent="0.2">
      <c r="A381" s="223"/>
      <c r="B381" s="118"/>
      <c r="C381" s="118"/>
      <c r="D381" s="118"/>
      <c r="E381" s="118"/>
      <c r="I381" s="57"/>
    </row>
    <row r="382" spans="1:9" x14ac:dyDescent="0.2">
      <c r="A382" s="66" t="s">
        <v>758</v>
      </c>
      <c r="B382" s="2" t="s">
        <v>776</v>
      </c>
      <c r="C382"/>
      <c r="D382" s="2" t="s">
        <v>777</v>
      </c>
      <c r="I382" s="57"/>
    </row>
    <row r="383" spans="1:9" x14ac:dyDescent="0.2">
      <c r="A383" s="223" t="s">
        <v>780</v>
      </c>
      <c r="B383" s="29">
        <f>'Design Converter'!E100/1000</f>
        <v>1.9E-3</v>
      </c>
      <c r="C383" s="225" t="s">
        <v>120</v>
      </c>
      <c r="D383" s="29">
        <f>'Design Converter'!F100/1000</f>
        <v>1.9E-3</v>
      </c>
      <c r="E383" s="225" t="s">
        <v>120</v>
      </c>
      <c r="F383" s="118" t="s">
        <v>760</v>
      </c>
      <c r="I383" s="57"/>
    </row>
    <row r="384" spans="1:9" x14ac:dyDescent="0.2">
      <c r="A384" s="56" t="s">
        <v>84</v>
      </c>
      <c r="B384" s="337">
        <f>4000/1000000</f>
        <v>4.0000000000000001E-3</v>
      </c>
      <c r="C384" s="118" t="s">
        <v>358</v>
      </c>
      <c r="E384" s="118"/>
      <c r="F384" s="118" t="s">
        <v>562</v>
      </c>
      <c r="I384" s="57"/>
    </row>
    <row r="385" spans="1:9" x14ac:dyDescent="0.2">
      <c r="A385" s="223" t="s">
        <v>132</v>
      </c>
      <c r="B385" s="72">
        <f>'Design Converter'!E101/1000000000</f>
        <v>2.1999999999999998E-8</v>
      </c>
      <c r="C385" t="s">
        <v>165</v>
      </c>
      <c r="D385" s="72">
        <f>'Design Converter'!F101/1000000000</f>
        <v>2.1999999999999998E-8</v>
      </c>
      <c r="E385" t="s">
        <v>165</v>
      </c>
      <c r="F385" s="118" t="s">
        <v>761</v>
      </c>
      <c r="I385" s="57"/>
    </row>
    <row r="386" spans="1:9" x14ac:dyDescent="0.2">
      <c r="A386" s="223" t="s">
        <v>781</v>
      </c>
      <c r="B386" s="72">
        <f>'Design Converter'!E102/1000000000</f>
        <v>2.5000000000000001E-9</v>
      </c>
      <c r="C386" t="s">
        <v>165</v>
      </c>
      <c r="D386" s="72">
        <f>'Design Converter'!F102/1000000000</f>
        <v>2.5000000000000001E-9</v>
      </c>
      <c r="E386" t="s">
        <v>165</v>
      </c>
      <c r="F386" t="s">
        <v>131</v>
      </c>
      <c r="I386" s="57"/>
    </row>
    <row r="387" spans="1:9" x14ac:dyDescent="0.2">
      <c r="A387" s="223" t="s">
        <v>782</v>
      </c>
      <c r="B387" s="72">
        <f>'Design Converter'!E103/1000000000</f>
        <v>4.0000000000000002E-9</v>
      </c>
      <c r="C387" t="s">
        <v>165</v>
      </c>
      <c r="D387" s="72">
        <f>'Design Converter'!F103/1000000000</f>
        <v>4.0000000000000002E-9</v>
      </c>
      <c r="E387" t="s">
        <v>165</v>
      </c>
      <c r="I387" s="57"/>
    </row>
    <row r="388" spans="1:9" x14ac:dyDescent="0.2">
      <c r="A388" s="223" t="s">
        <v>783</v>
      </c>
      <c r="B388" s="29">
        <v>1</v>
      </c>
      <c r="C388" s="225" t="s">
        <v>120</v>
      </c>
      <c r="D388" s="29">
        <v>1</v>
      </c>
      <c r="E388" s="225" t="s">
        <v>120</v>
      </c>
      <c r="F388" t="s">
        <v>104</v>
      </c>
      <c r="I388" s="57"/>
    </row>
    <row r="389" spans="1:9" x14ac:dyDescent="0.2">
      <c r="A389" s="223" t="s">
        <v>784</v>
      </c>
      <c r="B389" s="29">
        <f>'Design Converter'!E105</f>
        <v>150</v>
      </c>
      <c r="C389" t="s">
        <v>70</v>
      </c>
      <c r="D389" s="29">
        <f>'Design Converter'!F105</f>
        <v>150</v>
      </c>
      <c r="E389" t="s">
        <v>70</v>
      </c>
      <c r="F389" s="118" t="s">
        <v>762</v>
      </c>
      <c r="I389" s="57"/>
    </row>
    <row r="390" spans="1:9" x14ac:dyDescent="0.2">
      <c r="A390" s="223" t="s">
        <v>785</v>
      </c>
      <c r="B390" s="29">
        <f>'Design Converter'!E106</f>
        <v>2</v>
      </c>
      <c r="C390" t="s">
        <v>0</v>
      </c>
      <c r="D390" s="29">
        <f>'Design Converter'!F106</f>
        <v>2</v>
      </c>
      <c r="E390" t="s">
        <v>0</v>
      </c>
      <c r="F390" s="118" t="s">
        <v>763</v>
      </c>
      <c r="I390" s="57"/>
    </row>
    <row r="391" spans="1:9" x14ac:dyDescent="0.2">
      <c r="A391" s="223" t="s">
        <v>786</v>
      </c>
      <c r="B391" s="420">
        <f>Vth_Q3+Iin_Vinnom/Gfs_Q3</f>
        <v>2.0263157894736841</v>
      </c>
      <c r="C391" t="s">
        <v>0</v>
      </c>
      <c r="D391" s="420">
        <f>Vth_Q4+Iin_Vinnom/Gfs_Q4</f>
        <v>2.0263157894736841</v>
      </c>
      <c r="E391" t="s">
        <v>0</v>
      </c>
      <c r="F391" s="118" t="s">
        <v>764</v>
      </c>
      <c r="I391" s="57"/>
    </row>
    <row r="392" spans="1:9" x14ac:dyDescent="0.2">
      <c r="E392" s="2"/>
      <c r="I392" s="57"/>
    </row>
    <row r="393" spans="1:9" x14ac:dyDescent="0.2">
      <c r="A393" s="223" t="s">
        <v>788</v>
      </c>
      <c r="B393" s="29">
        <f>'Design Converter'!E107</f>
        <v>0.8</v>
      </c>
      <c r="C393" t="s">
        <v>0</v>
      </c>
      <c r="D393" s="29">
        <f>'Design Converter'!F107</f>
        <v>0.8</v>
      </c>
      <c r="E393" t="s">
        <v>0</v>
      </c>
      <c r="F393" s="118" t="s">
        <v>563</v>
      </c>
      <c r="I393" s="57"/>
    </row>
    <row r="394" spans="1:9" x14ac:dyDescent="0.2">
      <c r="A394" s="56" t="s">
        <v>77</v>
      </c>
      <c r="B394" s="72">
        <f>'Design Converter'!E108/1000000000</f>
        <v>3.2999999999999998E-8</v>
      </c>
      <c r="C394" t="s">
        <v>165</v>
      </c>
      <c r="D394" s="72">
        <f>'Design Converter'!F108/1000000000</f>
        <v>0</v>
      </c>
      <c r="E394" t="s">
        <v>165</v>
      </c>
      <c r="F394" t="s">
        <v>114</v>
      </c>
      <c r="I394" s="57"/>
    </row>
    <row r="395" spans="1:9" x14ac:dyDescent="0.2">
      <c r="A395" s="56" t="s">
        <v>78</v>
      </c>
      <c r="B395" s="72">
        <v>4.0000000000000001E-8</v>
      </c>
      <c r="C395" t="s">
        <v>163</v>
      </c>
      <c r="D395" s="72">
        <v>4.0000000000000001E-8</v>
      </c>
      <c r="E395" t="s">
        <v>163</v>
      </c>
      <c r="F395" t="s">
        <v>110</v>
      </c>
      <c r="I395" s="57"/>
    </row>
    <row r="396" spans="1:9" x14ac:dyDescent="0.2">
      <c r="A396" s="223" t="s">
        <v>933</v>
      </c>
      <c r="B396" s="29">
        <f>'Design Converter'!E109</f>
        <v>50</v>
      </c>
      <c r="C396" s="118" t="s">
        <v>241</v>
      </c>
      <c r="D396" s="29">
        <f>'Design Converter'!F109</f>
        <v>50</v>
      </c>
      <c r="E396" s="118" t="s">
        <v>241</v>
      </c>
      <c r="F396" t="s">
        <v>107</v>
      </c>
      <c r="I396" s="57"/>
    </row>
    <row r="397" spans="1:9" x14ac:dyDescent="0.2">
      <c r="A397" s="223"/>
      <c r="B397" s="29"/>
      <c r="C397" s="118"/>
      <c r="D397" s="29"/>
      <c r="E397" s="118"/>
      <c r="I397" s="57"/>
    </row>
    <row r="398" spans="1:9" x14ac:dyDescent="0.2">
      <c r="A398" s="66" t="s">
        <v>757</v>
      </c>
      <c r="B398" s="532" t="s">
        <v>756</v>
      </c>
      <c r="D398" s="532" t="s">
        <v>755</v>
      </c>
      <c r="I398" s="57"/>
    </row>
    <row r="399" spans="1:9" x14ac:dyDescent="0.2">
      <c r="A399" s="56" t="s">
        <v>231</v>
      </c>
      <c r="B399" s="29">
        <f>'Design Converter'!E112</f>
        <v>0</v>
      </c>
      <c r="C399" t="s">
        <v>0</v>
      </c>
      <c r="D399" s="29">
        <f>'Design Converter'!F112</f>
        <v>0</v>
      </c>
      <c r="E399" t="s">
        <v>0</v>
      </c>
      <c r="F399" t="s">
        <v>234</v>
      </c>
      <c r="I399" s="57"/>
    </row>
    <row r="400" spans="1:9" x14ac:dyDescent="0.2">
      <c r="A400" s="56" t="s">
        <v>232</v>
      </c>
      <c r="B400" s="72">
        <f>'Design Converter'!E113/1000000000</f>
        <v>0</v>
      </c>
      <c r="C400" t="s">
        <v>165</v>
      </c>
      <c r="D400" s="72">
        <f>'Design Converter'!F113/1000000000</f>
        <v>0</v>
      </c>
      <c r="E400" t="s">
        <v>165</v>
      </c>
      <c r="F400" t="s">
        <v>235</v>
      </c>
      <c r="I400" s="57"/>
    </row>
    <row r="401" spans="1:9" x14ac:dyDescent="0.2">
      <c r="A401" s="56" t="s">
        <v>233</v>
      </c>
      <c r="B401" s="29">
        <v>0</v>
      </c>
      <c r="C401" t="s">
        <v>2</v>
      </c>
      <c r="D401" s="29">
        <v>0</v>
      </c>
      <c r="E401" t="s">
        <v>2</v>
      </c>
      <c r="F401" t="s">
        <v>236</v>
      </c>
      <c r="I401" s="57"/>
    </row>
    <row r="402" spans="1:9" x14ac:dyDescent="0.2">
      <c r="A402" s="56"/>
      <c r="C402"/>
      <c r="I402" s="57"/>
    </row>
    <row r="403" spans="1:9" x14ac:dyDescent="0.2">
      <c r="A403" s="66" t="s">
        <v>121</v>
      </c>
      <c r="C403"/>
      <c r="I403" s="57"/>
    </row>
    <row r="404" spans="1:9" x14ac:dyDescent="0.2">
      <c r="A404" s="223" t="s">
        <v>685</v>
      </c>
      <c r="B404" s="29">
        <v>30.5</v>
      </c>
      <c r="C404" s="118" t="s">
        <v>241</v>
      </c>
      <c r="D404" s="118"/>
      <c r="E404" s="118"/>
      <c r="F404" t="s">
        <v>689</v>
      </c>
      <c r="I404" s="57"/>
    </row>
    <row r="405" spans="1:9" x14ac:dyDescent="0.2">
      <c r="A405" s="66" t="s">
        <v>81</v>
      </c>
      <c r="C405"/>
      <c r="I405" s="57"/>
    </row>
    <row r="406" spans="1:9" x14ac:dyDescent="0.2">
      <c r="A406" s="223" t="s">
        <v>63</v>
      </c>
      <c r="C406"/>
      <c r="I406" s="57"/>
    </row>
    <row r="407" spans="1:9" x14ac:dyDescent="0.2">
      <c r="A407" s="56" t="s">
        <v>92</v>
      </c>
      <c r="B407" s="69">
        <f>(Qgd_Q1+Qgs_Q1/2)*(RdsonDRT+Rgate1)/(Vdd-Vsp_Q1)</f>
        <v>4.01470588235294E-9</v>
      </c>
      <c r="C407" t="s">
        <v>163</v>
      </c>
      <c r="D407" s="69">
        <f>(Qgd_Q4+Qgs_Q4/2)*(RdsonDRT+Rgate4)/(Vdd-Vsp_Q4)</f>
        <v>2.0552884615384616E-9</v>
      </c>
      <c r="E407" t="s">
        <v>163</v>
      </c>
      <c r="I407" s="57"/>
    </row>
    <row r="408" spans="1:9" x14ac:dyDescent="0.2">
      <c r="A408" s="56" t="s">
        <v>93</v>
      </c>
      <c r="B408" s="69">
        <f>(Qgd_Q1+Qgs_Q1/2)*(RdsonDRT2+Rgate1)/(Vsp_Q1)</f>
        <v>2.7743902439024386E-9</v>
      </c>
      <c r="C408" t="s">
        <v>163</v>
      </c>
      <c r="D408" s="69">
        <f>(Qgd_Q4+Qgs_Q4/2)*(RdsonDRT2+Rgate4)/(Vsp_Q4)</f>
        <v>4.4415584415584424E-9</v>
      </c>
      <c r="E408" t="s">
        <v>163</v>
      </c>
      <c r="I408" s="57"/>
    </row>
    <row r="409" spans="1:9" x14ac:dyDescent="0.2">
      <c r="A409" s="56"/>
      <c r="C409"/>
      <c r="I409" s="57"/>
    </row>
    <row r="410" spans="1:9" x14ac:dyDescent="0.2">
      <c r="A410" s="66" t="s">
        <v>574</v>
      </c>
      <c r="B410" s="2" t="s">
        <v>8</v>
      </c>
      <c r="C410" s="2" t="s">
        <v>80</v>
      </c>
      <c r="I410" s="57"/>
    </row>
    <row r="411" spans="1:9" x14ac:dyDescent="0.2">
      <c r="A411" s="58" t="s">
        <v>119</v>
      </c>
      <c r="B411" s="3" t="e">
        <f>#REF!</f>
        <v>#REF!</v>
      </c>
      <c r="C411" s="3" t="s">
        <v>120</v>
      </c>
      <c r="I411" s="57"/>
    </row>
    <row r="412" spans="1:9" x14ac:dyDescent="0.2">
      <c r="A412" s="58" t="s">
        <v>123</v>
      </c>
      <c r="B412" s="42" t="e">
        <f>B411*ThetaJaCtrl</f>
        <v>#REF!</v>
      </c>
      <c r="C412" s="118" t="s">
        <v>282</v>
      </c>
      <c r="I412" s="57"/>
    </row>
    <row r="413" spans="1:9" x14ac:dyDescent="0.2">
      <c r="A413" s="58" t="s">
        <v>246</v>
      </c>
      <c r="B413" s="42">
        <f>(Qg_Q1+Qg_Q2)*Fsw+Iq</f>
        <v>7.928000000000001E-3</v>
      </c>
      <c r="C413" t="s">
        <v>2</v>
      </c>
      <c r="I413" s="57"/>
    </row>
    <row r="414" spans="1:9" x14ac:dyDescent="0.2">
      <c r="A414" s="58" t="s">
        <v>247</v>
      </c>
      <c r="B414">
        <f>Qrr_Q2*Fsw</f>
        <v>1.4112E-2</v>
      </c>
      <c r="C414" t="s">
        <v>2</v>
      </c>
      <c r="I414" s="57"/>
    </row>
    <row r="415" spans="1:9" x14ac:dyDescent="0.2">
      <c r="A415" s="58" t="s">
        <v>248</v>
      </c>
      <c r="B415" t="e">
        <f>C415/Vin</f>
        <v>#NAME?</v>
      </c>
      <c r="C415" t="e">
        <f>Deadtime*Fsw*(Ipp/2)*(Vsd_Q1+Vsd_Q2)</f>
        <v>#NAME?</v>
      </c>
      <c r="I415" s="57"/>
    </row>
    <row r="416" spans="1:9" x14ac:dyDescent="0.2">
      <c r="A416" s="58" t="s">
        <v>250</v>
      </c>
      <c r="B416" t="e">
        <f>SUM(B413:B415)</f>
        <v>#NAME?</v>
      </c>
      <c r="C416" t="s">
        <v>2</v>
      </c>
      <c r="I416" s="57"/>
    </row>
    <row r="417" spans="1:9" x14ac:dyDescent="0.2">
      <c r="A417" s="56"/>
      <c r="I417" s="57"/>
    </row>
    <row r="418" spans="1:9" x14ac:dyDescent="0.2">
      <c r="A418" s="66" t="s">
        <v>618</v>
      </c>
      <c r="I418" s="57"/>
    </row>
    <row r="419" spans="1:9" x14ac:dyDescent="0.2">
      <c r="A419" s="56" t="s">
        <v>118</v>
      </c>
      <c r="I419" s="57"/>
    </row>
    <row r="420" spans="1:9" ht="13.5" thickBot="1" x14ac:dyDescent="0.25">
      <c r="A420" s="60" t="s">
        <v>119</v>
      </c>
      <c r="B420" s="61"/>
      <c r="C420" s="319"/>
      <c r="D420" s="61"/>
      <c r="E420" s="61"/>
      <c r="F420" s="61"/>
      <c r="G420" s="61"/>
      <c r="H420" s="61"/>
      <c r="I420" s="62"/>
    </row>
    <row r="421" spans="1:9" x14ac:dyDescent="0.2">
      <c r="A421" s="1"/>
      <c r="B421" s="1"/>
      <c r="C421" s="1"/>
    </row>
    <row r="422" spans="1:9" ht="21.75" customHeight="1" thickBot="1" x14ac:dyDescent="0.3">
      <c r="A422" s="92" t="s">
        <v>242</v>
      </c>
    </row>
    <row r="423" spans="1:9" x14ac:dyDescent="0.2">
      <c r="A423" s="93" t="str">
        <f>"RC1 = "&amp;'Design Converter'!D78&amp;"kΩ"</f>
        <v>RC1 = 12.1kΩ</v>
      </c>
      <c r="B423" s="63" t="str">
        <f>'Design Converter'!D78&amp;"kΩ"</f>
        <v>12.1kΩ</v>
      </c>
      <c r="C423" s="318"/>
      <c r="D423" s="63"/>
      <c r="E423" s="63"/>
      <c r="F423" s="63"/>
      <c r="G423" s="63"/>
      <c r="H423" s="63"/>
      <c r="I423" s="64"/>
    </row>
    <row r="424" spans="1:9" x14ac:dyDescent="0.2">
      <c r="A424" s="56" t="str">
        <f>"RUV1 = "&amp;'Design Converter'!E64&amp;"kΩ"</f>
        <v>RUV1 = 200kΩ</v>
      </c>
      <c r="B424" t="str">
        <f>'Design Converter'!E64&amp;"kΩ"</f>
        <v>200kΩ</v>
      </c>
      <c r="I424" s="57"/>
    </row>
    <row r="425" spans="1:9" x14ac:dyDescent="0.2">
      <c r="A425" s="56" t="str">
        <f>"RUV2 = "&amp;'Design Converter'!E65&amp;"kΩ"</f>
        <v>RUV2 = 52.3kΩ</v>
      </c>
      <c r="B425" t="str">
        <f>'Design Converter'!E65&amp;"kΩ"</f>
        <v>52.3kΩ</v>
      </c>
      <c r="I425" s="57"/>
    </row>
    <row r="426" spans="1:9" x14ac:dyDescent="0.2">
      <c r="A426" s="56" t="str">
        <f>"LF = "&amp;'Design Converter'!E16&amp;"µH"</f>
        <v>LF = 4.7µH</v>
      </c>
      <c r="B426" t="str">
        <f>'Design Converter'!E16&amp;"µH"</f>
        <v>4.7µH</v>
      </c>
      <c r="I426" s="57"/>
    </row>
    <row r="427" spans="1:9" x14ac:dyDescent="0.2">
      <c r="A427" s="56" t="str">
        <f>"Rdcr = "&amp;Rdcr*1000&amp;"mΩ"</f>
        <v>Rdcr = 6mΩ</v>
      </c>
      <c r="B427" t="str">
        <f>Rdcr*1000&amp;"mΩ"</f>
        <v>6mΩ</v>
      </c>
      <c r="I427" s="57"/>
    </row>
    <row r="428" spans="1:9" x14ac:dyDescent="0.2">
      <c r="A428" s="56" t="str">
        <f>"Rs = "&amp;'Design Converter'!E28&amp;"mΩ"</f>
        <v>Rs = 8mΩ</v>
      </c>
      <c r="B428" t="str">
        <f>'Design Converter'!E28&amp;"mΩ"</f>
        <v>8mΩ</v>
      </c>
      <c r="I428" s="57"/>
    </row>
    <row r="429" spans="1:9" x14ac:dyDescent="0.2">
      <c r="A429" s="56" t="str">
        <f>"Rshunt = "&amp;ROUND('Design Converter'!E37,1)&amp;"mΩ"</f>
        <v>Rshunt = 0mΩ</v>
      </c>
      <c r="B429" t="str">
        <f>ROUND('Design Converter'!E37,1)&amp;"mΩ"</f>
        <v>0mΩ</v>
      </c>
      <c r="I429" s="57"/>
    </row>
    <row r="430" spans="1:9" x14ac:dyDescent="0.2">
      <c r="A430" s="56"/>
      <c r="I430" s="57"/>
    </row>
    <row r="431" spans="1:9" x14ac:dyDescent="0.2">
      <c r="A431" s="56" t="str">
        <f>"VOUT = "&amp;'Design Converter'!E9&amp;"V"</f>
        <v>VOUT = 12V</v>
      </c>
      <c r="B431" t="str">
        <f>'Design Converter'!E9&amp;"V"</f>
        <v>12V</v>
      </c>
      <c r="I431" s="57"/>
    </row>
    <row r="432" spans="1:9" x14ac:dyDescent="0.2">
      <c r="A432" s="56"/>
      <c r="I432" s="57"/>
    </row>
    <row r="433" spans="1:9" x14ac:dyDescent="0.2">
      <c r="A433" s="56" t="str">
        <f>"COUT = "&amp;'Design Converter'!$E$42&amp;"µF"</f>
        <v>COUT = 272µF</v>
      </c>
      <c r="B433" t="str">
        <f>'Design Converter'!$E$42&amp;"µF"</f>
        <v>272µF</v>
      </c>
      <c r="I433" s="57"/>
    </row>
    <row r="434" spans="1:9" x14ac:dyDescent="0.2">
      <c r="A434" s="223" t="s">
        <v>344</v>
      </c>
      <c r="B434" t="str">
        <f>"22µF"</f>
        <v>22µF</v>
      </c>
      <c r="I434" s="57"/>
    </row>
    <row r="435" spans="1:9" x14ac:dyDescent="0.2">
      <c r="A435" s="223" t="s">
        <v>345</v>
      </c>
      <c r="B435" s="120" t="str">
        <f>ROUNDUP(Cout*1000000/22,0)&amp;" x"</f>
        <v>13 x</v>
      </c>
      <c r="C435" s="320"/>
      <c r="I435" s="57"/>
    </row>
    <row r="436" spans="1:9" x14ac:dyDescent="0.2">
      <c r="A436" s="56"/>
      <c r="I436" s="57"/>
    </row>
    <row r="437" spans="1:9" x14ac:dyDescent="0.2">
      <c r="A437" s="56" t="s">
        <v>267</v>
      </c>
      <c r="B437" t="str">
        <f>Cin*1000000&amp;"µF"</f>
        <v>100µF</v>
      </c>
      <c r="I437" s="57"/>
    </row>
    <row r="438" spans="1:9" x14ac:dyDescent="0.2">
      <c r="A438" s="223" t="s">
        <v>343</v>
      </c>
      <c r="B438" t="str">
        <f>"10µF"</f>
        <v>10µF</v>
      </c>
      <c r="I438" s="57"/>
    </row>
    <row r="439" spans="1:9" x14ac:dyDescent="0.2">
      <c r="A439" s="223" t="s">
        <v>342</v>
      </c>
      <c r="B439" s="120" t="str">
        <f>ROUNDUP(Cin*1000000/10,0)&amp;" x"</f>
        <v>10 x</v>
      </c>
      <c r="C439" s="320"/>
      <c r="I439" s="57"/>
    </row>
    <row r="440" spans="1:9" x14ac:dyDescent="0.2">
      <c r="A440" s="223"/>
      <c r="B440" s="120"/>
      <c r="C440" s="320"/>
      <c r="I440" s="57"/>
    </row>
    <row r="441" spans="1:9" x14ac:dyDescent="0.2">
      <c r="A441" s="56" t="str">
        <f>"RC1 = "&amp;Rcea1_u/1000&amp;"kΩ"</f>
        <v>RC1 = 12.1kΩ</v>
      </c>
      <c r="B441" t="str">
        <f>ROUND(Rcea1_u/1000,2)&amp;"kΩ"</f>
        <v>12.1kΩ</v>
      </c>
      <c r="I441" s="57"/>
    </row>
    <row r="442" spans="1:9" x14ac:dyDescent="0.2">
      <c r="A442" s="56" t="str">
        <f>"CC1 = "&amp;Cc1ea_u*10^9&amp;"nF"</f>
        <v>CC1 = 2.7nF</v>
      </c>
      <c r="B442" t="str">
        <f>Cc1ea_u*10^9&amp;"nF"</f>
        <v>2.7nF</v>
      </c>
      <c r="I442" s="57"/>
    </row>
    <row r="443" spans="1:9" x14ac:dyDescent="0.2">
      <c r="A443" s="56" t="str">
        <f>"CC2 = "&amp;IF(Cc2ea_u&gt;0, Cc2ea_u*10^12&amp;"pF", "OPEN")</f>
        <v>CC2 = 10pF</v>
      </c>
      <c r="B443" t="str">
        <f>IF(Cc2ea_u&gt;0, ROUND(Cc2ea_u*10^12,1)&amp;"pF", "N/A")</f>
        <v>10pF</v>
      </c>
      <c r="I443" s="57"/>
    </row>
    <row r="444" spans="1:9" x14ac:dyDescent="0.2">
      <c r="A444" s="56"/>
      <c r="I444" s="57"/>
    </row>
    <row r="445" spans="1:9" x14ac:dyDescent="0.2">
      <c r="A445" s="56" t="str">
        <f>"gm = "&amp;$B$239*1000&amp;"mS"</f>
        <v>gm = 1.27mS</v>
      </c>
      <c r="B445" t="str">
        <f>$B$239*1000&amp;"mS"</f>
        <v>1.27mS</v>
      </c>
      <c r="I445" s="57"/>
    </row>
    <row r="446" spans="1:9" x14ac:dyDescent="0.2">
      <c r="A446" s="56" t="str">
        <f>"RoEA = "&amp;RoEA/1000000&amp;"MΩ"</f>
        <v>RoEA = 20MΩ</v>
      </c>
      <c r="B446" t="str">
        <f>RoEA/1000000&amp;"MΩ"</f>
        <v>20MΩ</v>
      </c>
      <c r="I446" s="57"/>
    </row>
    <row r="447" spans="1:9" x14ac:dyDescent="0.2">
      <c r="A447" s="56" t="str">
        <f>"GBW = "&amp;GBW&amp;"MHz"</f>
        <v>GBW = 8MHz</v>
      </c>
      <c r="B447" t="str">
        <f>GBW&amp;"MHz"</f>
        <v>8MHz</v>
      </c>
      <c r="I447" s="57"/>
    </row>
    <row r="448" spans="1:9" x14ac:dyDescent="0.2">
      <c r="A448" s="56"/>
      <c r="I448" s="57"/>
    </row>
    <row r="449" spans="1:9" x14ac:dyDescent="0.2">
      <c r="A449" s="56" t="str">
        <f>"Cslope = "&amp;Cslope&amp;"pF"</f>
        <v>Cslope = 150pF</v>
      </c>
      <c r="B449" t="str">
        <f>ROUND(Cslope*1,0)&amp;"pF"</f>
        <v>150pF</v>
      </c>
      <c r="I449" s="57"/>
    </row>
    <row r="450" spans="1:9" x14ac:dyDescent="0.2">
      <c r="A450" s="56" t="str">
        <f>IF(DITHER=1, "Cdither = "&amp;Cdither*1000000000&amp;"nF", "")</f>
        <v>Cdither = 8.2nF</v>
      </c>
      <c r="B450" t="str">
        <f>IF(DITHER=1, ROUND(Cdither*1000000000,0)&amp;"nF", "")</f>
        <v>8nF</v>
      </c>
      <c r="C450" s="2" t="str">
        <f>IF(DITHER=1, "Cd", "")</f>
        <v>Cd</v>
      </c>
      <c r="I450" s="57"/>
    </row>
    <row r="451" spans="1:9" x14ac:dyDescent="0.2">
      <c r="A451" s="56" t="str">
        <f>"RFB1 = "&amp;'Design Converter'!E73&amp;"kΩ"</f>
        <v>RFB1 = 100kΩ</v>
      </c>
      <c r="B451" t="str">
        <f>'Design Converter'!E73&amp;"kΩ"</f>
        <v>100kΩ</v>
      </c>
      <c r="I451" s="57"/>
    </row>
    <row r="452" spans="1:9" x14ac:dyDescent="0.2">
      <c r="A452" s="56" t="str">
        <f>"RFB2 = "&amp;IF(Vout=Vref,"OPEN",'Design Converter'!E74&amp;"kΩ")</f>
        <v>RFB2 = 7.15kΩ</v>
      </c>
      <c r="B452" t="str">
        <f>IF(Vout=Vref,"OPEN",Rfb2_u/1000&amp;"kΩ")</f>
        <v>7.15kΩ</v>
      </c>
      <c r="I452" s="57"/>
    </row>
    <row r="453" spans="1:9" x14ac:dyDescent="0.2">
      <c r="A453" s="56" t="str">
        <f>"Crossover Frequency = "&amp;ROUND('Stability Calculations'!Q4,1)&amp;" kHz"</f>
        <v>Crossover Frequency = 15.1 kHz</v>
      </c>
      <c r="B453" t="str">
        <f>ROUND('Stability Calculations'!Q4,1)&amp;" kHz"</f>
        <v>15.1 kHz</v>
      </c>
      <c r="D453" s="119">
        <f>'Stability Calculations'!Q4</f>
        <v>15.135999999999999</v>
      </c>
      <c r="I453" s="57"/>
    </row>
    <row r="454" spans="1:9" x14ac:dyDescent="0.2">
      <c r="A454" s="56" t="str">
        <f>"Phase Margin = "&amp;ROUND('Stability Calculations'!Q5,0)&amp;"°"</f>
        <v>Phase Margin = 62°</v>
      </c>
      <c r="B454" s="120" t="str">
        <f>ROUND('Stability Calculations'!Q5,0)&amp;"°"</f>
        <v>62°</v>
      </c>
      <c r="C454" s="320"/>
      <c r="E454" s="225"/>
      <c r="I454" s="57"/>
    </row>
    <row r="455" spans="1:9" x14ac:dyDescent="0.2">
      <c r="A455" s="56"/>
      <c r="B455" s="120"/>
      <c r="C455" s="320"/>
      <c r="E455" s="225"/>
      <c r="I455" s="57"/>
    </row>
    <row r="456" spans="1:9" x14ac:dyDescent="0.2">
      <c r="A456" s="66" t="s">
        <v>931</v>
      </c>
      <c r="B456" s="541" t="str">
        <f>IF(PLOT_TYPE=1, "", ROUND('Efficiency vs VIN Calculations'!BH9,1)&amp;"%")</f>
        <v/>
      </c>
      <c r="C456" s="320"/>
      <c r="E456" s="225"/>
      <c r="I456" s="57"/>
    </row>
    <row r="457" spans="1:9" x14ac:dyDescent="0.2">
      <c r="A457" s="66" t="s">
        <v>929</v>
      </c>
      <c r="B457" s="541" t="str">
        <f>IF(PLOT_TYPE=1, ROUND('Efficiency vs Load Calculations'!BH109,1)&amp;"%", ROUND('Efficiency vs VIN Calculations'!BH209,1)&amp;"%")</f>
        <v>97.9%</v>
      </c>
      <c r="C457" s="320"/>
      <c r="E457" s="225"/>
      <c r="I457" s="57"/>
    </row>
    <row r="458" spans="1:9" x14ac:dyDescent="0.2">
      <c r="A458" s="66" t="s">
        <v>930</v>
      </c>
      <c r="B458" s="541" t="str">
        <f>IF(PLOT_TYPE=1, ROUND('Efficiency vs Load Calculations'!BH59,1)&amp;"%", ROUND('Efficiency vs VIN Calculations'!BH109,1)&amp;"%")</f>
        <v>97.7%</v>
      </c>
      <c r="C458" s="320"/>
      <c r="E458" s="225"/>
      <c r="I458" s="57"/>
    </row>
    <row r="459" spans="1:9" x14ac:dyDescent="0.2">
      <c r="A459" s="56"/>
      <c r="B459" s="120"/>
      <c r="C459" s="320"/>
      <c r="E459" s="225"/>
      <c r="I459" s="57"/>
    </row>
    <row r="460" spans="1:9" x14ac:dyDescent="0.2">
      <c r="A460" s="56" t="str">
        <f>"CDITH = "&amp;Cdither*1000000000&amp;"nF"</f>
        <v>CDITH = 8.2nF</v>
      </c>
      <c r="B460" t="str">
        <f>Cdither*1000000000&amp;"nF"</f>
        <v>8.2nF</v>
      </c>
      <c r="I460" s="57"/>
    </row>
    <row r="461" spans="1:9" x14ac:dyDescent="0.2">
      <c r="A461" s="56" t="str">
        <f>"Rs = "&amp;Rs&amp;"Ω"</f>
        <v>Rs = 0.008Ω</v>
      </c>
      <c r="B461" t="e">
        <f>'Standard Value Calculator'!O6&amp;"Ω"</f>
        <v>#NUM!</v>
      </c>
      <c r="I461" s="57"/>
    </row>
    <row r="462" spans="1:9" x14ac:dyDescent="0.2">
      <c r="A462" s="56" t="s">
        <v>225</v>
      </c>
      <c r="B462" t="str">
        <f>'Standard Value Calculator'!O13&amp;"mΩ"</f>
        <v>7.5mΩ</v>
      </c>
      <c r="I462" s="57"/>
    </row>
    <row r="463" spans="1:9" x14ac:dyDescent="0.2">
      <c r="A463" s="56" t="s">
        <v>200</v>
      </c>
      <c r="B463" t="e">
        <f>'Standard Value Calculator'!O6&amp;"mΩ"</f>
        <v>#NUM!</v>
      </c>
      <c r="I463" s="57"/>
    </row>
    <row r="464" spans="1:9" x14ac:dyDescent="0.2">
      <c r="A464" s="56" t="str">
        <f>"Rshunt = "&amp;ROUND(Rshunt,1)&amp;"mΩ"</f>
        <v>Rshunt = 0mΩ</v>
      </c>
      <c r="B464" t="str">
        <f>IF(Rshunt="0", "N/A",ROUND(Rshunt,1)&amp;"mΩ")</f>
        <v>0mΩ</v>
      </c>
      <c r="I464" s="57"/>
    </row>
    <row r="465" spans="1:9" x14ac:dyDescent="0.2">
      <c r="A465" s="56"/>
      <c r="I465" s="57"/>
    </row>
    <row r="466" spans="1:9" x14ac:dyDescent="0.2">
      <c r="A466" s="223" t="s">
        <v>338</v>
      </c>
      <c r="B466" s="118" t="s">
        <v>339</v>
      </c>
      <c r="I466" s="57"/>
    </row>
    <row r="467" spans="1:9" x14ac:dyDescent="0.2">
      <c r="A467" s="223"/>
      <c r="B467" s="118"/>
      <c r="I467" s="57"/>
    </row>
    <row r="468" spans="1:9" x14ac:dyDescent="0.2">
      <c r="A468" s="223"/>
      <c r="B468" s="118"/>
      <c r="I468" s="57"/>
    </row>
    <row r="469" spans="1:9" x14ac:dyDescent="0.2">
      <c r="A469" s="223" t="s">
        <v>359</v>
      </c>
      <c r="B469" t="str">
        <f>'Standard Value Calculator'!O4/1000&amp;"kΩ"</f>
        <v>115kΩ</v>
      </c>
      <c r="I469" s="57"/>
    </row>
    <row r="470" spans="1:9" x14ac:dyDescent="0.2">
      <c r="A470" s="56" t="s">
        <v>183</v>
      </c>
      <c r="B470" t="str">
        <f>'Standard Value Calculator'!B4*1000000000 &amp;"nF"</f>
        <v>100nF</v>
      </c>
      <c r="I470" s="57"/>
    </row>
    <row r="471" spans="1:9" x14ac:dyDescent="0.2">
      <c r="A471" s="223" t="s">
        <v>440</v>
      </c>
      <c r="B471" s="118" t="str">
        <f>Cslope &amp;"pF"</f>
        <v>150pF</v>
      </c>
      <c r="I471" s="57"/>
    </row>
    <row r="472" spans="1:9" x14ac:dyDescent="0.2">
      <c r="A472" s="56" t="s">
        <v>226</v>
      </c>
      <c r="B472" t="str">
        <f>IF(B99="y","","|")</f>
        <v>|</v>
      </c>
      <c r="I472" s="57"/>
    </row>
    <row r="473" spans="1:9" x14ac:dyDescent="0.2">
      <c r="A473" s="56" t="s">
        <v>243</v>
      </c>
      <c r="B473" t="str">
        <f>'Design Converter'!$E$10&amp;"A"</f>
        <v>6A</v>
      </c>
      <c r="I473" s="57"/>
    </row>
    <row r="474" spans="1:9" x14ac:dyDescent="0.2">
      <c r="A474" s="56" t="s">
        <v>175</v>
      </c>
      <c r="B474" t="str">
        <f>VIN_nom&amp;"V"</f>
        <v>19V</v>
      </c>
      <c r="I474" s="57"/>
    </row>
    <row r="475" spans="1:9" x14ac:dyDescent="0.2">
      <c r="A475" s="223" t="s">
        <v>950</v>
      </c>
      <c r="B475" t="str">
        <f>VIN_min&amp;"V"&amp;"..."&amp;VIN_max&amp;"V"</f>
        <v>5V...24V</v>
      </c>
      <c r="I475" s="57"/>
    </row>
    <row r="476" spans="1:9" x14ac:dyDescent="0.2">
      <c r="A476" s="56"/>
      <c r="I476" s="57"/>
    </row>
    <row r="477" spans="1:9" x14ac:dyDescent="0.2">
      <c r="A477" s="56" t="s">
        <v>251</v>
      </c>
      <c r="B477">
        <v>12</v>
      </c>
      <c r="I477" s="57"/>
    </row>
    <row r="478" spans="1:9" x14ac:dyDescent="0.2">
      <c r="A478" s="56" t="s">
        <v>252</v>
      </c>
      <c r="B478">
        <v>18</v>
      </c>
      <c r="I478" s="57"/>
    </row>
    <row r="479" spans="1:9" x14ac:dyDescent="0.2">
      <c r="A479" s="56" t="s">
        <v>253</v>
      </c>
      <c r="B479">
        <v>14</v>
      </c>
      <c r="I479" s="57"/>
    </row>
    <row r="480" spans="1:9" x14ac:dyDescent="0.2">
      <c r="A480" s="56" t="s">
        <v>254</v>
      </c>
      <c r="B480">
        <v>6</v>
      </c>
      <c r="I480" s="57"/>
    </row>
    <row r="481" spans="1:9" x14ac:dyDescent="0.2">
      <c r="A481" s="56" t="s">
        <v>255</v>
      </c>
      <c r="B481">
        <v>7</v>
      </c>
      <c r="I481" s="57"/>
    </row>
    <row r="482" spans="1:9" x14ac:dyDescent="0.2">
      <c r="A482" s="56" t="s">
        <v>256</v>
      </c>
      <c r="B482">
        <v>11</v>
      </c>
      <c r="I482" s="57"/>
    </row>
    <row r="483" spans="1:9" x14ac:dyDescent="0.2">
      <c r="A483" s="56" t="s">
        <v>257</v>
      </c>
      <c r="B483">
        <v>1</v>
      </c>
      <c r="I483" s="57"/>
    </row>
    <row r="484" spans="1:9" x14ac:dyDescent="0.2">
      <c r="A484" s="56" t="s">
        <v>258</v>
      </c>
      <c r="B484">
        <v>5</v>
      </c>
      <c r="I484" s="57"/>
    </row>
    <row r="485" spans="1:9" x14ac:dyDescent="0.2">
      <c r="A485" s="56" t="s">
        <v>259</v>
      </c>
      <c r="B485">
        <v>13</v>
      </c>
      <c r="I485" s="57"/>
    </row>
    <row r="486" spans="1:9" x14ac:dyDescent="0.2">
      <c r="A486" s="56" t="s">
        <v>260</v>
      </c>
      <c r="B486">
        <v>4</v>
      </c>
      <c r="I486" s="57"/>
    </row>
    <row r="487" spans="1:9" x14ac:dyDescent="0.2">
      <c r="A487" s="56" t="s">
        <v>261</v>
      </c>
      <c r="B487">
        <v>3</v>
      </c>
      <c r="I487" s="57"/>
    </row>
    <row r="488" spans="1:9" x14ac:dyDescent="0.2">
      <c r="A488" s="56" t="s">
        <v>262</v>
      </c>
      <c r="B488">
        <v>24</v>
      </c>
      <c r="I488" s="57"/>
    </row>
    <row r="489" spans="1:9" x14ac:dyDescent="0.2">
      <c r="A489" s="56" t="s">
        <v>263</v>
      </c>
      <c r="B489">
        <v>23</v>
      </c>
      <c r="I489" s="57"/>
    </row>
    <row r="490" spans="1:9" x14ac:dyDescent="0.2">
      <c r="A490" s="56" t="s">
        <v>264</v>
      </c>
      <c r="B490">
        <v>15</v>
      </c>
      <c r="I490" s="57"/>
    </row>
    <row r="491" spans="1:9" x14ac:dyDescent="0.2">
      <c r="A491" s="56" t="s">
        <v>265</v>
      </c>
      <c r="B491">
        <v>16</v>
      </c>
      <c r="I491" s="57"/>
    </row>
    <row r="492" spans="1:9" x14ac:dyDescent="0.2">
      <c r="A492" s="56" t="s">
        <v>266</v>
      </c>
      <c r="B492">
        <v>17</v>
      </c>
      <c r="I492" s="57"/>
    </row>
    <row r="493" spans="1:9" x14ac:dyDescent="0.2">
      <c r="A493" t="s">
        <v>278</v>
      </c>
      <c r="B493">
        <v>2</v>
      </c>
      <c r="I493" s="57"/>
    </row>
    <row r="494" spans="1:9" x14ac:dyDescent="0.2">
      <c r="A494" s="56" t="s">
        <v>277</v>
      </c>
      <c r="B494">
        <v>8</v>
      </c>
      <c r="I494" s="57"/>
    </row>
    <row r="495" spans="1:9" ht="13.5" thickBot="1" x14ac:dyDescent="0.25">
      <c r="A495" s="60"/>
      <c r="B495" s="61"/>
      <c r="C495" s="319"/>
      <c r="D495" s="61"/>
      <c r="E495" s="61"/>
      <c r="F495" s="61"/>
      <c r="G495" s="61"/>
      <c r="H495" s="61"/>
      <c r="I495"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B291"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B9"/>
  <sheetViews>
    <sheetView zoomScaleNormal="100" workbookViewId="0">
      <selection activeCell="E5" sqref="E5"/>
    </sheetView>
  </sheetViews>
  <sheetFormatPr defaultRowHeight="12.75" x14ac:dyDescent="0.2"/>
  <cols>
    <col min="1" max="1" width="10.5703125" customWidth="1"/>
    <col min="2" max="2" width="133.85546875" customWidth="1"/>
  </cols>
  <sheetData>
    <row r="2" spans="1:2" x14ac:dyDescent="0.2">
      <c r="A2" t="str">
        <f>IF(DITHER=1, "SCH_WITH_DITH", "SCH_NO_DITH")</f>
        <v>SCH_WITH_DITH</v>
      </c>
    </row>
    <row r="5" spans="1:2" ht="393" customHeight="1" x14ac:dyDescent="0.2">
      <c r="B5" s="601"/>
    </row>
    <row r="6" spans="1:2" ht="12" customHeight="1" x14ac:dyDescent="0.2">
      <c r="B6" s="601"/>
    </row>
    <row r="7" spans="1:2" ht="34.5" customHeight="1" x14ac:dyDescent="0.2"/>
    <row r="8" spans="1:2" ht="393" customHeight="1" x14ac:dyDescent="0.2">
      <c r="B8" s="601"/>
    </row>
    <row r="9" spans="1:2" x14ac:dyDescent="0.2">
      <c r="B9" s="60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B7"/>
  <sheetViews>
    <sheetView zoomScaleNormal="100" workbookViewId="0">
      <selection activeCell="B5" sqref="B5"/>
    </sheetView>
  </sheetViews>
  <sheetFormatPr defaultRowHeight="12.75" x14ac:dyDescent="0.2"/>
  <cols>
    <col min="1" max="1" width="10.5703125" customWidth="1"/>
    <col min="2" max="2" width="126" customWidth="1"/>
  </cols>
  <sheetData>
    <row r="2" spans="1:2" x14ac:dyDescent="0.2">
      <c r="A2" t="str">
        <f>IF(PLOT_TYPE=1, "EFF_IOUT", "EFF_VIN")</f>
        <v>EFF_IOUT</v>
      </c>
    </row>
    <row r="5" spans="1:2" ht="409.5" customHeight="1" x14ac:dyDescent="0.2">
      <c r="B5" s="601"/>
    </row>
    <row r="7" spans="1:2" ht="409.5" customHeight="1" x14ac:dyDescent="0.2">
      <c r="B7" s="601"/>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92D050"/>
  </sheetPr>
  <dimension ref="A1:CD235"/>
  <sheetViews>
    <sheetView topLeftCell="F1" zoomScaleNormal="100" workbookViewId="0">
      <pane ySplit="8" topLeftCell="A9" activePane="bottomLeft" state="frozen"/>
      <selection pane="bottomLeft" activeCell="J97" sqref="J97"/>
    </sheetView>
  </sheetViews>
  <sheetFormatPr defaultRowHeight="12.75" x14ac:dyDescent="0.2"/>
  <cols>
    <col min="1" max="1" width="19.85546875" customWidth="1"/>
    <col min="2" max="2" width="13.140625" bestFit="1" customWidth="1"/>
    <col min="4" max="4" width="71.5703125" customWidth="1"/>
    <col min="6" max="6" width="9.140625" customWidth="1"/>
    <col min="7" max="7" width="6.85546875" customWidth="1"/>
    <col min="8" max="8" width="9.140625" style="611"/>
    <col min="9" max="9" width="11" customWidth="1"/>
    <col min="10" max="10" width="6.7109375" customWidth="1"/>
    <col min="11" max="11" width="5.85546875" customWidth="1"/>
    <col min="12" max="13" width="7.140625" customWidth="1"/>
    <col min="14" max="14" width="10.7109375" style="387" customWidth="1"/>
    <col min="15" max="15" width="11.42578125" style="387" customWidth="1"/>
    <col min="16" max="16" width="8.85546875" style="4" customWidth="1"/>
    <col min="17" max="17" width="8" style="4" customWidth="1"/>
    <col min="18" max="18" width="10.28515625" style="336" bestFit="1" customWidth="1"/>
    <col min="19" max="19" width="8" customWidth="1"/>
    <col min="20" max="20" width="9.28515625" customWidth="1"/>
    <col min="21" max="21" width="10.28515625" style="4" customWidth="1"/>
    <col min="22" max="22" width="9.85546875" customWidth="1"/>
    <col min="23" max="23" width="10.7109375" customWidth="1"/>
    <col min="24" max="24" width="9.7109375" style="336" customWidth="1"/>
    <col min="25" max="25" width="10.5703125" customWidth="1"/>
    <col min="27" max="28" width="8.5703125" customWidth="1"/>
    <col min="29" max="29" width="10" customWidth="1"/>
    <col min="30" max="30" width="8" customWidth="1"/>
    <col min="31" max="31" width="9.85546875" customWidth="1"/>
    <col min="32" max="32" width="8.85546875" customWidth="1"/>
    <col min="33" max="33" width="10.5703125" bestFit="1" customWidth="1"/>
    <col min="34" max="34" width="11.140625" customWidth="1"/>
    <col min="35" max="35" width="10.28515625" customWidth="1"/>
    <col min="36" max="37" width="8.5703125" customWidth="1"/>
    <col min="38" max="38" width="10" customWidth="1"/>
    <col min="39" max="39" width="8" customWidth="1"/>
    <col min="40" max="40" width="9.85546875" customWidth="1"/>
    <col min="41" max="41" width="8.85546875" customWidth="1"/>
    <col min="42" max="42" width="10.5703125" bestFit="1" customWidth="1"/>
    <col min="43" max="43" width="11.140625" customWidth="1"/>
    <col min="44" max="44" width="10.28515625" customWidth="1"/>
    <col min="45" max="45" width="12.28515625" style="336" customWidth="1"/>
    <col min="46" max="46" width="13.7109375" customWidth="1"/>
    <col min="47" max="47" width="12" style="336" customWidth="1"/>
    <col min="48" max="48" width="10.7109375" customWidth="1"/>
    <col min="49" max="49" width="11" customWidth="1"/>
    <col min="50" max="50" width="9.28515625" customWidth="1"/>
    <col min="51" max="52" width="10.42578125" customWidth="1"/>
    <col min="54" max="54" width="8.42578125" style="4" customWidth="1"/>
    <col min="55" max="55" width="7.28515625" customWidth="1"/>
    <col min="56" max="56" width="10.140625" style="9" customWidth="1"/>
    <col min="57" max="57" width="10.42578125" style="407" customWidth="1"/>
    <col min="58" max="58" width="10.5703125" style="407" customWidth="1"/>
    <col min="59" max="59" width="3.28515625" customWidth="1"/>
    <col min="60" max="60" width="9.28515625" style="387" customWidth="1"/>
    <col min="61" max="61" width="9.140625" style="336"/>
    <col min="62" max="62" width="10.28515625" style="336" customWidth="1"/>
    <col min="63" max="63" width="8.85546875" style="336" customWidth="1"/>
    <col min="64" max="64" width="7.85546875" customWidth="1"/>
    <col min="68" max="68" width="28.42578125" customWidth="1"/>
    <col min="71" max="71" width="12.42578125" bestFit="1" customWidth="1"/>
  </cols>
  <sheetData>
    <row r="1" spans="1:82" ht="12.75" customHeight="1" x14ac:dyDescent="0.2">
      <c r="A1" s="690" t="s">
        <v>902</v>
      </c>
      <c r="B1" s="690"/>
      <c r="C1" s="690"/>
      <c r="D1" s="690"/>
    </row>
    <row r="2" spans="1:82" ht="12.75" customHeight="1" x14ac:dyDescent="0.2">
      <c r="A2" s="690"/>
      <c r="B2" s="690"/>
      <c r="C2" s="690"/>
      <c r="D2" s="690"/>
      <c r="H2" s="617">
        <f>BD9</f>
        <v>0.92367875232611518</v>
      </c>
      <c r="I2" s="118" t="s">
        <v>937</v>
      </c>
      <c r="AI2" s="118"/>
      <c r="AJ2" s="118"/>
    </row>
    <row r="3" spans="1:82" ht="12.75" customHeight="1" x14ac:dyDescent="0.2">
      <c r="A3" s="690"/>
      <c r="B3" s="690"/>
      <c r="C3" s="690"/>
      <c r="D3" s="690"/>
      <c r="H3" s="617">
        <f>BD109</f>
        <v>0.98496671174852479</v>
      </c>
      <c r="I3" s="118" t="s">
        <v>939</v>
      </c>
      <c r="AI3" s="118"/>
      <c r="AJ3" s="118"/>
    </row>
    <row r="4" spans="1:82" ht="12.75" customHeight="1" x14ac:dyDescent="0.2">
      <c r="A4" s="690"/>
      <c r="B4" s="690"/>
      <c r="C4" s="690"/>
      <c r="D4" s="690"/>
      <c r="H4" s="617">
        <f>BD209</f>
        <v>0.97185267064924663</v>
      </c>
      <c r="I4" s="118" t="s">
        <v>938</v>
      </c>
      <c r="AI4" s="118"/>
      <c r="AJ4" s="118"/>
    </row>
    <row r="5" spans="1:82" x14ac:dyDescent="0.2">
      <c r="A5" s="10"/>
      <c r="B5" s="11"/>
      <c r="C5" s="6"/>
      <c r="D5" s="6"/>
    </row>
    <row r="6" spans="1:82" ht="13.5" customHeight="1" thickBot="1" x14ac:dyDescent="0.25">
      <c r="A6" s="691" t="s">
        <v>686</v>
      </c>
      <c r="B6" s="691"/>
      <c r="C6" s="691"/>
      <c r="D6" s="691"/>
      <c r="BU6">
        <v>80</v>
      </c>
      <c r="BV6">
        <v>100</v>
      </c>
      <c r="BW6">
        <v>120</v>
      </c>
      <c r="BX6">
        <v>140</v>
      </c>
      <c r="BY6">
        <v>160</v>
      </c>
      <c r="BZ6">
        <v>180</v>
      </c>
      <c r="CA6">
        <v>20</v>
      </c>
      <c r="CB6">
        <v>30</v>
      </c>
      <c r="CC6">
        <v>40</v>
      </c>
      <c r="CD6">
        <v>50</v>
      </c>
    </row>
    <row r="7" spans="1:82" ht="13.5" thickBot="1" x14ac:dyDescent="0.25">
      <c r="A7" s="691"/>
      <c r="B7" s="691"/>
      <c r="C7" s="691"/>
      <c r="D7" s="691"/>
      <c r="G7" s="687" t="s">
        <v>917</v>
      </c>
      <c r="H7" s="688"/>
      <c r="I7" s="688"/>
      <c r="J7" s="688"/>
      <c r="K7" s="688"/>
      <c r="L7" s="688"/>
      <c r="M7" s="688"/>
      <c r="N7" s="688"/>
      <c r="O7" s="688"/>
      <c r="P7" s="689"/>
      <c r="Q7" s="687" t="s">
        <v>698</v>
      </c>
      <c r="R7" s="688"/>
      <c r="S7" s="688"/>
      <c r="T7" s="689"/>
      <c r="U7" s="692" t="s">
        <v>27</v>
      </c>
      <c r="V7" s="693"/>
      <c r="W7" s="694"/>
      <c r="X7" s="687" t="s">
        <v>61</v>
      </c>
      <c r="Y7" s="688"/>
      <c r="Z7" s="689"/>
      <c r="AA7" s="687" t="s">
        <v>912</v>
      </c>
      <c r="AB7" s="688"/>
      <c r="AC7" s="688"/>
      <c r="AD7" s="688"/>
      <c r="AE7" s="689"/>
      <c r="AF7" s="687" t="s">
        <v>913</v>
      </c>
      <c r="AG7" s="688"/>
      <c r="AH7" s="688"/>
      <c r="AI7" s="689"/>
      <c r="AJ7" s="687" t="s">
        <v>914</v>
      </c>
      <c r="AK7" s="688"/>
      <c r="AL7" s="688"/>
      <c r="AM7" s="688"/>
      <c r="AN7" s="689"/>
      <c r="AO7" s="687" t="s">
        <v>915</v>
      </c>
      <c r="AP7" s="688"/>
      <c r="AQ7" s="688"/>
      <c r="AR7" s="689"/>
      <c r="AS7" s="511" t="s">
        <v>907</v>
      </c>
      <c r="AT7" s="509" t="s">
        <v>237</v>
      </c>
      <c r="AU7" s="512" t="s">
        <v>659</v>
      </c>
      <c r="AV7" s="510" t="s">
        <v>718</v>
      </c>
      <c r="AW7" s="510" t="s">
        <v>715</v>
      </c>
      <c r="AX7" s="695" t="s">
        <v>705</v>
      </c>
      <c r="AY7" s="696"/>
      <c r="AZ7" s="696"/>
      <c r="BA7" s="697"/>
      <c r="BB7" s="687" t="s">
        <v>713</v>
      </c>
      <c r="BC7" s="688"/>
      <c r="BD7" s="688"/>
      <c r="BE7" s="688"/>
      <c r="BF7" s="688"/>
      <c r="BG7" s="607"/>
      <c r="BH7" s="698" t="s">
        <v>714</v>
      </c>
      <c r="BI7" s="698"/>
      <c r="BJ7" s="698"/>
      <c r="BK7" s="698"/>
      <c r="BL7" s="698"/>
    </row>
    <row r="8" spans="1:82" ht="51.75" thickBot="1" x14ac:dyDescent="0.45">
      <c r="A8" s="13" t="s">
        <v>112</v>
      </c>
      <c r="B8" s="13"/>
      <c r="C8" s="13"/>
      <c r="D8" s="6"/>
      <c r="G8" s="494" t="s">
        <v>57</v>
      </c>
      <c r="H8" s="610" t="s">
        <v>4</v>
      </c>
      <c r="I8" s="602" t="s">
        <v>916</v>
      </c>
      <c r="J8" s="602" t="s">
        <v>918</v>
      </c>
      <c r="K8" s="495" t="s">
        <v>6</v>
      </c>
      <c r="L8" s="495" t="s">
        <v>414</v>
      </c>
      <c r="M8" s="495" t="s">
        <v>926</v>
      </c>
      <c r="N8" s="506" t="s">
        <v>923</v>
      </c>
      <c r="O8" s="613" t="s">
        <v>924</v>
      </c>
      <c r="P8" s="604" t="s">
        <v>699</v>
      </c>
      <c r="Q8" s="603" t="s">
        <v>911</v>
      </c>
      <c r="R8" s="508" t="s">
        <v>91</v>
      </c>
      <c r="S8" s="495" t="s">
        <v>910</v>
      </c>
      <c r="T8" s="496" t="s">
        <v>753</v>
      </c>
      <c r="U8" s="603" t="s">
        <v>701</v>
      </c>
      <c r="V8" s="497" t="s">
        <v>700</v>
      </c>
      <c r="W8" s="496" t="s">
        <v>752</v>
      </c>
      <c r="X8" s="507" t="s">
        <v>702</v>
      </c>
      <c r="Y8" s="495" t="s">
        <v>703</v>
      </c>
      <c r="Z8" s="496" t="s">
        <v>750</v>
      </c>
      <c r="AA8" s="494" t="s">
        <v>88</v>
      </c>
      <c r="AB8" s="495" t="s">
        <v>704</v>
      </c>
      <c r="AC8" s="495" t="s">
        <v>903</v>
      </c>
      <c r="AD8" s="498" t="s">
        <v>238</v>
      </c>
      <c r="AE8" s="496" t="s">
        <v>904</v>
      </c>
      <c r="AF8" s="494" t="s">
        <v>88</v>
      </c>
      <c r="AG8" s="495" t="s">
        <v>704</v>
      </c>
      <c r="AH8" s="495" t="s">
        <v>707</v>
      </c>
      <c r="AI8" s="499" t="s">
        <v>905</v>
      </c>
      <c r="AJ8" s="494" t="s">
        <v>88</v>
      </c>
      <c r="AK8" s="495" t="s">
        <v>704</v>
      </c>
      <c r="AL8" s="495" t="s">
        <v>903</v>
      </c>
      <c r="AM8" s="498" t="s">
        <v>238</v>
      </c>
      <c r="AN8" s="496" t="s">
        <v>904</v>
      </c>
      <c r="AO8" s="494" t="s">
        <v>88</v>
      </c>
      <c r="AP8" s="495" t="s">
        <v>704</v>
      </c>
      <c r="AQ8" s="495" t="s">
        <v>707</v>
      </c>
      <c r="AR8" s="499" t="s">
        <v>905</v>
      </c>
      <c r="AS8" s="508" t="s">
        <v>906</v>
      </c>
      <c r="AT8" s="496" t="s">
        <v>707</v>
      </c>
      <c r="AU8" s="513" t="s">
        <v>97</v>
      </c>
      <c r="AV8" s="514" t="s">
        <v>717</v>
      </c>
      <c r="AW8" s="514" t="s">
        <v>716</v>
      </c>
      <c r="AX8" s="500" t="s">
        <v>708</v>
      </c>
      <c r="AY8" s="501" t="s">
        <v>166</v>
      </c>
      <c r="AZ8" s="502" t="s">
        <v>240</v>
      </c>
      <c r="BA8" s="503" t="s">
        <v>706</v>
      </c>
      <c r="BB8" s="504" t="s">
        <v>58</v>
      </c>
      <c r="BC8" s="495" t="s">
        <v>396</v>
      </c>
      <c r="BD8" s="505" t="s">
        <v>710</v>
      </c>
      <c r="BE8" s="615" t="s">
        <v>908</v>
      </c>
      <c r="BF8" s="615" t="s">
        <v>909</v>
      </c>
      <c r="BH8" s="608" t="s">
        <v>709</v>
      </c>
      <c r="BI8" s="609" t="s">
        <v>751</v>
      </c>
      <c r="BJ8" s="609" t="s">
        <v>928</v>
      </c>
      <c r="BK8" s="609" t="s">
        <v>905</v>
      </c>
      <c r="BL8" s="609" t="s">
        <v>884</v>
      </c>
      <c r="BM8" s="609"/>
      <c r="BS8" t="s">
        <v>132</v>
      </c>
      <c r="BU8" t="s">
        <v>124</v>
      </c>
      <c r="BV8" t="s">
        <v>125</v>
      </c>
      <c r="BW8" t="s">
        <v>126</v>
      </c>
      <c r="BX8" t="s">
        <v>127</v>
      </c>
      <c r="BY8" t="s">
        <v>128</v>
      </c>
      <c r="BZ8" t="s">
        <v>129</v>
      </c>
      <c r="CA8" t="s">
        <v>133</v>
      </c>
      <c r="CB8" t="s">
        <v>134</v>
      </c>
      <c r="CC8" t="s">
        <v>135</v>
      </c>
      <c r="CD8" t="s">
        <v>136</v>
      </c>
    </row>
    <row r="9" spans="1:82" x14ac:dyDescent="0.2">
      <c r="A9" s="14" t="s">
        <v>59</v>
      </c>
      <c r="B9" s="15" t="s">
        <v>115</v>
      </c>
      <c r="C9" s="16" t="s">
        <v>80</v>
      </c>
      <c r="D9" s="17" t="s">
        <v>111</v>
      </c>
      <c r="G9">
        <v>0</v>
      </c>
      <c r="H9" s="612">
        <f t="shared" ref="H9:H72" si="0">VIN_min+(VIN_max-VIN_min)*(G9/200)</f>
        <v>5</v>
      </c>
      <c r="I9" s="4" t="str">
        <f t="shared" ref="I9:I72" si="1">IF(H9&gt;VIN_BB_to_buck, "BUCK", IF(H9&lt;VIN_boost_to_BB,"BOOST","BUCK-BST"))</f>
        <v>BOOST</v>
      </c>
      <c r="J9">
        <f>IF(I9="BOOST",2, IF(I9="BUCK", 1,3))</f>
        <v>2</v>
      </c>
      <c r="K9">
        <f t="shared" ref="K9:K72" si="2">Iout</f>
        <v>6</v>
      </c>
      <c r="L9" s="4">
        <f t="shared" ref="L9:L72" si="3">Vout*K9/(H9*Efficiency)</f>
        <v>15</v>
      </c>
      <c r="M9" s="4">
        <f t="shared" ref="M9:M72" si="4">Iout/(1-O9)</f>
        <v>14.970072456158768</v>
      </c>
      <c r="N9" s="387">
        <f t="shared" ref="N9:N72" si="5">CHOOSE(J9,(Vout+(Rdson2+Rs+Rdcr)*K9)/(H9+(Rs+Rdson2-Rdson1)*K9),1,IF(H9&lt;Vout,D_max_buck_BB,Vout/H9*(1-D_min_boost_exitBB_to_buck)))</f>
        <v>1</v>
      </c>
      <c r="O9" s="387">
        <f>CHOOSE(J9,0,(Vout+(Rdson3+Rdcr)*L9-H9)/(Vout+(Rdson3-Rdson4-Rs)*L9), IF(H9&gt;Vout,D_min_boost_exitBB_to_buck, (Vout-H9*D_max_buck_BB)/Vout))</f>
        <v>0.59920033670033657</v>
      </c>
      <c r="P9" s="4">
        <f t="shared" ref="P9:P72" si="6">MAX(0, CHOOSE(J9, (H9-(Rdson1+Rdcr)*K9-Vout)*N9/(Fsw*Lf), (H9-(Rdson4+Rdcr+Rs)*L9)*O9/(Fsw*Lf), IF(H9&lt;Vout, (H9-(Rdson4+Rdcr+Rs)*L9)*O9/(0.5*Fsw*Lf),(H9-(Rdson1+Rdcr)*K9-Vout)*N9/(0.5*Fsw*Lf))))</f>
        <v>2.7100041823695409</v>
      </c>
      <c r="Q9" s="387">
        <f t="shared" ref="Q9:Q72" si="7">CHOOSE(J9, SQRT(K9^2+(P9^2)/12), SQRT(L9^2+(P9^2)/12), SQRT(M9^2+(P9^2)/12))</f>
        <v>15.020386487117158</v>
      </c>
      <c r="R9" s="387">
        <f t="shared" ref="R9:R73" si="8">(Q9^2*Rdcr*(1+Ltc*Ta-Ltc*25))/(1-Q9^2*Rdcr*Ltc*ThetaCa)</f>
        <v>1.5180695256579122</v>
      </c>
      <c r="S9" s="387">
        <f>ABS(7.759*10^-3*Fsw^0.9458*(0.00787*P9)^2.304)</f>
        <v>0.12588062814994105</v>
      </c>
      <c r="T9" s="387">
        <f>R9+S9</f>
        <v>1.6439501538078534</v>
      </c>
      <c r="U9" s="4">
        <f t="shared" ref="U9:U72" si="9">IF(H9&gt;Vout, P9/SQRT(12), SQRT(O9/(1-O9))*SQRT(K9^2+(P9^2)/12))</f>
        <v>7.3983374760854179</v>
      </c>
      <c r="V9" s="387">
        <f t="shared" ref="V9:V73" si="10">RCoutEsr*U9^2</f>
        <v>0.38314778187034965</v>
      </c>
      <c r="W9" s="387">
        <f>V9</f>
        <v>0.38314778187034965</v>
      </c>
      <c r="X9" s="387">
        <f t="shared" ref="X9:X72" si="11">IF(H9&gt;Vout, SQRT(N9*(1-N9))*SQRT(K9^2+(P9^2)/12), P9/SQRT(12))</f>
        <v>0.78231082209803304</v>
      </c>
      <c r="Y9" s="387">
        <f t="shared" ref="Y9:Y73" si="12">RCinEsr*X9^2</f>
        <v>1.2240204447434007E-3</v>
      </c>
      <c r="Z9" s="605">
        <f>Y9</f>
        <v>1.2240204447434007E-3</v>
      </c>
      <c r="AA9" s="387">
        <f t="shared" ref="AA9:AA72" si="13">CHOOSE(J9, SQRT(N9)*SQRT(K9^2+(P9^2)/12), SQRT(L9^2+(P9^2)/12), SQRT(N9)*SQRT(M9^2+(P9^2)/12))</f>
        <v>15.020386487117158</v>
      </c>
      <c r="AB9" s="387">
        <f t="shared" ref="AB9:AB72" si="14">Rdson1*AA9^2</f>
        <v>1.2859884582675187</v>
      </c>
      <c r="AC9" s="387">
        <f t="shared" ref="AC9:AC72" si="15">CHOOSE(J9, (H9*K9/2)*(Fsw)*(Tr_buck+Tf_buck), 0, (H9*M9/2)*(Fsw/2)*(Tr_buck+Tf_buck))</f>
        <v>0</v>
      </c>
      <c r="AD9">
        <f t="shared" ref="AD9:AD72" si="16">IF(H9&gt;Vout, IF(K9&gt;P9/2,0,ABS(K9-P9/2)*Vsd_Q1*Deadtime*Fsw),0)</f>
        <v>0</v>
      </c>
      <c r="AE9" s="387">
        <f t="shared" ref="AE9:AE72" si="17">(AD9+AC9+AB9*(1+RdsonTopTc*Ta-RdsonTopTc*25))/(1-AB9*RdsonTopTc*ThetaJA_Q1)</f>
        <v>1.7312661038038151</v>
      </c>
      <c r="AF9" s="387">
        <f t="shared" ref="AF9:AF72" si="18">CHOOSE(J9, SQRT((1-N9))*SQRT(K9^2+(P9^2)/12), 0, SQRT((1-N9))*SQRT(M9^2+(P9^2)/12))</f>
        <v>0</v>
      </c>
      <c r="AG9" s="387">
        <f t="shared" ref="AG9:AG72" si="19">Rdson2*AF9^2</f>
        <v>0</v>
      </c>
      <c r="AH9" s="387">
        <f t="shared" ref="AH9:AH72" si="20">CHOOSE(J9, IF(K9&lt;P9/2,Deadtime*Fsw*IF(VfdSky_Q2&gt;0,0,Vsd_Q2)*(K9+P9/2),2*Deadtime*Fsw*IF(VfdSky_Q2&gt;0,0,Vsd_Q2)*K9),0, IF(K9&lt;P9/2,Deadtime*Fsw/2*IF(VfdSky_Q2&gt;0,0,Vsd_Q2)*(K9+P9/2),2*Deadtime*Fsw/2*IF(VfdSky_Q2&gt;0,0,Vsd_Q2)*K9))</f>
        <v>0</v>
      </c>
      <c r="AI9" s="387">
        <f t="shared" ref="AI9:AI72" si="21">(AH9+AG9*(1+RdsonBotTc*Ta-RdsonBotTc*25))/(1-AG9*RdsonBotTc*ThetaJA_Q2)</f>
        <v>0</v>
      </c>
      <c r="AJ9" s="387">
        <f t="shared" ref="AJ9:AJ72" si="22">CHOOSE(J9, 0, SQRT(O9)*SQRT(L9^2+(P9^2)/12), SQRT(O9)*SQRT(M9^2+(P9^2)/12))</f>
        <v>11.626985528884299</v>
      </c>
      <c r="AK9" s="387">
        <f t="shared" ref="AK9:AK72" si="23">Rdson4*AJ9^2</f>
        <v>0.25685490572888137</v>
      </c>
      <c r="AL9" s="387">
        <f t="shared" ref="AL9:AL72" si="24">CHOOSE(J9, 0, (Vout*L9/2)*(Fsw)*(Tr_boost+Tf_boost), (Vout*Iout/2)*(Fsw/2)*(Tr_boost+Tf_boost))</f>
        <v>0.1309764335664336</v>
      </c>
      <c r="AM9">
        <f t="shared" ref="AM9:AM72" si="25">IF(H9&gt;Vout, 0, IF(L9&gt;P9/2,0,ABS(L9-P9/2)*Vsd_Q4*Deadtime*Fsw))</f>
        <v>0</v>
      </c>
      <c r="AN9" s="387">
        <f t="shared" ref="AN9:AN72" si="26">(AM9+AL9+AK9*(1+RdsonTopTc*Ta-RdsonTopTc*25))/(1-AK9*RdsonTopTc*ThetaJA_Q4)</f>
        <v>0.40883351825326486</v>
      </c>
      <c r="AO9" s="387">
        <f t="shared" ref="AO9:AO72" si="27">CHOOSE(J9, SQRT(Iout^2+(P9^2)/12), SQRT(1-O9)*SQRT(L9^2+(P9^2)/12), SQRT(1-O9)*SQRT(M9^2+(P9^2)/12))</f>
        <v>9.5092175142588253</v>
      </c>
      <c r="AP9" s="387">
        <f t="shared" ref="AP9:AP72" si="28">Rdson3*AO9^2</f>
        <v>0.17180791369362489</v>
      </c>
      <c r="AQ9" s="387">
        <f t="shared" ref="AQ9:AQ72" si="29">CHOOSE(J9, 0, IF(L9&lt;P9/2,Deadtime*Fsw*IF(VfdSky_Q3&gt;0,0,Vsd_Q3)*(L9+P9/2), 2*Deadtime*Fsw*IF(VfdSky_Q3&gt;0,0,Vsd_Q3)*L9), IF(L9&lt;P9/2,Deadtime*Fsw/2*IF(VfdSky_Q3&gt;0,0,Vsd_Q3)*(L9+P9/2), 2*Deadtime*Fsw/2*IF(VfdSky_Q3&gt;0,0,Vsd_Q3)*L9))</f>
        <v>0.26880000000000004</v>
      </c>
      <c r="AR9" s="387">
        <f t="shared" ref="AR9:AR72" si="30">(AQ9+AP9*(1+RdsonBotTc*Ta-RdsonBotTc*25))/(1-AP9*RdsonBotTc*ThetaJA_Q3)</f>
        <v>0.45628664499830962</v>
      </c>
      <c r="AS9" s="387">
        <f t="shared" ref="AS9:AS72" si="31">CHOOSE(J9, Rdson3*Q9^2, Rdson1*Q9^2, 0)</f>
        <v>1.2859884582675187</v>
      </c>
      <c r="AT9" s="387">
        <f t="shared" ref="AT9:AT72" si="32">CHOOSE(J9, 2*Deadtime*Fsw*IF(VfdSky_Q2&gt;0,VfdSky_Q2,0)*K9, 2*Deadtime*Fsw*IF(VfdSky_Q3&gt;0,VfdSky_Q3,0)*L9, 2*Deadtime*Fsw/2*IF(VfdSky_Q2&gt;0,VfdSky_Q2,0)*K9+2*Deadtime*Fsw/2*IF(VfdSky_Q3&gt;0,VfdSky_Q3,0)*L9)</f>
        <v>0</v>
      </c>
      <c r="AU9" s="387">
        <f t="shared" ref="AU9:AU72" si="33">CHOOSE(J9, IF(QrrSky_Q2&gt;0,QrrSky_Q2,Qrr_Q2)*Fsw*(H9-K9*Rdson1), IF(QrrSky_Q3&gt;0,QrrSky_Q3,Qrr_Q3)*Fsw*Vout,  IF(QrrSky_Q2&gt;0,QrrSky_Q2,Qrr_Q2)*Fsw/2*(H9-K9*Rdson1)+IF(QrrSky_Q3&gt;0,QrrSky_Q3,Qrr_Q3)*Fsw/2*Vout)</f>
        <v>8.8703999999999991E-2</v>
      </c>
      <c r="AV9" s="387">
        <f t="shared" ref="AV9:AV72" si="34">CHOOSE(J9, Rs*AF9^2, Rs*AJ9^2, Rs*(AF9^2+AJ9^2))</f>
        <v>1.0814943399110795</v>
      </c>
      <c r="AW9" s="387">
        <f t="shared" ref="AW9:AW72" si="35">Rshunt_std/1000*Iout^2</f>
        <v>0</v>
      </c>
      <c r="AX9" s="387">
        <f t="shared" ref="AX9:AX72" si="36">IF(Vout&gt;8, Iq*Vout, Iq*H9)</f>
        <v>3.6000000000000004E-2</v>
      </c>
      <c r="AY9" s="387">
        <f t="shared" ref="AY9:AY72" si="37">CHOOSE(J9, (Qg_Q1+Qg_Q2)*Fsw, (Qg_Q3+Qg_Q4)*Fsw, (Qg_Q1+Qg_Q2+Qg_Q3+Qg_Q4)*Fsw/2)*IF(Vout&gt;8, Vout, H9)</f>
        <v>0.118272</v>
      </c>
      <c r="AZ9" s="387">
        <f t="shared" ref="AZ9:AZ72" si="38">(Vin-Vdd)*Fsw*(Qg_Q1+Qg_Q2)+(RdsonDRT+RdsonDRT2)*Fsw*Qg_Q1*Vdd/(RdsonDRT+2*Rgate1+RdsonDRT2)+(RdsonDRB+RdsonDRB2)*Fsw*Qg_Q2*Vdd/(RdsonDRB+2*Rgate2+RdsonDRB2)</f>
        <v>7.3471999999999996E-2</v>
      </c>
      <c r="BA9" s="387">
        <f>SUM(AX9:AY9)</f>
        <v>0.15427200000000002</v>
      </c>
      <c r="BB9" s="387">
        <f>SUM(T9,W9,Z9,AE9,AI9,AN9,AR9, AT9,AU9,BA9,AV9,AW9)</f>
        <v>5.949178563089415</v>
      </c>
      <c r="BC9">
        <f t="shared" ref="BC9:BC72" si="39">Vout*K9</f>
        <v>72</v>
      </c>
      <c r="BD9" s="606">
        <f>BC9/(BC9+BB9)</f>
        <v>0.92367875232611518</v>
      </c>
      <c r="BE9" s="616">
        <f t="shared" ref="BE9:BE72" si="40">IF(H9&gt;Vout,ThetaJA_Q1*(AE9+AU9),ThetaJA_Q4*(AN9+AU9))</f>
        <v>24.876875912663245</v>
      </c>
      <c r="BF9" s="616">
        <f t="shared" ref="BF9:BF72" si="41">IF(H9&gt;Vout, AI9*ThetaJA_Q2, ThetaJA_Q3*AR9)</f>
        <v>22.814332249915481</v>
      </c>
      <c r="BH9" s="4">
        <f>BD9*100</f>
        <v>92.367875232611524</v>
      </c>
      <c r="BI9" s="387">
        <f>T9</f>
        <v>1.6439501538078534</v>
      </c>
      <c r="BJ9" s="387">
        <f>AE9+AI9+AN9+AR9+AU9</f>
        <v>2.6850902670553891</v>
      </c>
      <c r="BK9" s="387">
        <f>AI9+AU9*0.33</f>
        <v>2.9272319999999998E-2</v>
      </c>
      <c r="BL9" s="387">
        <f>AV9</f>
        <v>1.0814943399110795</v>
      </c>
      <c r="BP9" t="s">
        <v>137</v>
      </c>
      <c r="BQ9" s="18">
        <v>70</v>
      </c>
      <c r="BR9" s="18">
        <v>70</v>
      </c>
      <c r="BS9" s="18">
        <v>70</v>
      </c>
      <c r="BT9" s="19">
        <f>250000*(5-Vdd)*BS9/1000000000+((250000*BS9/1000000000*Vdd)*2.5/(2*4))</f>
        <v>-2.7343749999999972E-3</v>
      </c>
      <c r="BU9">
        <f t="shared" ref="BU9:CD17" si="42">BU$6*$BT9</f>
        <v>-0.21874999999999978</v>
      </c>
      <c r="BV9">
        <f t="shared" si="42"/>
        <v>-0.27343749999999972</v>
      </c>
      <c r="BW9">
        <f t="shared" si="42"/>
        <v>-0.32812499999999967</v>
      </c>
      <c r="BX9">
        <f t="shared" si="42"/>
        <v>-0.38281249999999961</v>
      </c>
      <c r="BY9">
        <f t="shared" si="42"/>
        <v>-0.43749999999999956</v>
      </c>
      <c r="BZ9">
        <f t="shared" si="42"/>
        <v>-0.4921874999999995</v>
      </c>
      <c r="CA9">
        <f t="shared" si="42"/>
        <v>-5.4687499999999944E-2</v>
      </c>
      <c r="CB9">
        <f t="shared" si="42"/>
        <v>-8.2031249999999917E-2</v>
      </c>
      <c r="CC9">
        <f t="shared" si="42"/>
        <v>-0.10937499999999989</v>
      </c>
      <c r="CD9">
        <f t="shared" si="42"/>
        <v>-0.13671874999999986</v>
      </c>
    </row>
    <row r="10" spans="1:82" x14ac:dyDescent="0.2">
      <c r="A10" s="548"/>
      <c r="B10" s="24"/>
      <c r="C10" s="16"/>
      <c r="D10" s="17"/>
      <c r="G10">
        <v>1</v>
      </c>
      <c r="H10" s="612">
        <f t="shared" si="0"/>
        <v>5.0949999999999998</v>
      </c>
      <c r="I10" s="4" t="str">
        <f t="shared" si="1"/>
        <v>BOOST</v>
      </c>
      <c r="J10">
        <f t="shared" ref="J10:J73" si="43">IF(I10="BOOST",2, IF(I10="BUCK", 1,3))</f>
        <v>2</v>
      </c>
      <c r="K10">
        <f t="shared" si="2"/>
        <v>6</v>
      </c>
      <c r="L10" s="4">
        <f t="shared" si="3"/>
        <v>14.720314033366046</v>
      </c>
      <c r="M10" s="4">
        <f t="shared" si="4"/>
        <v>14.666571107573629</v>
      </c>
      <c r="N10" s="387">
        <f t="shared" si="5"/>
        <v>1</v>
      </c>
      <c r="O10" s="387">
        <f t="shared" ref="O10:O41" si="44">CHOOSE(J10,0,(Vout+(Rdson3+Rdcr)*L10-H10)/(Vout+(Rdson3-Rdson4-Rs)*L10),IF(H10&gt;Vout,D_min_boost_exitBB_to_buck, (Vout-H10*D_max_buck_BB)/Vout))</f>
        <v>0.59090642550379913</v>
      </c>
      <c r="P10" s="4">
        <f t="shared" si="6"/>
        <v>2.7283100497650414</v>
      </c>
      <c r="Q10" s="387">
        <f t="shared" si="7"/>
        <v>14.741368713642256</v>
      </c>
      <c r="R10" s="387">
        <f t="shared" si="8"/>
        <v>1.4556872703417709</v>
      </c>
      <c r="S10" s="387">
        <f t="shared" ref="S10:S72" si="45">7.759*10^-3*Fsw^0.9458*(0.00787*P10)^2.304</f>
        <v>0.1278483855449235</v>
      </c>
      <c r="T10" s="387">
        <f t="shared" ref="T10:T73" si="46">R10+S10</f>
        <v>1.5835356558866944</v>
      </c>
      <c r="U10" s="4">
        <f t="shared" si="9"/>
        <v>7.2729233991825968</v>
      </c>
      <c r="V10" s="387">
        <f t="shared" si="10"/>
        <v>0.3702679033926442</v>
      </c>
      <c r="W10" s="387">
        <f t="shared" ref="W10:W73" si="47">V10</f>
        <v>0.3702679033926442</v>
      </c>
      <c r="X10" s="387">
        <f t="shared" si="11"/>
        <v>0.78759527083230396</v>
      </c>
      <c r="Y10" s="387">
        <f t="shared" si="12"/>
        <v>1.2406126212748205E-3</v>
      </c>
      <c r="Z10" s="605">
        <f t="shared" ref="Z10:Z73" si="48">Y10</f>
        <v>1.2406126212748205E-3</v>
      </c>
      <c r="AA10" s="387">
        <f t="shared" si="13"/>
        <v>14.741368713642256</v>
      </c>
      <c r="AB10" s="387">
        <f t="shared" si="14"/>
        <v>1.2386553238438391</v>
      </c>
      <c r="AC10" s="387">
        <f t="shared" si="15"/>
        <v>0</v>
      </c>
      <c r="AD10">
        <f t="shared" si="16"/>
        <v>0</v>
      </c>
      <c r="AE10" s="387">
        <f t="shared" si="17"/>
        <v>1.6465591836024729</v>
      </c>
      <c r="AF10" s="387">
        <f t="shared" si="18"/>
        <v>0</v>
      </c>
      <c r="AG10" s="387">
        <f t="shared" si="19"/>
        <v>0</v>
      </c>
      <c r="AH10" s="387">
        <f t="shared" si="20"/>
        <v>0</v>
      </c>
      <c r="AI10" s="387">
        <f t="shared" si="21"/>
        <v>0</v>
      </c>
      <c r="AJ10" s="387">
        <f t="shared" si="22"/>
        <v>11.331754713409552</v>
      </c>
      <c r="AK10" s="387">
        <f t="shared" si="23"/>
        <v>0.24397646328127121</v>
      </c>
      <c r="AL10" s="387">
        <f t="shared" si="24"/>
        <v>0.12853428220454721</v>
      </c>
      <c r="AM10">
        <f t="shared" si="25"/>
        <v>0</v>
      </c>
      <c r="AN10" s="387">
        <f t="shared" si="26"/>
        <v>0.39161995584111498</v>
      </c>
      <c r="AO10" s="387">
        <f t="shared" si="27"/>
        <v>9.4286418251342603</v>
      </c>
      <c r="AP10" s="387">
        <f t="shared" si="28"/>
        <v>0.16890864466667513</v>
      </c>
      <c r="AQ10" s="387">
        <f t="shared" si="29"/>
        <v>0.26378802747791957</v>
      </c>
      <c r="AR10" s="387">
        <f t="shared" si="30"/>
        <v>0.44782497402674398</v>
      </c>
      <c r="AS10" s="387">
        <f t="shared" si="31"/>
        <v>1.2386553238438391</v>
      </c>
      <c r="AT10" s="387">
        <f t="shared" si="32"/>
        <v>0</v>
      </c>
      <c r="AU10" s="387">
        <f t="shared" si="33"/>
        <v>8.8703999999999991E-2</v>
      </c>
      <c r="AV10" s="387">
        <f t="shared" si="34"/>
        <v>1.0272693190790367</v>
      </c>
      <c r="AW10" s="387">
        <f t="shared" si="35"/>
        <v>0</v>
      </c>
      <c r="AX10" s="387">
        <f t="shared" si="36"/>
        <v>3.6000000000000004E-2</v>
      </c>
      <c r="AY10" s="387">
        <f t="shared" si="37"/>
        <v>0.118272</v>
      </c>
      <c r="AZ10" s="387">
        <f t="shared" si="38"/>
        <v>7.3471999999999996E-2</v>
      </c>
      <c r="BA10" s="387">
        <f t="shared" ref="BA10" si="49">SUM(AX10:AY10)</f>
        <v>0.15427200000000002</v>
      </c>
      <c r="BB10" s="387">
        <f>SUM(T10,W10,Z10,AE10,AI10,AN10,AR10, AT10,AU10,BA10,AV10,AW10)</f>
        <v>5.711293604449982</v>
      </c>
      <c r="BC10">
        <f t="shared" si="39"/>
        <v>72</v>
      </c>
      <c r="BD10" s="606">
        <f t="shared" ref="BD10:BD73" si="50">BC10/(BC10+BB10)</f>
        <v>0.92650626003576231</v>
      </c>
      <c r="BE10" s="616">
        <f t="shared" si="40"/>
        <v>24.016197792055749</v>
      </c>
      <c r="BF10" s="616">
        <f t="shared" si="41"/>
        <v>22.391248701337201</v>
      </c>
      <c r="BG10" s="9"/>
      <c r="BH10" s="4">
        <f t="shared" ref="BH10:BH73" si="51">BD10*100</f>
        <v>92.650626003576235</v>
      </c>
      <c r="BI10" s="387">
        <f t="shared" ref="BI10:BI73" si="52">T10</f>
        <v>1.5835356558866944</v>
      </c>
      <c r="BJ10" s="387">
        <f t="shared" ref="BJ10:BJ73" si="53">AE10+AI10+AN10+AR10+AU10</f>
        <v>2.5747081134703316</v>
      </c>
      <c r="BK10" s="387">
        <f t="shared" ref="BK10:BK73" si="54">AI10+AU10*0.33</f>
        <v>2.9272319999999998E-2</v>
      </c>
      <c r="BL10" s="387">
        <f t="shared" ref="BL10:BL73" si="55">AV10</f>
        <v>1.0272693190790367</v>
      </c>
      <c r="BQ10" s="18"/>
      <c r="BR10" s="18"/>
      <c r="BS10" s="18"/>
      <c r="BT10" s="19"/>
    </row>
    <row r="11" spans="1:82" x14ac:dyDescent="0.2">
      <c r="A11" s="20" t="s">
        <v>4</v>
      </c>
      <c r="B11" s="5">
        <f>Vin</f>
        <v>19</v>
      </c>
      <c r="C11" s="483" t="s">
        <v>0</v>
      </c>
      <c r="D11" s="21" t="s">
        <v>4</v>
      </c>
      <c r="G11">
        <v>2</v>
      </c>
      <c r="H11" s="612">
        <f t="shared" si="0"/>
        <v>5.19</v>
      </c>
      <c r="I11" s="4" t="str">
        <f t="shared" si="1"/>
        <v>BOOST</v>
      </c>
      <c r="J11">
        <f t="shared" si="43"/>
        <v>2</v>
      </c>
      <c r="K11">
        <f t="shared" si="2"/>
        <v>6</v>
      </c>
      <c r="L11" s="4">
        <f t="shared" si="3"/>
        <v>14.450867052023121</v>
      </c>
      <c r="M11" s="4">
        <f t="shared" si="4"/>
        <v>14.3756118025451</v>
      </c>
      <c r="N11" s="387">
        <f t="shared" si="5"/>
        <v>1</v>
      </c>
      <c r="O11" s="387">
        <f t="shared" si="44"/>
        <v>0.58262645914396893</v>
      </c>
      <c r="P11" s="4">
        <f t="shared" si="6"/>
        <v>2.7450246472968458</v>
      </c>
      <c r="Q11" s="387">
        <f t="shared" si="7"/>
        <v>14.472577123008753</v>
      </c>
      <c r="R11" s="387">
        <f t="shared" si="8"/>
        <v>1.3972061277103176</v>
      </c>
      <c r="S11" s="387">
        <f t="shared" si="45"/>
        <v>0.1296601939868893</v>
      </c>
      <c r="T11" s="387">
        <f t="shared" si="46"/>
        <v>1.5268663216972069</v>
      </c>
      <c r="U11" s="4">
        <f t="shared" si="9"/>
        <v>7.1505398750740508</v>
      </c>
      <c r="V11" s="387">
        <f t="shared" si="10"/>
        <v>0.35791154353516813</v>
      </c>
      <c r="W11" s="387">
        <f t="shared" si="47"/>
        <v>0.35791154353516813</v>
      </c>
      <c r="X11" s="387">
        <f t="shared" si="11"/>
        <v>0.79242035952449574</v>
      </c>
      <c r="Y11" s="387">
        <f t="shared" si="12"/>
        <v>1.2558600523778622E-3</v>
      </c>
      <c r="Z11" s="605">
        <f t="shared" si="48"/>
        <v>1.2558600523778622E-3</v>
      </c>
      <c r="AA11" s="387">
        <f t="shared" si="13"/>
        <v>14.472577123008753</v>
      </c>
      <c r="AB11" s="387">
        <f t="shared" si="14"/>
        <v>1.193896284914187</v>
      </c>
      <c r="AC11" s="387">
        <f t="shared" si="15"/>
        <v>0</v>
      </c>
      <c r="AD11">
        <f t="shared" si="16"/>
        <v>0</v>
      </c>
      <c r="AE11" s="387">
        <f t="shared" si="17"/>
        <v>1.5683969411843381</v>
      </c>
      <c r="AF11" s="387">
        <f t="shared" si="18"/>
        <v>0</v>
      </c>
      <c r="AG11" s="387">
        <f t="shared" si="19"/>
        <v>0</v>
      </c>
      <c r="AH11" s="387">
        <f t="shared" si="20"/>
        <v>0</v>
      </c>
      <c r="AI11" s="387">
        <f t="shared" si="21"/>
        <v>0</v>
      </c>
      <c r="AJ11" s="387">
        <f t="shared" si="22"/>
        <v>11.046914033361183</v>
      </c>
      <c r="AK11" s="387">
        <f t="shared" si="23"/>
        <v>0.23186518835489728</v>
      </c>
      <c r="AL11" s="387">
        <f t="shared" si="24"/>
        <v>0.12618153522777803</v>
      </c>
      <c r="AM11">
        <f t="shared" si="25"/>
        <v>0</v>
      </c>
      <c r="AN11" s="387">
        <f t="shared" si="26"/>
        <v>0.3754578443422219</v>
      </c>
      <c r="AO11" s="387">
        <f t="shared" si="27"/>
        <v>9.3499293537953569</v>
      </c>
      <c r="AP11" s="387">
        <f t="shared" si="28"/>
        <v>0.16610023994983172</v>
      </c>
      <c r="AQ11" s="387">
        <f t="shared" si="29"/>
        <v>0.25895953757225437</v>
      </c>
      <c r="AR11" s="387">
        <f t="shared" si="30"/>
        <v>0.43966548606882433</v>
      </c>
      <c r="AS11" s="387">
        <f t="shared" si="31"/>
        <v>1.193896284914187</v>
      </c>
      <c r="AT11" s="387">
        <f t="shared" si="32"/>
        <v>0</v>
      </c>
      <c r="AU11" s="387">
        <f t="shared" si="33"/>
        <v>8.8703999999999991E-2</v>
      </c>
      <c r="AV11" s="387">
        <f t="shared" si="34"/>
        <v>0.97627447728377803</v>
      </c>
      <c r="AW11" s="387">
        <f t="shared" si="35"/>
        <v>0</v>
      </c>
      <c r="AX11" s="387">
        <f t="shared" si="36"/>
        <v>3.6000000000000004E-2</v>
      </c>
      <c r="AY11" s="387">
        <f t="shared" si="37"/>
        <v>0.118272</v>
      </c>
      <c r="AZ11" s="387">
        <f t="shared" si="38"/>
        <v>7.3471999999999996E-2</v>
      </c>
      <c r="BA11" s="387">
        <f t="shared" ref="BA11:BA74" si="56">SUM(AX11:AY11)</f>
        <v>0.15427200000000002</v>
      </c>
      <c r="BB11" s="387">
        <f t="shared" ref="BB11:BB74" si="57">SUM(T11,W11,Z11,AE11,AI11,AN11,AR11, AT11,AU11,BA11,AV11,AW11)</f>
        <v>5.4888044741639144</v>
      </c>
      <c r="BC11">
        <f t="shared" si="39"/>
        <v>72</v>
      </c>
      <c r="BD11" s="606">
        <f t="shared" si="50"/>
        <v>0.92916648396615831</v>
      </c>
      <c r="BE11" s="616">
        <f t="shared" si="40"/>
        <v>23.208092217111094</v>
      </c>
      <c r="BF11" s="616">
        <f t="shared" si="41"/>
        <v>21.983274303441217</v>
      </c>
      <c r="BG11" s="9"/>
      <c r="BH11" s="4">
        <f t="shared" si="51"/>
        <v>92.916648396615827</v>
      </c>
      <c r="BI11" s="387">
        <f t="shared" si="52"/>
        <v>1.5268663216972069</v>
      </c>
      <c r="BJ11" s="387">
        <f t="shared" si="53"/>
        <v>2.4722242715953842</v>
      </c>
      <c r="BK11" s="387">
        <f t="shared" si="54"/>
        <v>2.9272319999999998E-2</v>
      </c>
      <c r="BL11" s="387">
        <f t="shared" si="55"/>
        <v>0.97627447728377803</v>
      </c>
      <c r="BP11" t="s">
        <v>138</v>
      </c>
      <c r="BQ11" s="18">
        <v>90</v>
      </c>
      <c r="BR11" s="18">
        <v>90</v>
      </c>
      <c r="BS11" s="18">
        <v>90</v>
      </c>
      <c r="BT11" s="19">
        <f>250000*(12-Vdd)*BS11/1000000000+((250000*BS9/1000000000*Vdd)*2.5/(2*4))</f>
        <v>0.14226562500000001</v>
      </c>
      <c r="BU11">
        <f t="shared" si="42"/>
        <v>11.381250000000001</v>
      </c>
      <c r="BV11">
        <f t="shared" si="42"/>
        <v>14.2265625</v>
      </c>
      <c r="BW11">
        <f t="shared" si="42"/>
        <v>17.071875000000002</v>
      </c>
      <c r="BX11">
        <f t="shared" si="42"/>
        <v>19.917187500000001</v>
      </c>
      <c r="BY11">
        <f t="shared" si="42"/>
        <v>22.762500000000003</v>
      </c>
      <c r="BZ11">
        <f t="shared" si="42"/>
        <v>25.607812500000001</v>
      </c>
      <c r="CA11">
        <f t="shared" si="42"/>
        <v>2.8453125000000004</v>
      </c>
      <c r="CB11">
        <f t="shared" si="42"/>
        <v>4.2679687500000005</v>
      </c>
      <c r="CC11">
        <f t="shared" si="42"/>
        <v>5.6906250000000007</v>
      </c>
      <c r="CD11">
        <f t="shared" si="42"/>
        <v>7.11328125</v>
      </c>
    </row>
    <row r="12" spans="1:82" x14ac:dyDescent="0.2">
      <c r="A12" s="22" t="s">
        <v>5</v>
      </c>
      <c r="B12" s="5">
        <f>Vout</f>
        <v>12</v>
      </c>
      <c r="C12" s="483" t="s">
        <v>0</v>
      </c>
      <c r="D12" s="21" t="s">
        <v>5</v>
      </c>
      <c r="G12">
        <v>3</v>
      </c>
      <c r="H12" s="612">
        <f t="shared" si="0"/>
        <v>5.2850000000000001</v>
      </c>
      <c r="I12" s="4" t="str">
        <f t="shared" si="1"/>
        <v>BOOST</v>
      </c>
      <c r="J12">
        <f t="shared" si="43"/>
        <v>2</v>
      </c>
      <c r="K12">
        <f t="shared" si="2"/>
        <v>6</v>
      </c>
      <c r="L12" s="4">
        <f t="shared" si="3"/>
        <v>14.191106906338694</v>
      </c>
      <c r="M12" s="4">
        <f t="shared" si="4"/>
        <v>14.096408860183125</v>
      </c>
      <c r="N12" s="387">
        <f t="shared" si="5"/>
        <v>1</v>
      </c>
      <c r="O12" s="387">
        <f t="shared" si="44"/>
        <v>0.57435967844635472</v>
      </c>
      <c r="P12" s="4">
        <f t="shared" si="6"/>
        <v>2.7601569025043471</v>
      </c>
      <c r="Q12" s="387">
        <f t="shared" si="7"/>
        <v>14.213457967867543</v>
      </c>
      <c r="R12" s="387">
        <f t="shared" si="8"/>
        <v>1.3422979587817301</v>
      </c>
      <c r="S12" s="387">
        <f t="shared" si="45"/>
        <v>0.13131293791865475</v>
      </c>
      <c r="T12" s="387">
        <f t="shared" si="46"/>
        <v>1.4736108967003849</v>
      </c>
      <c r="U12" s="4">
        <f t="shared" si="9"/>
        <v>7.0310134841665013</v>
      </c>
      <c r="V12" s="387">
        <f t="shared" si="10"/>
        <v>0.3460460543017182</v>
      </c>
      <c r="W12" s="387">
        <f t="shared" si="47"/>
        <v>0.3460460543017182</v>
      </c>
      <c r="X12" s="387">
        <f t="shared" si="11"/>
        <v>0.79678866533324422</v>
      </c>
      <c r="Y12" s="387">
        <f t="shared" si="12"/>
        <v>1.2697443544070653E-3</v>
      </c>
      <c r="Z12" s="605">
        <f t="shared" si="48"/>
        <v>1.2697443544070653E-3</v>
      </c>
      <c r="AA12" s="387">
        <f t="shared" si="13"/>
        <v>14.213457967867543</v>
      </c>
      <c r="AB12" s="387">
        <f t="shared" si="14"/>
        <v>1.1515276082047228</v>
      </c>
      <c r="AC12" s="387">
        <f t="shared" si="15"/>
        <v>0</v>
      </c>
      <c r="AD12">
        <f t="shared" si="16"/>
        <v>0</v>
      </c>
      <c r="AE12" s="387">
        <f t="shared" si="17"/>
        <v>1.4960840185052564</v>
      </c>
      <c r="AF12" s="387">
        <f t="shared" si="18"/>
        <v>0</v>
      </c>
      <c r="AG12" s="387">
        <f t="shared" si="19"/>
        <v>0</v>
      </c>
      <c r="AH12" s="387">
        <f t="shared" si="20"/>
        <v>0</v>
      </c>
      <c r="AI12" s="387">
        <f t="shared" si="21"/>
        <v>0</v>
      </c>
      <c r="AJ12" s="387">
        <f t="shared" si="22"/>
        <v>10.771885325629867</v>
      </c>
      <c r="AK12" s="387">
        <f t="shared" si="23"/>
        <v>0.22046367559018815</v>
      </c>
      <c r="AL12" s="387">
        <f t="shared" si="24"/>
        <v>0.12391337139681513</v>
      </c>
      <c r="AM12">
        <f t="shared" si="25"/>
        <v>0</v>
      </c>
      <c r="AN12" s="387">
        <f t="shared" si="26"/>
        <v>0.36026198318466357</v>
      </c>
      <c r="AO12" s="387">
        <f t="shared" si="27"/>
        <v>9.2730185989146623</v>
      </c>
      <c r="AP12" s="387">
        <f t="shared" si="28"/>
        <v>0.16337886047805278</v>
      </c>
      <c r="AQ12" s="387">
        <f t="shared" si="29"/>
        <v>0.2543046357615894</v>
      </c>
      <c r="AR12" s="387">
        <f t="shared" si="30"/>
        <v>0.43179265461438038</v>
      </c>
      <c r="AS12" s="387">
        <f t="shared" si="31"/>
        <v>1.1515276082047228</v>
      </c>
      <c r="AT12" s="387">
        <f t="shared" si="32"/>
        <v>0</v>
      </c>
      <c r="AU12" s="387">
        <f t="shared" si="33"/>
        <v>8.8703999999999991E-2</v>
      </c>
      <c r="AV12" s="387">
        <f t="shared" si="34"/>
        <v>0.9282681077481606</v>
      </c>
      <c r="AW12" s="387">
        <f t="shared" si="35"/>
        <v>0</v>
      </c>
      <c r="AX12" s="387">
        <f t="shared" si="36"/>
        <v>3.6000000000000004E-2</v>
      </c>
      <c r="AY12" s="387">
        <f t="shared" si="37"/>
        <v>0.118272</v>
      </c>
      <c r="AZ12" s="387">
        <f t="shared" si="38"/>
        <v>7.3471999999999996E-2</v>
      </c>
      <c r="BA12" s="387">
        <f t="shared" si="56"/>
        <v>0.15427200000000002</v>
      </c>
      <c r="BB12" s="387">
        <f t="shared" si="57"/>
        <v>5.2803094594089703</v>
      </c>
      <c r="BC12">
        <f t="shared" si="39"/>
        <v>72</v>
      </c>
      <c r="BD12" s="606">
        <f t="shared" si="50"/>
        <v>0.93167328784853765</v>
      </c>
      <c r="BE12" s="616">
        <f t="shared" si="40"/>
        <v>22.44829915923318</v>
      </c>
      <c r="BF12" s="616">
        <f t="shared" si="41"/>
        <v>21.589632730719018</v>
      </c>
      <c r="BG12" s="9"/>
      <c r="BH12" s="4">
        <f t="shared" si="51"/>
        <v>93.167328784853765</v>
      </c>
      <c r="BI12" s="387">
        <f t="shared" si="52"/>
        <v>1.4736108967003849</v>
      </c>
      <c r="BJ12" s="387">
        <f t="shared" si="53"/>
        <v>2.3768426563043001</v>
      </c>
      <c r="BK12" s="387">
        <f t="shared" si="54"/>
        <v>2.9272319999999998E-2</v>
      </c>
      <c r="BL12" s="387">
        <f t="shared" si="55"/>
        <v>0.9282681077481606</v>
      </c>
      <c r="BP12" t="s">
        <v>143</v>
      </c>
      <c r="BQ12" s="18">
        <v>60</v>
      </c>
      <c r="BR12" s="18">
        <v>60</v>
      </c>
      <c r="BS12" s="18">
        <v>60</v>
      </c>
      <c r="BT12" s="19">
        <f>250000*(18-Vdd)*BS12/1000000000+((250000*BS9/1000000000*Vdd)*2.5/(2*4))</f>
        <v>0.198515625</v>
      </c>
      <c r="BU12">
        <f t="shared" si="42"/>
        <v>15.88125</v>
      </c>
      <c r="BV12">
        <f t="shared" si="42"/>
        <v>19.8515625</v>
      </c>
      <c r="BW12">
        <f t="shared" si="42"/>
        <v>23.821874999999999</v>
      </c>
      <c r="BX12">
        <f t="shared" si="42"/>
        <v>27.792187500000001</v>
      </c>
      <c r="BY12">
        <f t="shared" si="42"/>
        <v>31.762499999999999</v>
      </c>
      <c r="BZ12">
        <f t="shared" si="42"/>
        <v>35.732812500000001</v>
      </c>
      <c r="CA12">
        <f t="shared" si="42"/>
        <v>3.9703124999999999</v>
      </c>
      <c r="CB12">
        <f t="shared" si="42"/>
        <v>5.9554687499999996</v>
      </c>
      <c r="CC12">
        <f t="shared" si="42"/>
        <v>7.9406249999999998</v>
      </c>
      <c r="CD12">
        <f t="shared" si="42"/>
        <v>9.92578125</v>
      </c>
    </row>
    <row r="13" spans="1:82" x14ac:dyDescent="0.2">
      <c r="A13" s="22" t="s">
        <v>7</v>
      </c>
      <c r="B13" s="5">
        <f>Fsw/1000</f>
        <v>224</v>
      </c>
      <c r="C13" s="483" t="s">
        <v>3</v>
      </c>
      <c r="D13" s="21" t="s">
        <v>98</v>
      </c>
      <c r="G13">
        <v>4</v>
      </c>
      <c r="H13" s="612">
        <f t="shared" si="0"/>
        <v>5.38</v>
      </c>
      <c r="I13" s="4" t="str">
        <f t="shared" si="1"/>
        <v>BOOST</v>
      </c>
      <c r="J13">
        <f t="shared" si="43"/>
        <v>2</v>
      </c>
      <c r="K13">
        <f t="shared" si="2"/>
        <v>6</v>
      </c>
      <c r="L13" s="4">
        <f t="shared" si="3"/>
        <v>13.940520446096656</v>
      </c>
      <c r="M13" s="4">
        <f t="shared" si="4"/>
        <v>13.828242390611097</v>
      </c>
      <c r="N13" s="387">
        <f t="shared" si="5"/>
        <v>1</v>
      </c>
      <c r="O13" s="387">
        <f t="shared" si="44"/>
        <v>0.56610537836147601</v>
      </c>
      <c r="P13" s="4">
        <f t="shared" si="6"/>
        <v>2.773715100985767</v>
      </c>
      <c r="Q13" s="387">
        <f t="shared" si="7"/>
        <v>13.963496515193652</v>
      </c>
      <c r="R13" s="387">
        <f t="shared" si="8"/>
        <v>1.2906691804695734</v>
      </c>
      <c r="S13" s="387">
        <f t="shared" si="45"/>
        <v>0.13280383474474711</v>
      </c>
      <c r="T13" s="387">
        <f t="shared" si="46"/>
        <v>1.4234730152143205</v>
      </c>
      <c r="U13" s="4">
        <f t="shared" si="9"/>
        <v>6.914183550305995</v>
      </c>
      <c r="V13" s="387">
        <f t="shared" si="10"/>
        <v>0.33464153917125411</v>
      </c>
      <c r="W13" s="387">
        <f t="shared" si="47"/>
        <v>0.33464153917125411</v>
      </c>
      <c r="X13" s="387">
        <f t="shared" si="11"/>
        <v>0.80070258010473139</v>
      </c>
      <c r="Y13" s="387">
        <f t="shared" si="12"/>
        <v>1.2822492435727475E-3</v>
      </c>
      <c r="Z13" s="605">
        <f t="shared" si="48"/>
        <v>1.2822492435727475E-3</v>
      </c>
      <c r="AA13" s="387">
        <f t="shared" si="13"/>
        <v>13.963496515193652</v>
      </c>
      <c r="AB13" s="387">
        <f t="shared" si="14"/>
        <v>1.1113816391000042</v>
      </c>
      <c r="AC13" s="387">
        <f t="shared" si="15"/>
        <v>0</v>
      </c>
      <c r="AD13">
        <f t="shared" si="16"/>
        <v>0</v>
      </c>
      <c r="AE13" s="387">
        <f t="shared" si="17"/>
        <v>1.4290186590112974</v>
      </c>
      <c r="AF13" s="387">
        <f t="shared" si="18"/>
        <v>0</v>
      </c>
      <c r="AG13" s="387">
        <f t="shared" si="19"/>
        <v>0</v>
      </c>
      <c r="AH13" s="387">
        <f t="shared" si="20"/>
        <v>0</v>
      </c>
      <c r="AI13" s="387">
        <f t="shared" si="21"/>
        <v>0</v>
      </c>
      <c r="AJ13" s="387">
        <f t="shared" si="22"/>
        <v>10.50613123669126</v>
      </c>
      <c r="AK13" s="387">
        <f t="shared" si="23"/>
        <v>0.20971970776890167</v>
      </c>
      <c r="AL13" s="387">
        <f t="shared" si="24"/>
        <v>0.12172531000597918</v>
      </c>
      <c r="AM13">
        <f t="shared" si="25"/>
        <v>0</v>
      </c>
      <c r="AN13" s="387">
        <f t="shared" si="26"/>
        <v>0.34595576621311713</v>
      </c>
      <c r="AO13" s="387">
        <f t="shared" si="27"/>
        <v>9.1978498230426347</v>
      </c>
      <c r="AP13" s="387">
        <f t="shared" si="28"/>
        <v>0.16074083859776631</v>
      </c>
      <c r="AQ13" s="387">
        <f t="shared" si="29"/>
        <v>0.24981412639405209</v>
      </c>
      <c r="AR13" s="387">
        <f t="shared" si="30"/>
        <v>0.42419195924284325</v>
      </c>
      <c r="AS13" s="387">
        <f t="shared" si="31"/>
        <v>1.1113816391000042</v>
      </c>
      <c r="AT13" s="387">
        <f t="shared" si="32"/>
        <v>0</v>
      </c>
      <c r="AU13" s="387">
        <f t="shared" si="33"/>
        <v>8.8703999999999991E-2</v>
      </c>
      <c r="AV13" s="387">
        <f t="shared" si="34"/>
        <v>0.88303034850063866</v>
      </c>
      <c r="AW13" s="387">
        <f t="shared" si="35"/>
        <v>0</v>
      </c>
      <c r="AX13" s="387">
        <f t="shared" si="36"/>
        <v>3.6000000000000004E-2</v>
      </c>
      <c r="AY13" s="387">
        <f t="shared" si="37"/>
        <v>0.118272</v>
      </c>
      <c r="AZ13" s="387">
        <f t="shared" si="38"/>
        <v>7.3471999999999996E-2</v>
      </c>
      <c r="BA13" s="387">
        <f t="shared" si="56"/>
        <v>0.15427200000000002</v>
      </c>
      <c r="BB13" s="387">
        <f t="shared" si="57"/>
        <v>5.0845695365970434</v>
      </c>
      <c r="BC13">
        <f t="shared" si="39"/>
        <v>72</v>
      </c>
      <c r="BD13" s="606">
        <f t="shared" si="50"/>
        <v>0.9340390746531565</v>
      </c>
      <c r="BE13" s="616">
        <f t="shared" si="40"/>
        <v>21.732988310655855</v>
      </c>
      <c r="BF13" s="616">
        <f t="shared" si="41"/>
        <v>21.209597962142162</v>
      </c>
      <c r="BG13" s="9"/>
      <c r="BH13" s="4">
        <f t="shared" si="51"/>
        <v>93.403907465315655</v>
      </c>
      <c r="BI13" s="387">
        <f t="shared" si="52"/>
        <v>1.4234730152143205</v>
      </c>
      <c r="BJ13" s="387">
        <f t="shared" si="53"/>
        <v>2.2878703844672579</v>
      </c>
      <c r="BK13" s="387">
        <f t="shared" si="54"/>
        <v>2.9272319999999998E-2</v>
      </c>
      <c r="BL13" s="387">
        <f t="shared" si="55"/>
        <v>0.88303034850063866</v>
      </c>
      <c r="BP13" t="s">
        <v>139</v>
      </c>
      <c r="BQ13" s="18">
        <v>30</v>
      </c>
      <c r="BR13" s="18">
        <v>30</v>
      </c>
      <c r="BS13" s="18">
        <v>30</v>
      </c>
      <c r="BT13" s="19">
        <f>500000*(5-Vdd)*BS13/1000000000+((500000*BS9/1000000000*Vdd)*2.5/(2*4))</f>
        <v>4.4531250000000001E-2</v>
      </c>
      <c r="BU13">
        <f t="shared" si="42"/>
        <v>3.5625</v>
      </c>
      <c r="BV13">
        <f t="shared" si="42"/>
        <v>4.453125</v>
      </c>
      <c r="BW13">
        <f t="shared" si="42"/>
        <v>5.34375</v>
      </c>
      <c r="BX13">
        <f t="shared" si="42"/>
        <v>6.234375</v>
      </c>
      <c r="BY13">
        <f t="shared" si="42"/>
        <v>7.125</v>
      </c>
      <c r="BZ13">
        <f t="shared" si="42"/>
        <v>8.015625</v>
      </c>
      <c r="CA13">
        <f t="shared" si="42"/>
        <v>0.890625</v>
      </c>
      <c r="CB13">
        <f t="shared" si="42"/>
        <v>1.3359375</v>
      </c>
      <c r="CC13">
        <f t="shared" si="42"/>
        <v>1.78125</v>
      </c>
      <c r="CD13">
        <f t="shared" si="42"/>
        <v>2.2265625</v>
      </c>
    </row>
    <row r="14" spans="1:82" x14ac:dyDescent="0.2">
      <c r="A14" s="22" t="s">
        <v>6</v>
      </c>
      <c r="B14" s="5">
        <f>Iout</f>
        <v>6</v>
      </c>
      <c r="C14" s="483" t="s">
        <v>2</v>
      </c>
      <c r="D14" s="21" t="s">
        <v>99</v>
      </c>
      <c r="G14">
        <v>5</v>
      </c>
      <c r="H14" s="612">
        <f t="shared" si="0"/>
        <v>5.4749999999999996</v>
      </c>
      <c r="I14" s="4" t="str">
        <f t="shared" si="1"/>
        <v>BOOST</v>
      </c>
      <c r="J14">
        <f t="shared" si="43"/>
        <v>2</v>
      </c>
      <c r="K14">
        <f t="shared" si="2"/>
        <v>6</v>
      </c>
      <c r="L14" s="4">
        <f t="shared" si="3"/>
        <v>13.698630136986303</v>
      </c>
      <c r="M14" s="4">
        <f t="shared" si="4"/>
        <v>13.570451436388511</v>
      </c>
      <c r="N14" s="387">
        <f t="shared" si="5"/>
        <v>1</v>
      </c>
      <c r="O14" s="387">
        <f t="shared" si="44"/>
        <v>0.55786290322580656</v>
      </c>
      <c r="P14" s="4">
        <f t="shared" si="6"/>
        <v>2.7857069430700636</v>
      </c>
      <c r="Q14" s="387">
        <f t="shared" si="7"/>
        <v>13.72221366596288</v>
      </c>
      <c r="R14" s="387">
        <f t="shared" si="8"/>
        <v>1.2420564055069927</v>
      </c>
      <c r="S14" s="387">
        <f t="shared" si="45"/>
        <v>0.13413043526267796</v>
      </c>
      <c r="T14" s="387">
        <f t="shared" si="46"/>
        <v>1.3761868407696707</v>
      </c>
      <c r="U14" s="4">
        <f t="shared" si="9"/>
        <v>6.7999008969054673</v>
      </c>
      <c r="V14" s="387">
        <f t="shared" si="10"/>
        <v>0.32367056545415046</v>
      </c>
      <c r="W14" s="387">
        <f t="shared" si="47"/>
        <v>0.32367056545415046</v>
      </c>
      <c r="X14" s="387">
        <f t="shared" si="11"/>
        <v>0.80416432673245541</v>
      </c>
      <c r="Y14" s="387">
        <f t="shared" si="12"/>
        <v>1.2933605287781267E-3</v>
      </c>
      <c r="Z14" s="605">
        <f t="shared" si="48"/>
        <v>1.2933605287781267E-3</v>
      </c>
      <c r="AA14" s="387">
        <f t="shared" si="13"/>
        <v>13.72221366596288</v>
      </c>
      <c r="AB14" s="387">
        <f t="shared" si="14"/>
        <v>1.0733051429977289</v>
      </c>
      <c r="AC14" s="387">
        <f t="shared" si="15"/>
        <v>0</v>
      </c>
      <c r="AD14">
        <f t="shared" si="16"/>
        <v>0</v>
      </c>
      <c r="AE14" s="387">
        <f t="shared" si="17"/>
        <v>1.3666775520941736</v>
      </c>
      <c r="AF14" s="387">
        <f t="shared" si="18"/>
        <v>0</v>
      </c>
      <c r="AG14" s="387">
        <f t="shared" si="19"/>
        <v>0</v>
      </c>
      <c r="AH14" s="387">
        <f t="shared" si="20"/>
        <v>0</v>
      </c>
      <c r="AI14" s="387">
        <f t="shared" si="21"/>
        <v>0</v>
      </c>
      <c r="AJ14" s="387">
        <f t="shared" si="22"/>
        <v>10.249151639003159</v>
      </c>
      <c r="AK14" s="387">
        <f t="shared" si="23"/>
        <v>0.19958570770663417</v>
      </c>
      <c r="AL14" s="387">
        <f t="shared" si="24"/>
        <v>0.11961318133920876</v>
      </c>
      <c r="AM14">
        <f t="shared" si="25"/>
        <v>0</v>
      </c>
      <c r="AN14" s="387">
        <f t="shared" si="26"/>
        <v>0.3324701469603239</v>
      </c>
      <c r="AO14" s="387">
        <f t="shared" si="27"/>
        <v>9.1243651053132062</v>
      </c>
      <c r="AP14" s="387">
        <f t="shared" si="28"/>
        <v>0.15818267329260882</v>
      </c>
      <c r="AQ14" s="387">
        <f t="shared" si="29"/>
        <v>0.24547945205479457</v>
      </c>
      <c r="AR14" s="387">
        <f t="shared" si="30"/>
        <v>0.4168498087699522</v>
      </c>
      <c r="AS14" s="387">
        <f t="shared" si="31"/>
        <v>1.0733051429977289</v>
      </c>
      <c r="AT14" s="387">
        <f t="shared" si="32"/>
        <v>0</v>
      </c>
      <c r="AU14" s="387">
        <f t="shared" si="33"/>
        <v>8.8703999999999991E-2</v>
      </c>
      <c r="AV14" s="387">
        <f t="shared" si="34"/>
        <v>0.84036087455424913</v>
      </c>
      <c r="AW14" s="387">
        <f t="shared" si="35"/>
        <v>0</v>
      </c>
      <c r="AX14" s="387">
        <f t="shared" si="36"/>
        <v>3.6000000000000004E-2</v>
      </c>
      <c r="AY14" s="387">
        <f t="shared" si="37"/>
        <v>0.118272</v>
      </c>
      <c r="AZ14" s="387">
        <f t="shared" si="38"/>
        <v>7.3471999999999996E-2</v>
      </c>
      <c r="BA14" s="387">
        <f t="shared" si="56"/>
        <v>0.15427200000000002</v>
      </c>
      <c r="BB14" s="387">
        <f t="shared" si="57"/>
        <v>4.9004851491312982</v>
      </c>
      <c r="BC14">
        <f t="shared" si="39"/>
        <v>72</v>
      </c>
      <c r="BD14" s="606">
        <f t="shared" si="50"/>
        <v>0.93627497746434363</v>
      </c>
      <c r="BE14" s="616">
        <f t="shared" si="40"/>
        <v>21.058707348016195</v>
      </c>
      <c r="BF14" s="616">
        <f t="shared" si="41"/>
        <v>20.84249043849761</v>
      </c>
      <c r="BG14" s="9"/>
      <c r="BH14" s="4">
        <f t="shared" si="51"/>
        <v>93.627497746434358</v>
      </c>
      <c r="BI14" s="387">
        <f t="shared" si="52"/>
        <v>1.3761868407696707</v>
      </c>
      <c r="BJ14" s="387">
        <f t="shared" si="53"/>
        <v>2.2047015078244496</v>
      </c>
      <c r="BK14" s="387">
        <f t="shared" si="54"/>
        <v>2.9272319999999998E-2</v>
      </c>
      <c r="BL14" s="387">
        <f t="shared" si="55"/>
        <v>0.84036087455424913</v>
      </c>
      <c r="BP14" t="s">
        <v>142</v>
      </c>
      <c r="BQ14" s="18">
        <v>45</v>
      </c>
      <c r="BR14" s="18">
        <v>45</v>
      </c>
      <c r="BS14" s="18">
        <v>45</v>
      </c>
      <c r="BT14" s="19">
        <f>500000*(12-Vdd)*BS14/1000000000+((500000*BS9/1000000000*Vdd)*2.5/(2*4))</f>
        <v>0.18328125000000001</v>
      </c>
      <c r="BU14">
        <f t="shared" si="42"/>
        <v>14.662500000000001</v>
      </c>
      <c r="BV14">
        <f t="shared" si="42"/>
        <v>18.328125</v>
      </c>
      <c r="BW14">
        <f t="shared" si="42"/>
        <v>21.993750000000002</v>
      </c>
      <c r="BX14">
        <f t="shared" si="42"/>
        <v>25.659375000000001</v>
      </c>
      <c r="BY14">
        <f t="shared" si="42"/>
        <v>29.325000000000003</v>
      </c>
      <c r="BZ14">
        <f t="shared" si="42"/>
        <v>32.990625000000001</v>
      </c>
      <c r="CA14">
        <f t="shared" si="42"/>
        <v>3.6656250000000004</v>
      </c>
      <c r="CB14">
        <f t="shared" si="42"/>
        <v>5.4984375000000005</v>
      </c>
      <c r="CC14">
        <f t="shared" si="42"/>
        <v>7.3312500000000007</v>
      </c>
      <c r="CD14">
        <f t="shared" si="42"/>
        <v>9.1640625</v>
      </c>
    </row>
    <row r="15" spans="1:82" x14ac:dyDescent="0.2">
      <c r="A15" s="23" t="s">
        <v>87</v>
      </c>
      <c r="B15" s="5">
        <f>Ta</f>
        <v>25</v>
      </c>
      <c r="C15" s="483" t="s">
        <v>677</v>
      </c>
      <c r="D15" s="21" t="s">
        <v>100</v>
      </c>
      <c r="G15">
        <v>6</v>
      </c>
      <c r="H15" s="612">
        <f t="shared" si="0"/>
        <v>5.57</v>
      </c>
      <c r="I15" s="4" t="str">
        <f t="shared" si="1"/>
        <v>BOOST</v>
      </c>
      <c r="J15">
        <f t="shared" si="43"/>
        <v>2</v>
      </c>
      <c r="K15">
        <f t="shared" si="2"/>
        <v>6</v>
      </c>
      <c r="L15" s="4">
        <f t="shared" si="3"/>
        <v>13.464991023339318</v>
      </c>
      <c r="M15" s="4">
        <f t="shared" si="4"/>
        <v>13.322427964226812</v>
      </c>
      <c r="N15" s="387">
        <f t="shared" si="5"/>
        <v>1</v>
      </c>
      <c r="O15" s="387">
        <f t="shared" si="44"/>
        <v>0.54963164251207719</v>
      </c>
      <c r="P15" s="4">
        <f t="shared" si="6"/>
        <v>2.7961395945900769</v>
      </c>
      <c r="Q15" s="387">
        <f t="shared" si="7"/>
        <v>13.489162921075245</v>
      </c>
      <c r="R15" s="387">
        <f t="shared" si="8"/>
        <v>1.1962227212154801</v>
      </c>
      <c r="S15" s="387">
        <f t="shared" si="45"/>
        <v>0.13529062399686004</v>
      </c>
      <c r="T15" s="387">
        <f t="shared" si="46"/>
        <v>1.3315133452123402</v>
      </c>
      <c r="U15" s="4">
        <f t="shared" si="9"/>
        <v>6.6880267463193102</v>
      </c>
      <c r="V15" s="387">
        <f t="shared" si="10"/>
        <v>0.31310791231637725</v>
      </c>
      <c r="W15" s="387">
        <f t="shared" si="47"/>
        <v>0.31310791231637725</v>
      </c>
      <c r="X15" s="387">
        <f t="shared" si="11"/>
        <v>0.80717597381417605</v>
      </c>
      <c r="Y15" s="387">
        <f t="shared" si="12"/>
        <v>1.303066105405727E-3</v>
      </c>
      <c r="Z15" s="605">
        <f t="shared" si="48"/>
        <v>1.303066105405727E-3</v>
      </c>
      <c r="AA15" s="387">
        <f t="shared" si="13"/>
        <v>13.489162921075245</v>
      </c>
      <c r="AB15" s="387">
        <f t="shared" si="14"/>
        <v>1.0371578429744741</v>
      </c>
      <c r="AC15" s="387">
        <f t="shared" si="15"/>
        <v>0</v>
      </c>
      <c r="AD15">
        <f t="shared" si="16"/>
        <v>0</v>
      </c>
      <c r="AE15" s="387">
        <f t="shared" si="17"/>
        <v>1.3086035247905958</v>
      </c>
      <c r="AF15" s="387">
        <f t="shared" si="18"/>
        <v>0</v>
      </c>
      <c r="AG15" s="387">
        <f t="shared" si="19"/>
        <v>0</v>
      </c>
      <c r="AH15" s="387">
        <f t="shared" si="20"/>
        <v>0</v>
      </c>
      <c r="AI15" s="387">
        <f t="shared" si="21"/>
        <v>0</v>
      </c>
      <c r="AJ15" s="387">
        <f t="shared" si="22"/>
        <v>10.00048041634021</v>
      </c>
      <c r="AK15" s="387">
        <f t="shared" si="23"/>
        <v>0.19001825625944771</v>
      </c>
      <c r="AL15" s="387">
        <f t="shared" si="24"/>
        <v>0.11757310014940178</v>
      </c>
      <c r="AM15">
        <f t="shared" si="25"/>
        <v>0</v>
      </c>
      <c r="AN15" s="387">
        <f t="shared" si="26"/>
        <v>0.31974274830578314</v>
      </c>
      <c r="AO15" s="387">
        <f t="shared" si="27"/>
        <v>9.0525083680550757</v>
      </c>
      <c r="AP15" s="387">
        <f t="shared" si="28"/>
        <v>0.15570102473204361</v>
      </c>
      <c r="AQ15" s="387">
        <f t="shared" si="29"/>
        <v>0.24129263913824059</v>
      </c>
      <c r="AR15" s="387">
        <f t="shared" si="30"/>
        <v>0.40975347093262859</v>
      </c>
      <c r="AS15" s="387">
        <f t="shared" si="31"/>
        <v>1.0371578429744741</v>
      </c>
      <c r="AT15" s="387">
        <f t="shared" si="32"/>
        <v>0</v>
      </c>
      <c r="AU15" s="387">
        <f t="shared" si="33"/>
        <v>8.8703999999999991E-2</v>
      </c>
      <c r="AV15" s="387">
        <f t="shared" si="34"/>
        <v>0.80007686846083248</v>
      </c>
      <c r="AW15" s="387">
        <f t="shared" si="35"/>
        <v>0</v>
      </c>
      <c r="AX15" s="387">
        <f t="shared" si="36"/>
        <v>3.6000000000000004E-2</v>
      </c>
      <c r="AY15" s="387">
        <f t="shared" si="37"/>
        <v>0.118272</v>
      </c>
      <c r="AZ15" s="387">
        <f t="shared" si="38"/>
        <v>7.3471999999999996E-2</v>
      </c>
      <c r="BA15" s="387">
        <f t="shared" si="56"/>
        <v>0.15427200000000002</v>
      </c>
      <c r="BB15" s="387">
        <f t="shared" si="57"/>
        <v>4.7270769361239635</v>
      </c>
      <c r="BC15">
        <f t="shared" si="39"/>
        <v>72</v>
      </c>
      <c r="BD15" s="606">
        <f t="shared" si="50"/>
        <v>0.93839102016020626</v>
      </c>
      <c r="BE15" s="616">
        <f t="shared" si="40"/>
        <v>20.422337415289157</v>
      </c>
      <c r="BF15" s="616">
        <f t="shared" si="41"/>
        <v>20.487673546631431</v>
      </c>
      <c r="BG15" s="9"/>
      <c r="BH15" s="4">
        <f t="shared" si="51"/>
        <v>93.839102016020632</v>
      </c>
      <c r="BI15" s="387">
        <f t="shared" si="52"/>
        <v>1.3315133452123402</v>
      </c>
      <c r="BJ15" s="387">
        <f t="shared" si="53"/>
        <v>2.1268037440290075</v>
      </c>
      <c r="BK15" s="387">
        <f t="shared" si="54"/>
        <v>2.9272319999999998E-2</v>
      </c>
      <c r="BL15" s="387">
        <f t="shared" si="55"/>
        <v>0.80007686846083248</v>
      </c>
      <c r="BP15" t="s">
        <v>140</v>
      </c>
      <c r="BQ15" s="18">
        <v>20</v>
      </c>
      <c r="BR15" s="18">
        <v>20</v>
      </c>
      <c r="BS15" s="18">
        <v>20</v>
      </c>
      <c r="BT15" s="19">
        <f>1000000*(5-Vdd)*BS15/1000000000+((1000000*BS9/1000000000*Vdd)*2.5/(2*4))</f>
        <v>0.1140625</v>
      </c>
      <c r="BU15">
        <f t="shared" si="42"/>
        <v>9.125</v>
      </c>
      <c r="BV15">
        <f t="shared" si="42"/>
        <v>11.40625</v>
      </c>
      <c r="BW15">
        <f t="shared" si="42"/>
        <v>13.6875</v>
      </c>
      <c r="BX15">
        <f t="shared" si="42"/>
        <v>15.96875</v>
      </c>
      <c r="BY15">
        <f t="shared" si="42"/>
        <v>18.25</v>
      </c>
      <c r="BZ15">
        <f t="shared" si="42"/>
        <v>20.53125</v>
      </c>
      <c r="CA15">
        <f t="shared" si="42"/>
        <v>2.28125</v>
      </c>
      <c r="CB15">
        <f t="shared" si="42"/>
        <v>3.421875</v>
      </c>
      <c r="CC15">
        <f t="shared" si="42"/>
        <v>4.5625</v>
      </c>
      <c r="CD15">
        <f t="shared" si="42"/>
        <v>5.703125</v>
      </c>
    </row>
    <row r="16" spans="1:82" x14ac:dyDescent="0.2">
      <c r="A16" s="491" t="s">
        <v>688</v>
      </c>
      <c r="B16" s="5">
        <f>Vdd</f>
        <v>7.5</v>
      </c>
      <c r="C16" s="483" t="s">
        <v>0</v>
      </c>
      <c r="D16" s="483" t="s">
        <v>687</v>
      </c>
      <c r="G16">
        <v>7</v>
      </c>
      <c r="H16" s="612">
        <f t="shared" si="0"/>
        <v>5.665</v>
      </c>
      <c r="I16" s="4" t="str">
        <f t="shared" si="1"/>
        <v>BOOST</v>
      </c>
      <c r="J16">
        <f t="shared" si="43"/>
        <v>2</v>
      </c>
      <c r="K16">
        <f t="shared" si="2"/>
        <v>6</v>
      </c>
      <c r="L16" s="4">
        <f t="shared" si="3"/>
        <v>13.23918799646955</v>
      </c>
      <c r="M16" s="4">
        <f t="shared" si="4"/>
        <v>13.083611585539998</v>
      </c>
      <c r="N16" s="387">
        <f t="shared" si="5"/>
        <v>1</v>
      </c>
      <c r="O16" s="387">
        <f t="shared" si="44"/>
        <v>0.54141102701098243</v>
      </c>
      <c r="P16" s="4">
        <f t="shared" si="6"/>
        <v>2.8050197324609147</v>
      </c>
      <c r="Q16" s="387">
        <f t="shared" si="7"/>
        <v>13.263927652879495</v>
      </c>
      <c r="R16" s="387">
        <f t="shared" si="8"/>
        <v>1.1529545009573463</v>
      </c>
      <c r="S16" s="387">
        <f t="shared" si="45"/>
        <v>0.13628261941960779</v>
      </c>
      <c r="T16" s="387">
        <f t="shared" si="46"/>
        <v>1.2892371203769541</v>
      </c>
      <c r="U16" s="4">
        <f t="shared" si="9"/>
        <v>6.5784317429414143</v>
      </c>
      <c r="V16" s="387">
        <f t="shared" si="10"/>
        <v>0.30293034937577451</v>
      </c>
      <c r="W16" s="387">
        <f t="shared" si="47"/>
        <v>0.30293034937577451</v>
      </c>
      <c r="X16" s="387">
        <f t="shared" si="11"/>
        <v>0.80973944880926063</v>
      </c>
      <c r="Y16" s="387">
        <f t="shared" si="12"/>
        <v>1.3113559499158506E-3</v>
      </c>
      <c r="Z16" s="605">
        <f t="shared" si="48"/>
        <v>1.3113559499158506E-3</v>
      </c>
      <c r="AA16" s="387">
        <f t="shared" si="13"/>
        <v>13.263927652879495</v>
      </c>
      <c r="AB16" s="387">
        <f t="shared" si="14"/>
        <v>1.0028111276506819</v>
      </c>
      <c r="AC16" s="387">
        <f t="shared" si="15"/>
        <v>0</v>
      </c>
      <c r="AD16">
        <f t="shared" si="16"/>
        <v>0</v>
      </c>
      <c r="AE16" s="387">
        <f t="shared" si="17"/>
        <v>1.2543954760152316</v>
      </c>
      <c r="AF16" s="387">
        <f t="shared" si="18"/>
        <v>0</v>
      </c>
      <c r="AG16" s="387">
        <f t="shared" si="19"/>
        <v>0</v>
      </c>
      <c r="AH16" s="387">
        <f t="shared" si="20"/>
        <v>0</v>
      </c>
      <c r="AI16" s="387">
        <f t="shared" si="21"/>
        <v>0</v>
      </c>
      <c r="AJ16" s="387">
        <f t="shared" si="22"/>
        <v>9.759682574283417</v>
      </c>
      <c r="AK16" s="387">
        <f t="shared" si="23"/>
        <v>0.18097766750646563</v>
      </c>
      <c r="AL16" s="387">
        <f t="shared" si="24"/>
        <v>0.11560144180620792</v>
      </c>
      <c r="AM16">
        <f t="shared" si="25"/>
        <v>0</v>
      </c>
      <c r="AN16" s="387">
        <f t="shared" si="26"/>
        <v>0.30771709368610972</v>
      </c>
      <c r="AO16" s="387">
        <f t="shared" si="27"/>
        <v>8.9822253829465861</v>
      </c>
      <c r="AP16" s="387">
        <f t="shared" si="28"/>
        <v>0.15329270837709491</v>
      </c>
      <c r="AQ16" s="387">
        <f t="shared" si="29"/>
        <v>0.23724624889673435</v>
      </c>
      <c r="AR16" s="387">
        <f t="shared" si="30"/>
        <v>0.40289100803430045</v>
      </c>
      <c r="AS16" s="387">
        <f t="shared" si="31"/>
        <v>1.0028111276506819</v>
      </c>
      <c r="AT16" s="387">
        <f t="shared" si="32"/>
        <v>0</v>
      </c>
      <c r="AU16" s="387">
        <f t="shared" si="33"/>
        <v>8.8703999999999991E-2</v>
      </c>
      <c r="AV16" s="387">
        <f t="shared" si="34"/>
        <v>0.76201123160617112</v>
      </c>
      <c r="AW16" s="387">
        <f t="shared" si="35"/>
        <v>0</v>
      </c>
      <c r="AX16" s="387">
        <f t="shared" si="36"/>
        <v>3.6000000000000004E-2</v>
      </c>
      <c r="AY16" s="387">
        <f t="shared" si="37"/>
        <v>0.118272</v>
      </c>
      <c r="AZ16" s="387">
        <f t="shared" si="38"/>
        <v>7.3471999999999996E-2</v>
      </c>
      <c r="BA16" s="387">
        <f t="shared" si="56"/>
        <v>0.15427200000000002</v>
      </c>
      <c r="BB16" s="387">
        <f t="shared" si="57"/>
        <v>4.5634696350444575</v>
      </c>
      <c r="BC16">
        <f t="shared" si="39"/>
        <v>72</v>
      </c>
      <c r="BD16" s="606">
        <f t="shared" si="50"/>
        <v>0.94039625350317624</v>
      </c>
      <c r="BE16" s="616">
        <f t="shared" si="40"/>
        <v>19.821054684305487</v>
      </c>
      <c r="BF16" s="616">
        <f t="shared" si="41"/>
        <v>20.144550401715023</v>
      </c>
      <c r="BG16" s="9"/>
      <c r="BH16" s="4">
        <f t="shared" si="51"/>
        <v>94.039625350317621</v>
      </c>
      <c r="BI16" s="387">
        <f t="shared" si="52"/>
        <v>1.2892371203769541</v>
      </c>
      <c r="BJ16" s="387">
        <f t="shared" si="53"/>
        <v>2.0537075777356417</v>
      </c>
      <c r="BK16" s="387">
        <f t="shared" si="54"/>
        <v>2.9272319999999998E-2</v>
      </c>
      <c r="BL16" s="387">
        <f t="shared" si="55"/>
        <v>0.76201123160617112</v>
      </c>
      <c r="BP16" t="s">
        <v>141</v>
      </c>
      <c r="BQ16" s="18">
        <v>25</v>
      </c>
      <c r="BR16" s="18">
        <v>25</v>
      </c>
      <c r="BS16" s="18">
        <v>25</v>
      </c>
      <c r="BT16" s="19">
        <f>1000000*(12-Vdd)*BS16/1000000000+((1000000*BS9/1000000000*Vdd)*2.5/(2*4))</f>
        <v>0.27656249999999999</v>
      </c>
      <c r="BU16">
        <f t="shared" si="42"/>
        <v>22.125</v>
      </c>
      <c r="BV16">
        <f t="shared" si="42"/>
        <v>27.65625</v>
      </c>
      <c r="BW16">
        <f t="shared" si="42"/>
        <v>33.1875</v>
      </c>
      <c r="BX16">
        <f t="shared" si="42"/>
        <v>38.71875</v>
      </c>
      <c r="BY16">
        <f t="shared" si="42"/>
        <v>44.25</v>
      </c>
      <c r="BZ16">
        <f t="shared" si="42"/>
        <v>49.78125</v>
      </c>
      <c r="CA16">
        <f t="shared" si="42"/>
        <v>5.53125</v>
      </c>
      <c r="CB16">
        <f t="shared" si="42"/>
        <v>8.296875</v>
      </c>
      <c r="CC16">
        <f t="shared" si="42"/>
        <v>11.0625</v>
      </c>
      <c r="CD16">
        <f t="shared" si="42"/>
        <v>13.828125</v>
      </c>
    </row>
    <row r="17" spans="1:82" x14ac:dyDescent="0.2">
      <c r="A17" s="24" t="s">
        <v>62</v>
      </c>
      <c r="B17" s="16" t="s">
        <v>115</v>
      </c>
      <c r="C17" s="24" t="s">
        <v>80</v>
      </c>
      <c r="D17" s="17" t="s">
        <v>111</v>
      </c>
      <c r="G17">
        <v>8</v>
      </c>
      <c r="H17" s="612">
        <f t="shared" si="0"/>
        <v>5.76</v>
      </c>
      <c r="I17" s="4" t="str">
        <f t="shared" si="1"/>
        <v>BOOST</v>
      </c>
      <c r="J17">
        <f t="shared" si="43"/>
        <v>2</v>
      </c>
      <c r="K17">
        <f t="shared" si="2"/>
        <v>6</v>
      </c>
      <c r="L17" s="4">
        <f t="shared" si="3"/>
        <v>13.020833333333334</v>
      </c>
      <c r="M17" s="4">
        <f t="shared" si="4"/>
        <v>12.853484903908384</v>
      </c>
      <c r="N17" s="387">
        <f t="shared" si="5"/>
        <v>1</v>
      </c>
      <c r="O17" s="387">
        <f t="shared" si="44"/>
        <v>0.53320052539404561</v>
      </c>
      <c r="P17" s="4">
        <f t="shared" si="6"/>
        <v>2.812353585673173</v>
      </c>
      <c r="Q17" s="387">
        <f t="shared" si="7"/>
        <v>13.04611864701587</v>
      </c>
      <c r="R17" s="387">
        <f t="shared" si="8"/>
        <v>1.1120586617622996</v>
      </c>
      <c r="S17" s="387">
        <f t="shared" si="45"/>
        <v>0.13710497404578209</v>
      </c>
      <c r="T17" s="387">
        <f t="shared" si="46"/>
        <v>1.2491636358080818</v>
      </c>
      <c r="U17" s="4">
        <f t="shared" si="9"/>
        <v>6.4709950834958132</v>
      </c>
      <c r="V17" s="387">
        <f t="shared" si="10"/>
        <v>0.29311644159438893</v>
      </c>
      <c r="W17" s="387">
        <f t="shared" si="47"/>
        <v>0.29311644159438893</v>
      </c>
      <c r="X17" s="387">
        <f t="shared" si="11"/>
        <v>0.81185654987240785</v>
      </c>
      <c r="Y17" s="387">
        <f t="shared" si="12"/>
        <v>1.3182221151414588E-3</v>
      </c>
      <c r="Z17" s="605">
        <f t="shared" si="48"/>
        <v>1.3182221151414588E-3</v>
      </c>
      <c r="AA17" s="387">
        <f t="shared" si="13"/>
        <v>13.04611864701587</v>
      </c>
      <c r="AB17" s="387">
        <f t="shared" si="14"/>
        <v>0.97014690698648653</v>
      </c>
      <c r="AC17" s="387">
        <f t="shared" si="15"/>
        <v>0</v>
      </c>
      <c r="AD17">
        <f t="shared" si="16"/>
        <v>0</v>
      </c>
      <c r="AE17" s="387">
        <f t="shared" si="17"/>
        <v>1.2037000910385709</v>
      </c>
      <c r="AF17" s="387">
        <f t="shared" si="18"/>
        <v>0</v>
      </c>
      <c r="AG17" s="387">
        <f t="shared" si="19"/>
        <v>0</v>
      </c>
      <c r="AH17" s="387">
        <f t="shared" si="20"/>
        <v>0</v>
      </c>
      <c r="AI17" s="387">
        <f t="shared" si="21"/>
        <v>0</v>
      </c>
      <c r="AJ17" s="387">
        <f t="shared" si="22"/>
        <v>9.5263516378977791</v>
      </c>
      <c r="AK17" s="387">
        <f t="shared" si="23"/>
        <v>0.17242761350486763</v>
      </c>
      <c r="AL17" s="387">
        <f t="shared" si="24"/>
        <v>0.11369482080419582</v>
      </c>
      <c r="AM17">
        <f t="shared" si="25"/>
        <v>0</v>
      </c>
      <c r="AN17" s="387">
        <f t="shared" si="26"/>
        <v>0.29634194104419359</v>
      </c>
      <c r="AO17" s="387">
        <f t="shared" si="27"/>
        <v>8.9134637612511494</v>
      </c>
      <c r="AP17" s="387">
        <f t="shared" si="28"/>
        <v>0.15095468882396121</v>
      </c>
      <c r="AQ17" s="387">
        <f t="shared" si="29"/>
        <v>0.23333333333333336</v>
      </c>
      <c r="AR17" s="387">
        <f t="shared" si="30"/>
        <v>0.39625121801975199</v>
      </c>
      <c r="AS17" s="387">
        <f t="shared" si="31"/>
        <v>0.97014690698648653</v>
      </c>
      <c r="AT17" s="387">
        <f t="shared" si="32"/>
        <v>0</v>
      </c>
      <c r="AU17" s="387">
        <f t="shared" si="33"/>
        <v>8.8703999999999991E-2</v>
      </c>
      <c r="AV17" s="387">
        <f t="shared" si="34"/>
        <v>0.72601100423102161</v>
      </c>
      <c r="AW17" s="387">
        <f t="shared" si="35"/>
        <v>0</v>
      </c>
      <c r="AX17" s="387">
        <f t="shared" si="36"/>
        <v>3.6000000000000004E-2</v>
      </c>
      <c r="AY17" s="387">
        <f t="shared" si="37"/>
        <v>0.118272</v>
      </c>
      <c r="AZ17" s="387">
        <f t="shared" si="38"/>
        <v>7.3471999999999996E-2</v>
      </c>
      <c r="BA17" s="387">
        <f t="shared" si="56"/>
        <v>0.15427200000000002</v>
      </c>
      <c r="BB17" s="387">
        <f t="shared" si="57"/>
        <v>4.4088785538511504</v>
      </c>
      <c r="BC17">
        <f t="shared" si="39"/>
        <v>72</v>
      </c>
      <c r="BD17" s="606">
        <f t="shared" si="50"/>
        <v>0.9422988710566681</v>
      </c>
      <c r="BE17" s="616">
        <f t="shared" si="40"/>
        <v>19.252297052209681</v>
      </c>
      <c r="BF17" s="616">
        <f t="shared" si="41"/>
        <v>19.812560900987599</v>
      </c>
      <c r="BG17" s="9"/>
      <c r="BH17" s="4">
        <f t="shared" si="51"/>
        <v>94.229887105666805</v>
      </c>
      <c r="BI17" s="387">
        <f t="shared" si="52"/>
        <v>1.2491636358080818</v>
      </c>
      <c r="BJ17" s="387">
        <f t="shared" si="53"/>
        <v>1.9849972501025164</v>
      </c>
      <c r="BK17" s="387">
        <f t="shared" si="54"/>
        <v>2.9272319999999998E-2</v>
      </c>
      <c r="BL17" s="387">
        <f t="shared" si="55"/>
        <v>0.72601100423102161</v>
      </c>
      <c r="BP17" t="s">
        <v>144</v>
      </c>
      <c r="BQ17" s="18">
        <v>50</v>
      </c>
      <c r="BR17" s="18">
        <v>50</v>
      </c>
      <c r="BS17" s="18">
        <v>50</v>
      </c>
      <c r="BT17" s="19">
        <f>500000*(18-Vdd)*BS17/1000000000+((500000*BS15/1000000000*Vdd)*2.5/(2*4))</f>
        <v>0.28593750000000001</v>
      </c>
      <c r="BU17">
        <f t="shared" si="42"/>
        <v>22.875</v>
      </c>
      <c r="BV17">
        <f t="shared" si="42"/>
        <v>28.59375</v>
      </c>
      <c r="BW17">
        <f t="shared" si="42"/>
        <v>34.3125</v>
      </c>
      <c r="BX17">
        <f t="shared" si="42"/>
        <v>40.03125</v>
      </c>
      <c r="BY17">
        <f t="shared" si="42"/>
        <v>45.75</v>
      </c>
      <c r="BZ17">
        <f t="shared" si="42"/>
        <v>51.46875</v>
      </c>
      <c r="CA17">
        <f t="shared" si="42"/>
        <v>5.71875</v>
      </c>
      <c r="CB17">
        <f t="shared" si="42"/>
        <v>8.578125</v>
      </c>
      <c r="CC17">
        <f t="shared" si="42"/>
        <v>11.4375</v>
      </c>
      <c r="CD17">
        <f t="shared" si="42"/>
        <v>14.296875</v>
      </c>
    </row>
    <row r="18" spans="1:82" x14ac:dyDescent="0.2">
      <c r="A18" s="35" t="s">
        <v>60</v>
      </c>
      <c r="B18" s="38">
        <f>Lf*1000000</f>
        <v>4.7</v>
      </c>
      <c r="C18" s="484" t="s">
        <v>11</v>
      </c>
      <c r="D18" s="483" t="s">
        <v>680</v>
      </c>
      <c r="G18">
        <v>9</v>
      </c>
      <c r="H18" s="612">
        <f t="shared" si="0"/>
        <v>5.8550000000000004</v>
      </c>
      <c r="I18" s="4" t="str">
        <f t="shared" si="1"/>
        <v>BOOST</v>
      </c>
      <c r="J18">
        <f t="shared" si="43"/>
        <v>2</v>
      </c>
      <c r="K18">
        <f t="shared" si="2"/>
        <v>6</v>
      </c>
      <c r="L18" s="4">
        <f t="shared" si="3"/>
        <v>12.809564474807857</v>
      </c>
      <c r="M18" s="4">
        <f t="shared" si="4"/>
        <v>12.63156940359233</v>
      </c>
      <c r="N18" s="387">
        <f t="shared" si="5"/>
        <v>1</v>
      </c>
      <c r="O18" s="387">
        <f t="shared" si="44"/>
        <v>0.52499964111398212</v>
      </c>
      <c r="P18" s="4">
        <f t="shared" si="6"/>
        <v>2.8181469722302119</v>
      </c>
      <c r="Q18" s="387">
        <f t="shared" si="7"/>
        <v>12.835371883874277</v>
      </c>
      <c r="R18" s="387">
        <f t="shared" si="8"/>
        <v>1.0733602972747143</v>
      </c>
      <c r="S18" s="387">
        <f t="shared" si="45"/>
        <v>0.13775657438935293</v>
      </c>
      <c r="T18" s="387">
        <f t="shared" si="46"/>
        <v>1.2111168716640672</v>
      </c>
      <c r="U18" s="4">
        <f t="shared" si="9"/>
        <v>6.36560374046846</v>
      </c>
      <c r="V18" s="387">
        <f t="shared" si="10"/>
        <v>0.28364637686466238</v>
      </c>
      <c r="W18" s="387">
        <f t="shared" si="47"/>
        <v>0.28364637686466238</v>
      </c>
      <c r="X18" s="387">
        <f t="shared" si="11"/>
        <v>0.81352895651652091</v>
      </c>
      <c r="Y18" s="387">
        <f t="shared" si="12"/>
        <v>1.3236587261817188E-3</v>
      </c>
      <c r="Z18" s="605">
        <f t="shared" si="48"/>
        <v>1.3236587261817188E-3</v>
      </c>
      <c r="AA18" s="387">
        <f t="shared" si="13"/>
        <v>12.835371883874277</v>
      </c>
      <c r="AB18" s="387">
        <f t="shared" si="14"/>
        <v>0.93905659696489674</v>
      </c>
      <c r="AC18" s="387">
        <f t="shared" si="15"/>
        <v>0</v>
      </c>
      <c r="AD18">
        <f t="shared" si="16"/>
        <v>0</v>
      </c>
      <c r="AE18" s="387">
        <f t="shared" si="17"/>
        <v>1.1562049796890255</v>
      </c>
      <c r="AF18" s="387">
        <f t="shared" si="18"/>
        <v>0</v>
      </c>
      <c r="AG18" s="387">
        <f t="shared" si="19"/>
        <v>0</v>
      </c>
      <c r="AH18" s="387">
        <f t="shared" si="20"/>
        <v>0</v>
      </c>
      <c r="AI18" s="387">
        <f t="shared" si="21"/>
        <v>0</v>
      </c>
      <c r="AJ18" s="387">
        <f t="shared" si="22"/>
        <v>9.3001073035904369</v>
      </c>
      <c r="AK18" s="387">
        <f t="shared" si="23"/>
        <v>0.16433479213076277</v>
      </c>
      <c r="AL18" s="387">
        <f t="shared" si="24"/>
        <v>0.11185007136330795</v>
      </c>
      <c r="AM18">
        <f t="shared" si="25"/>
        <v>0</v>
      </c>
      <c r="AN18" s="387">
        <f t="shared" si="26"/>
        <v>0.28557070394847228</v>
      </c>
      <c r="AO18" s="387">
        <f t="shared" si="27"/>
        <v>8.8461729317854818</v>
      </c>
      <c r="AP18" s="387">
        <f t="shared" si="28"/>
        <v>0.14868407352420288</v>
      </c>
      <c r="AQ18" s="387">
        <f t="shared" si="29"/>
        <v>0.22954739538855681</v>
      </c>
      <c r="AR18" s="387">
        <f t="shared" si="30"/>
        <v>0.3898235804934716</v>
      </c>
      <c r="AS18" s="387">
        <f t="shared" si="31"/>
        <v>0.93905659696489674</v>
      </c>
      <c r="AT18" s="387">
        <f t="shared" si="32"/>
        <v>0</v>
      </c>
      <c r="AU18" s="387">
        <f t="shared" si="33"/>
        <v>8.8703999999999991E-2</v>
      </c>
      <c r="AV18" s="387">
        <f t="shared" si="34"/>
        <v>0.6919359668663696</v>
      </c>
      <c r="AW18" s="387">
        <f t="shared" si="35"/>
        <v>0</v>
      </c>
      <c r="AX18" s="387">
        <f t="shared" si="36"/>
        <v>3.6000000000000004E-2</v>
      </c>
      <c r="AY18" s="387">
        <f t="shared" si="37"/>
        <v>0.118272</v>
      </c>
      <c r="AZ18" s="387">
        <f t="shared" si="38"/>
        <v>7.3471999999999996E-2</v>
      </c>
      <c r="BA18" s="387">
        <f t="shared" si="56"/>
        <v>0.15427200000000002</v>
      </c>
      <c r="BB18" s="387">
        <f t="shared" si="57"/>
        <v>4.2625981382522511</v>
      </c>
      <c r="BC18">
        <f t="shared" si="39"/>
        <v>72</v>
      </c>
      <c r="BD18" s="606">
        <f t="shared" si="50"/>
        <v>0.94410630843542953</v>
      </c>
      <c r="BE18" s="616">
        <f t="shared" si="40"/>
        <v>18.713735197423613</v>
      </c>
      <c r="BF18" s="616">
        <f t="shared" si="41"/>
        <v>19.491179024673581</v>
      </c>
      <c r="BG18" s="9"/>
      <c r="BH18" s="4">
        <f t="shared" si="51"/>
        <v>94.410630843542947</v>
      </c>
      <c r="BI18" s="387">
        <f t="shared" si="52"/>
        <v>1.2111168716640672</v>
      </c>
      <c r="BJ18" s="387">
        <f t="shared" si="53"/>
        <v>1.9203032641309692</v>
      </c>
      <c r="BK18" s="387">
        <f t="shared" si="54"/>
        <v>2.9272319999999998E-2</v>
      </c>
      <c r="BL18" s="387">
        <f t="shared" si="55"/>
        <v>0.6919359668663696</v>
      </c>
      <c r="BP18" t="s">
        <v>145</v>
      </c>
      <c r="BR18" s="18"/>
      <c r="BS18" s="19"/>
    </row>
    <row r="19" spans="1:82" x14ac:dyDescent="0.2">
      <c r="A19" s="35" t="s">
        <v>12</v>
      </c>
      <c r="B19" s="39">
        <f>Rdcr*1000</f>
        <v>6</v>
      </c>
      <c r="C19" s="485" t="s">
        <v>678</v>
      </c>
      <c r="D19" s="483" t="s">
        <v>681</v>
      </c>
      <c r="G19">
        <v>10</v>
      </c>
      <c r="H19" s="612">
        <f t="shared" si="0"/>
        <v>5.95</v>
      </c>
      <c r="I19" s="4" t="str">
        <f t="shared" si="1"/>
        <v>BOOST</v>
      </c>
      <c r="J19">
        <f t="shared" si="43"/>
        <v>2</v>
      </c>
      <c r="K19">
        <f t="shared" si="2"/>
        <v>6</v>
      </c>
      <c r="L19" s="4">
        <f t="shared" si="3"/>
        <v>12.605042016806724</v>
      </c>
      <c r="M19" s="4">
        <f t="shared" si="4"/>
        <v>12.417421806489331</v>
      </c>
      <c r="N19" s="387">
        <f t="shared" si="5"/>
        <v>1</v>
      </c>
      <c r="O19" s="387">
        <f t="shared" si="44"/>
        <v>0.51680790960451983</v>
      </c>
      <c r="P19" s="4">
        <f t="shared" si="6"/>
        <v>2.8224053324900105</v>
      </c>
      <c r="Q19" s="387">
        <f t="shared" si="7"/>
        <v>12.631346532886688</v>
      </c>
      <c r="R19" s="387">
        <f t="shared" si="8"/>
        <v>1.0367006277111332</v>
      </c>
      <c r="S19" s="387">
        <f t="shared" si="45"/>
        <v>0.13823664077151931</v>
      </c>
      <c r="T19" s="387">
        <f t="shared" si="46"/>
        <v>1.1749372684826525</v>
      </c>
      <c r="U19" s="4">
        <f t="shared" si="9"/>
        <v>6.2621517666910878</v>
      </c>
      <c r="V19" s="387">
        <f t="shared" si="10"/>
        <v>0.2745018132435062</v>
      </c>
      <c r="W19" s="387">
        <f t="shared" si="47"/>
        <v>0.2745018132435062</v>
      </c>
      <c r="X19" s="387">
        <f t="shared" si="11"/>
        <v>0.81475823923767143</v>
      </c>
      <c r="Y19" s="387">
        <f t="shared" si="12"/>
        <v>1.3276619768113414E-3</v>
      </c>
      <c r="Z19" s="605">
        <f t="shared" si="48"/>
        <v>1.3276619768113414E-3</v>
      </c>
      <c r="AA19" s="387">
        <f t="shared" si="13"/>
        <v>12.631346532886688</v>
      </c>
      <c r="AB19" s="387">
        <f t="shared" si="14"/>
        <v>0.90944021683305076</v>
      </c>
      <c r="AC19" s="387">
        <f t="shared" si="15"/>
        <v>0</v>
      </c>
      <c r="AD19">
        <f t="shared" si="16"/>
        <v>0</v>
      </c>
      <c r="AE19" s="387">
        <f t="shared" si="17"/>
        <v>1.1116329610625488</v>
      </c>
      <c r="AF19" s="387">
        <f t="shared" si="18"/>
        <v>0</v>
      </c>
      <c r="AG19" s="387">
        <f t="shared" si="19"/>
        <v>0</v>
      </c>
      <c r="AH19" s="387">
        <f t="shared" si="20"/>
        <v>0</v>
      </c>
      <c r="AI19" s="387">
        <f t="shared" si="21"/>
        <v>0</v>
      </c>
      <c r="AJ19" s="387">
        <f t="shared" si="22"/>
        <v>9.0805933163810142</v>
      </c>
      <c r="AK19" s="387">
        <f t="shared" si="23"/>
        <v>0.15666863245725673</v>
      </c>
      <c r="AL19" s="387">
        <f t="shared" si="24"/>
        <v>0.11006422988775932</v>
      </c>
      <c r="AM19">
        <f t="shared" si="25"/>
        <v>0</v>
      </c>
      <c r="AN19" s="387">
        <f t="shared" si="26"/>
        <v>0.2753609469429536</v>
      </c>
      <c r="AO19" s="387">
        <f t="shared" si="27"/>
        <v>8.7803041095605003</v>
      </c>
      <c r="AP19" s="387">
        <f t="shared" si="28"/>
        <v>0.14647810648709353</v>
      </c>
      <c r="AQ19" s="387">
        <f t="shared" si="29"/>
        <v>0.22588235294117651</v>
      </c>
      <c r="AR19" s="387">
        <f t="shared" si="30"/>
        <v>0.38359820723787968</v>
      </c>
      <c r="AS19" s="387">
        <f t="shared" si="31"/>
        <v>0.90944021683305076</v>
      </c>
      <c r="AT19" s="387">
        <f t="shared" si="32"/>
        <v>0</v>
      </c>
      <c r="AU19" s="387">
        <f t="shared" si="33"/>
        <v>8.8703999999999991E-2</v>
      </c>
      <c r="AV19" s="387">
        <f t="shared" si="34"/>
        <v>0.65965739982002836</v>
      </c>
      <c r="AW19" s="387">
        <f t="shared" si="35"/>
        <v>0</v>
      </c>
      <c r="AX19" s="387">
        <f t="shared" si="36"/>
        <v>3.6000000000000004E-2</v>
      </c>
      <c r="AY19" s="387">
        <f t="shared" si="37"/>
        <v>0.118272</v>
      </c>
      <c r="AZ19" s="387">
        <f t="shared" si="38"/>
        <v>7.3471999999999996E-2</v>
      </c>
      <c r="BA19" s="387">
        <f t="shared" si="56"/>
        <v>0.15427200000000002</v>
      </c>
      <c r="BB19" s="387">
        <f t="shared" si="57"/>
        <v>4.1239922587663802</v>
      </c>
      <c r="BC19">
        <f t="shared" si="39"/>
        <v>72</v>
      </c>
      <c r="BD19" s="606">
        <f t="shared" si="50"/>
        <v>0.94582532869863423</v>
      </c>
      <c r="BE19" s="616">
        <f t="shared" si="40"/>
        <v>18.203247347147681</v>
      </c>
      <c r="BF19" s="616">
        <f t="shared" si="41"/>
        <v>19.179910361893985</v>
      </c>
      <c r="BG19" s="9"/>
      <c r="BH19" s="4">
        <f t="shared" si="51"/>
        <v>94.582532869863428</v>
      </c>
      <c r="BI19" s="387">
        <f t="shared" si="52"/>
        <v>1.1749372684826525</v>
      </c>
      <c r="BJ19" s="387">
        <f t="shared" si="53"/>
        <v>1.859296115243382</v>
      </c>
      <c r="BK19" s="387">
        <f t="shared" si="54"/>
        <v>2.9272319999999998E-2</v>
      </c>
      <c r="BL19" s="387">
        <f t="shared" si="55"/>
        <v>0.65965739982002836</v>
      </c>
      <c r="BP19" t="s">
        <v>146</v>
      </c>
      <c r="BR19" s="18"/>
      <c r="BS19" s="19"/>
    </row>
    <row r="20" spans="1:82" x14ac:dyDescent="0.2">
      <c r="A20" s="35" t="s">
        <v>86</v>
      </c>
      <c r="B20" s="39">
        <f>Ltc*1000000</f>
        <v>4000</v>
      </c>
      <c r="C20" s="484" t="s">
        <v>85</v>
      </c>
      <c r="D20" s="21" t="s">
        <v>101</v>
      </c>
      <c r="G20">
        <v>11</v>
      </c>
      <c r="H20" s="612">
        <f t="shared" si="0"/>
        <v>6.0449999999999999</v>
      </c>
      <c r="I20" s="4" t="str">
        <f t="shared" si="1"/>
        <v>BOOST</v>
      </c>
      <c r="J20">
        <f t="shared" si="43"/>
        <v>2</v>
      </c>
      <c r="K20">
        <f t="shared" si="2"/>
        <v>6</v>
      </c>
      <c r="L20" s="4">
        <f t="shared" si="3"/>
        <v>12.406947890818859</v>
      </c>
      <c r="M20" s="4">
        <f t="shared" si="4"/>
        <v>12.210630835916463</v>
      </c>
      <c r="N20" s="387">
        <f t="shared" si="5"/>
        <v>1</v>
      </c>
      <c r="O20" s="387">
        <f t="shared" si="44"/>
        <v>0.50862489574645531</v>
      </c>
      <c r="P20" s="4">
        <f t="shared" si="6"/>
        <v>2.8251337593133372</v>
      </c>
      <c r="Q20" s="387">
        <f t="shared" si="7"/>
        <v>12.433723136239692</v>
      </c>
      <c r="R20" s="387">
        <f t="shared" si="8"/>
        <v>1.0019352186199029</v>
      </c>
      <c r="S20" s="387">
        <f t="shared" si="45"/>
        <v>0.13854472697111941</v>
      </c>
      <c r="T20" s="387">
        <f t="shared" si="46"/>
        <v>1.1404799455910224</v>
      </c>
      <c r="U20" s="4">
        <f t="shared" si="9"/>
        <v>6.1605396708098867</v>
      </c>
      <c r="V20" s="387">
        <f t="shared" si="10"/>
        <v>0.26566574324935671</v>
      </c>
      <c r="W20" s="387">
        <f t="shared" si="47"/>
        <v>0.26566574324935671</v>
      </c>
      <c r="X20" s="387">
        <f t="shared" si="11"/>
        <v>0.81554586821812736</v>
      </c>
      <c r="Y20" s="387">
        <f t="shared" si="12"/>
        <v>1.3302301263353182E-3</v>
      </c>
      <c r="Z20" s="605">
        <f t="shared" si="48"/>
        <v>1.3302301263353182E-3</v>
      </c>
      <c r="AA20" s="387">
        <f t="shared" si="13"/>
        <v>12.433723136239692</v>
      </c>
      <c r="AB20" s="387">
        <f t="shared" si="14"/>
        <v>0.88120558486337452</v>
      </c>
      <c r="AC20" s="387">
        <f t="shared" si="15"/>
        <v>0</v>
      </c>
      <c r="AD20">
        <f t="shared" si="16"/>
        <v>0</v>
      </c>
      <c r="AE20" s="387">
        <f t="shared" si="17"/>
        <v>1.0697372775209806</v>
      </c>
      <c r="AF20" s="387">
        <f t="shared" si="18"/>
        <v>0</v>
      </c>
      <c r="AG20" s="387">
        <f t="shared" si="19"/>
        <v>0</v>
      </c>
      <c r="AH20" s="387">
        <f t="shared" si="20"/>
        <v>0</v>
      </c>
      <c r="AI20" s="387">
        <f t="shared" si="21"/>
        <v>0</v>
      </c>
      <c r="AJ20" s="387">
        <f t="shared" si="22"/>
        <v>8.8674755474497342</v>
      </c>
      <c r="AK20" s="387">
        <f t="shared" si="23"/>
        <v>0.14940103291077603</v>
      </c>
      <c r="AL20" s="387">
        <f t="shared" si="24"/>
        <v>0.10833451907893599</v>
      </c>
      <c r="AM20">
        <f t="shared" si="25"/>
        <v>0</v>
      </c>
      <c r="AN20" s="387">
        <f t="shared" si="26"/>
        <v>0.26567394432978186</v>
      </c>
      <c r="AO20" s="387">
        <f t="shared" si="27"/>
        <v>8.7158102574599017</v>
      </c>
      <c r="AP20" s="387">
        <f t="shared" si="28"/>
        <v>0.14433416204368216</v>
      </c>
      <c r="AQ20" s="387">
        <f t="shared" si="29"/>
        <v>0.22233250620347397</v>
      </c>
      <c r="AR20" s="387">
        <f t="shared" si="30"/>
        <v>0.37756579682744501</v>
      </c>
      <c r="AS20" s="387">
        <f t="shared" si="31"/>
        <v>0.88120558486337452</v>
      </c>
      <c r="AT20" s="387">
        <f t="shared" si="32"/>
        <v>0</v>
      </c>
      <c r="AU20" s="387">
        <f t="shared" si="33"/>
        <v>8.8703999999999991E-2</v>
      </c>
      <c r="AV20" s="387">
        <f t="shared" si="34"/>
        <v>0.62905698067695182</v>
      </c>
      <c r="AW20" s="387">
        <f t="shared" si="35"/>
        <v>0</v>
      </c>
      <c r="AX20" s="387">
        <f t="shared" si="36"/>
        <v>3.6000000000000004E-2</v>
      </c>
      <c r="AY20" s="387">
        <f t="shared" si="37"/>
        <v>0.118272</v>
      </c>
      <c r="AZ20" s="387">
        <f t="shared" si="38"/>
        <v>7.3471999999999996E-2</v>
      </c>
      <c r="BA20" s="387">
        <f t="shared" si="56"/>
        <v>0.15427200000000002</v>
      </c>
      <c r="BB20" s="387">
        <f t="shared" si="57"/>
        <v>3.9924859183218744</v>
      </c>
      <c r="BC20">
        <f t="shared" si="39"/>
        <v>72</v>
      </c>
      <c r="BD20" s="606">
        <f t="shared" si="50"/>
        <v>0.94746209615233445</v>
      </c>
      <c r="BE20" s="616">
        <f t="shared" si="40"/>
        <v>17.718897216489093</v>
      </c>
      <c r="BF20" s="616">
        <f t="shared" si="41"/>
        <v>18.878289841372251</v>
      </c>
      <c r="BG20" s="9"/>
      <c r="BH20" s="4">
        <f t="shared" si="51"/>
        <v>94.74620961523344</v>
      </c>
      <c r="BI20" s="387">
        <f t="shared" si="52"/>
        <v>1.1404799455910224</v>
      </c>
      <c r="BJ20" s="387">
        <f t="shared" si="53"/>
        <v>1.8016810186782073</v>
      </c>
      <c r="BK20" s="387">
        <f t="shared" si="54"/>
        <v>2.9272319999999998E-2</v>
      </c>
      <c r="BL20" s="387">
        <f t="shared" si="55"/>
        <v>0.62905698067695182</v>
      </c>
      <c r="BR20" s="18"/>
      <c r="BS20" s="19"/>
    </row>
    <row r="21" spans="1:82" x14ac:dyDescent="0.2">
      <c r="A21" s="25" t="s">
        <v>159</v>
      </c>
      <c r="B21" s="39">
        <f>ThetaCa</f>
        <v>20</v>
      </c>
      <c r="C21" s="484" t="s">
        <v>241</v>
      </c>
      <c r="D21" s="26" t="s">
        <v>160</v>
      </c>
      <c r="G21">
        <v>12</v>
      </c>
      <c r="H21" s="612">
        <f t="shared" si="0"/>
        <v>6.14</v>
      </c>
      <c r="I21" s="4" t="str">
        <f t="shared" si="1"/>
        <v>BOOST</v>
      </c>
      <c r="J21">
        <f t="shared" si="43"/>
        <v>2</v>
      </c>
      <c r="K21">
        <f t="shared" si="2"/>
        <v>6</v>
      </c>
      <c r="L21" s="4">
        <f t="shared" si="3"/>
        <v>12.21498371335505</v>
      </c>
      <c r="M21" s="4">
        <f t="shared" si="4"/>
        <v>12.010814334745843</v>
      </c>
      <c r="N21" s="387">
        <f t="shared" si="5"/>
        <v>1</v>
      </c>
      <c r="O21" s="387">
        <f t="shared" si="44"/>
        <v>0.50045019157088122</v>
      </c>
      <c r="P21" s="4">
        <f t="shared" si="6"/>
        <v>2.8263370253694999</v>
      </c>
      <c r="Q21" s="387">
        <f t="shared" si="7"/>
        <v>12.242201961491391</v>
      </c>
      <c r="R21" s="387">
        <f t="shared" si="8"/>
        <v>0.96893242841262683</v>
      </c>
      <c r="S21" s="387">
        <f t="shared" si="45"/>
        <v>0.13868071970891854</v>
      </c>
      <c r="T21" s="387">
        <f t="shared" si="46"/>
        <v>1.1076131481215454</v>
      </c>
      <c r="U21" s="4">
        <f t="shared" si="9"/>
        <v>6.0606738548145946</v>
      </c>
      <c r="V21" s="387">
        <f t="shared" si="10"/>
        <v>0.25712237302103241</v>
      </c>
      <c r="W21" s="387">
        <f t="shared" si="47"/>
        <v>0.25712237302103241</v>
      </c>
      <c r="X21" s="387">
        <f t="shared" si="11"/>
        <v>0.81589322120884356</v>
      </c>
      <c r="Y21" s="387">
        <f t="shared" si="12"/>
        <v>1.331363496829086E-3</v>
      </c>
      <c r="Z21" s="605">
        <f t="shared" si="48"/>
        <v>1.331363496829086E-3</v>
      </c>
      <c r="AA21" s="387">
        <f t="shared" si="13"/>
        <v>12.242201961491391</v>
      </c>
      <c r="AB21" s="387">
        <f t="shared" si="14"/>
        <v>0.85426760053587891</v>
      </c>
      <c r="AC21" s="387">
        <f t="shared" si="15"/>
        <v>0</v>
      </c>
      <c r="AD21">
        <f t="shared" si="16"/>
        <v>0</v>
      </c>
      <c r="AE21" s="387">
        <f t="shared" si="17"/>
        <v>1.0302975665364966</v>
      </c>
      <c r="AF21" s="387">
        <f t="shared" si="18"/>
        <v>0</v>
      </c>
      <c r="AG21" s="387">
        <f t="shared" si="19"/>
        <v>0</v>
      </c>
      <c r="AH21" s="387">
        <f t="shared" si="20"/>
        <v>0</v>
      </c>
      <c r="AI21" s="387">
        <f t="shared" si="21"/>
        <v>0</v>
      </c>
      <c r="AJ21" s="387">
        <f t="shared" si="22"/>
        <v>8.6604402499514155</v>
      </c>
      <c r="AK21" s="387">
        <f t="shared" si="23"/>
        <v>0.14250612811365923</v>
      </c>
      <c r="AL21" s="387">
        <f t="shared" si="24"/>
        <v>0.10665833352315437</v>
      </c>
      <c r="AM21">
        <f t="shared" si="25"/>
        <v>0</v>
      </c>
      <c r="AN21" s="387">
        <f t="shared" si="26"/>
        <v>0.25647429333766097</v>
      </c>
      <c r="AO21" s="387">
        <f t="shared" si="27"/>
        <v>8.652646042856782</v>
      </c>
      <c r="AP21" s="387">
        <f t="shared" si="28"/>
        <v>0.14224973873163374</v>
      </c>
      <c r="AQ21" s="387">
        <f t="shared" si="29"/>
        <v>0.21889250814332251</v>
      </c>
      <c r="AR21" s="387">
        <f t="shared" si="30"/>
        <v>0.3717175929713824</v>
      </c>
      <c r="AS21" s="387">
        <f t="shared" si="31"/>
        <v>0.85426760053587891</v>
      </c>
      <c r="AT21" s="387">
        <f t="shared" si="32"/>
        <v>0</v>
      </c>
      <c r="AU21" s="387">
        <f t="shared" si="33"/>
        <v>8.8703999999999991E-2</v>
      </c>
      <c r="AV21" s="387">
        <f t="shared" si="34"/>
        <v>0.60002580258382832</v>
      </c>
      <c r="AW21" s="387">
        <f t="shared" si="35"/>
        <v>0</v>
      </c>
      <c r="AX21" s="387">
        <f t="shared" si="36"/>
        <v>3.6000000000000004E-2</v>
      </c>
      <c r="AY21" s="387">
        <f t="shared" si="37"/>
        <v>0.118272</v>
      </c>
      <c r="AZ21" s="387">
        <f t="shared" si="38"/>
        <v>7.3471999999999996E-2</v>
      </c>
      <c r="BA21" s="387">
        <f t="shared" si="56"/>
        <v>0.15427200000000002</v>
      </c>
      <c r="BB21" s="387">
        <f t="shared" si="57"/>
        <v>3.8675581400687755</v>
      </c>
      <c r="BC21">
        <f t="shared" si="39"/>
        <v>72</v>
      </c>
      <c r="BD21" s="606">
        <f t="shared" si="50"/>
        <v>0.94902224040309313</v>
      </c>
      <c r="BE21" s="616">
        <f t="shared" si="40"/>
        <v>17.258914666883047</v>
      </c>
      <c r="BF21" s="616">
        <f t="shared" si="41"/>
        <v>18.585879648569119</v>
      </c>
      <c r="BG21" s="9"/>
      <c r="BH21" s="4">
        <f t="shared" si="51"/>
        <v>94.902224040309306</v>
      </c>
      <c r="BI21" s="387">
        <f t="shared" si="52"/>
        <v>1.1076131481215454</v>
      </c>
      <c r="BJ21" s="387">
        <f t="shared" si="53"/>
        <v>1.74719345284554</v>
      </c>
      <c r="BK21" s="387">
        <f t="shared" si="54"/>
        <v>2.9272319999999998E-2</v>
      </c>
      <c r="BL21" s="387">
        <f t="shared" si="55"/>
        <v>0.60002580258382832</v>
      </c>
      <c r="BR21" s="18"/>
      <c r="BS21" s="19"/>
    </row>
    <row r="22" spans="1:82" x14ac:dyDescent="0.2">
      <c r="A22" s="36" t="s">
        <v>61</v>
      </c>
      <c r="B22" s="39">
        <f>Cin*1000000</f>
        <v>100</v>
      </c>
      <c r="C22" s="486" t="s">
        <v>679</v>
      </c>
      <c r="D22" s="483" t="s">
        <v>697</v>
      </c>
      <c r="G22">
        <v>13</v>
      </c>
      <c r="H22" s="612">
        <f t="shared" si="0"/>
        <v>6.2350000000000003</v>
      </c>
      <c r="I22" s="446" t="str">
        <f t="shared" si="1"/>
        <v>BOOST</v>
      </c>
      <c r="J22">
        <f t="shared" si="43"/>
        <v>2</v>
      </c>
      <c r="K22">
        <f t="shared" si="2"/>
        <v>6</v>
      </c>
      <c r="L22" s="4">
        <f t="shared" si="3"/>
        <v>12.028869286287089</v>
      </c>
      <c r="M22" s="4">
        <f t="shared" si="4"/>
        <v>11.817616693060282</v>
      </c>
      <c r="N22" s="387">
        <f t="shared" si="5"/>
        <v>1</v>
      </c>
      <c r="O22" s="387">
        <f t="shared" si="44"/>
        <v>0.49228341417407701</v>
      </c>
      <c r="P22" s="4">
        <f t="shared" si="6"/>
        <v>2.8260196079074351</v>
      </c>
      <c r="Q22" s="387">
        <f t="shared" si="7"/>
        <v>12.056501505077552</v>
      </c>
      <c r="R22" s="387">
        <f t="shared" si="8"/>
        <v>0.93757205128899135</v>
      </c>
      <c r="S22" s="387">
        <f t="shared" si="45"/>
        <v>0.138644837958013</v>
      </c>
      <c r="T22" s="387">
        <f t="shared" si="46"/>
        <v>1.0762168892470043</v>
      </c>
      <c r="U22" s="4">
        <f t="shared" si="9"/>
        <v>5.9624661060161657</v>
      </c>
      <c r="V22" s="387">
        <f t="shared" si="10"/>
        <v>0.24885701445774105</v>
      </c>
      <c r="W22" s="387">
        <f t="shared" si="47"/>
        <v>0.24885701445774105</v>
      </c>
      <c r="X22" s="387">
        <f t="shared" si="11"/>
        <v>0.81580159068025926</v>
      </c>
      <c r="Y22" s="387">
        <f t="shared" si="12"/>
        <v>1.3310644707128826E-3</v>
      </c>
      <c r="Z22" s="605">
        <f t="shared" si="48"/>
        <v>1.3310644707128826E-3</v>
      </c>
      <c r="AA22" s="387">
        <f t="shared" si="13"/>
        <v>12.056501505077552</v>
      </c>
      <c r="AB22" s="387">
        <f t="shared" si="14"/>
        <v>0.82854760268904259</v>
      </c>
      <c r="AC22" s="387">
        <f t="shared" si="15"/>
        <v>0</v>
      </c>
      <c r="AD22">
        <f t="shared" si="16"/>
        <v>0</v>
      </c>
      <c r="AE22" s="387">
        <f t="shared" si="17"/>
        <v>0.99311645414334471</v>
      </c>
      <c r="AF22" s="387">
        <f t="shared" si="18"/>
        <v>0</v>
      </c>
      <c r="AG22" s="387">
        <f t="shared" si="19"/>
        <v>0</v>
      </c>
      <c r="AH22" s="387">
        <f t="shared" si="20"/>
        <v>0</v>
      </c>
      <c r="AI22" s="387">
        <f t="shared" si="21"/>
        <v>0</v>
      </c>
      <c r="AJ22" s="387">
        <f t="shared" si="22"/>
        <v>8.459192473772827</v>
      </c>
      <c r="AK22" s="387">
        <f t="shared" si="23"/>
        <v>0.13596008088583619</v>
      </c>
      <c r="AL22" s="387">
        <f t="shared" si="24"/>
        <v>0.10503322659697961</v>
      </c>
      <c r="AM22">
        <f t="shared" si="25"/>
        <v>0</v>
      </c>
      <c r="AN22" s="387">
        <f t="shared" si="26"/>
        <v>0.24772957406844778</v>
      </c>
      <c r="AO22" s="387">
        <f t="shared" si="27"/>
        <v>8.5907677906926594</v>
      </c>
      <c r="AP22" s="387">
        <f t="shared" si="28"/>
        <v>0.14022245334384464</v>
      </c>
      <c r="AQ22" s="387">
        <f t="shared" si="29"/>
        <v>0.21555733761026466</v>
      </c>
      <c r="AR22" s="387">
        <f t="shared" si="30"/>
        <v>0.36604534625140306</v>
      </c>
      <c r="AS22" s="387">
        <f t="shared" si="31"/>
        <v>0.82854760268904259</v>
      </c>
      <c r="AT22" s="387">
        <f t="shared" si="32"/>
        <v>0</v>
      </c>
      <c r="AU22" s="387">
        <f t="shared" si="33"/>
        <v>8.8703999999999991E-2</v>
      </c>
      <c r="AV22" s="387">
        <f t="shared" si="34"/>
        <v>0.57246349846667877</v>
      </c>
      <c r="AW22" s="387">
        <f t="shared" si="35"/>
        <v>0</v>
      </c>
      <c r="AX22" s="387">
        <f t="shared" si="36"/>
        <v>3.6000000000000004E-2</v>
      </c>
      <c r="AY22" s="387">
        <f t="shared" si="37"/>
        <v>0.118272</v>
      </c>
      <c r="AZ22" s="387">
        <f t="shared" si="38"/>
        <v>7.3471999999999996E-2</v>
      </c>
      <c r="BA22" s="387">
        <f t="shared" si="56"/>
        <v>0.15427200000000002</v>
      </c>
      <c r="BB22" s="387">
        <f t="shared" si="57"/>
        <v>3.7487358411053329</v>
      </c>
      <c r="BC22">
        <f t="shared" si="39"/>
        <v>72</v>
      </c>
      <c r="BD22" s="606">
        <f t="shared" si="50"/>
        <v>0.95051091216929506</v>
      </c>
      <c r="BE22" s="616">
        <f t="shared" si="40"/>
        <v>16.821678703422389</v>
      </c>
      <c r="BF22" s="616">
        <f t="shared" si="41"/>
        <v>18.302267312570152</v>
      </c>
      <c r="BG22" s="9"/>
      <c r="BH22" s="4">
        <f t="shared" si="51"/>
        <v>95.051091216929507</v>
      </c>
      <c r="BI22" s="387">
        <f t="shared" si="52"/>
        <v>1.0762168892470043</v>
      </c>
      <c r="BJ22" s="387">
        <f t="shared" si="53"/>
        <v>1.6955953744631955</v>
      </c>
      <c r="BK22" s="387">
        <f t="shared" si="54"/>
        <v>2.9272319999999998E-2</v>
      </c>
      <c r="BL22" s="387">
        <f t="shared" si="55"/>
        <v>0.57246349846667877</v>
      </c>
      <c r="BR22" s="18"/>
      <c r="BS22" s="19"/>
    </row>
    <row r="23" spans="1:82" x14ac:dyDescent="0.2">
      <c r="A23" s="36" t="s">
        <v>90</v>
      </c>
      <c r="B23" s="39">
        <f>RCinEsr*1000</f>
        <v>2</v>
      </c>
      <c r="C23" s="485" t="s">
        <v>678</v>
      </c>
      <c r="D23" s="483" t="s">
        <v>693</v>
      </c>
      <c r="G23">
        <v>14</v>
      </c>
      <c r="H23" s="612">
        <f t="shared" si="0"/>
        <v>6.33</v>
      </c>
      <c r="I23" s="446" t="str">
        <f t="shared" si="1"/>
        <v>BOOST</v>
      </c>
      <c r="J23">
        <f t="shared" si="43"/>
        <v>2</v>
      </c>
      <c r="K23">
        <f t="shared" si="2"/>
        <v>6</v>
      </c>
      <c r="L23" s="4">
        <f t="shared" si="3"/>
        <v>11.848341232227488</v>
      </c>
      <c r="M23" s="4">
        <f t="shared" si="4"/>
        <v>11.63070654690249</v>
      </c>
      <c r="N23" s="387">
        <f t="shared" si="5"/>
        <v>1</v>
      </c>
      <c r="O23" s="387">
        <f t="shared" si="44"/>
        <v>0.48412420382165605</v>
      </c>
      <c r="P23" s="4">
        <f t="shared" si="6"/>
        <v>2.8241857112624413</v>
      </c>
      <c r="Q23" s="387">
        <f t="shared" si="7"/>
        <v>11.876357130854993</v>
      </c>
      <c r="R23" s="387">
        <f t="shared" si="8"/>
        <v>0.90774412761214385</v>
      </c>
      <c r="S23" s="387">
        <f t="shared" si="45"/>
        <v>0.13843763207305945</v>
      </c>
      <c r="T23" s="387">
        <f t="shared" si="46"/>
        <v>1.0461817596852032</v>
      </c>
      <c r="U23" s="4">
        <f t="shared" si="9"/>
        <v>5.8658331368838468</v>
      </c>
      <c r="V23" s="387">
        <f t="shared" si="10"/>
        <v>0.24085598872835215</v>
      </c>
      <c r="W23" s="387">
        <f t="shared" si="47"/>
        <v>0.24085598872835215</v>
      </c>
      <c r="X23" s="387">
        <f t="shared" si="11"/>
        <v>0.81527219031943265</v>
      </c>
      <c r="Y23" s="387">
        <f t="shared" si="12"/>
        <v>1.3293374886164905E-3</v>
      </c>
      <c r="Z23" s="605">
        <f t="shared" si="48"/>
        <v>1.3293374886164905E-3</v>
      </c>
      <c r="AA23" s="387">
        <f t="shared" si="13"/>
        <v>11.876357130854993</v>
      </c>
      <c r="AB23" s="387">
        <f t="shared" si="14"/>
        <v>0.80397279458777837</v>
      </c>
      <c r="AC23" s="387">
        <f t="shared" si="15"/>
        <v>0</v>
      </c>
      <c r="AD23">
        <f t="shared" si="16"/>
        <v>0</v>
      </c>
      <c r="AE23" s="387">
        <f t="shared" si="17"/>
        <v>0.95801666103448835</v>
      </c>
      <c r="AF23" s="387">
        <f t="shared" si="18"/>
        <v>0</v>
      </c>
      <c r="AG23" s="387">
        <f t="shared" si="19"/>
        <v>0</v>
      </c>
      <c r="AH23" s="387">
        <f t="shared" si="20"/>
        <v>0</v>
      </c>
      <c r="AI23" s="387">
        <f t="shared" si="21"/>
        <v>0</v>
      </c>
      <c r="AJ23" s="387">
        <f t="shared" si="22"/>
        <v>8.2634546222326559</v>
      </c>
      <c r="AK23" s="387">
        <f t="shared" si="23"/>
        <v>0.12974089635802666</v>
      </c>
      <c r="AL23" s="387">
        <f t="shared" si="24"/>
        <v>0.10345689855168529</v>
      </c>
      <c r="AM23">
        <f t="shared" si="25"/>
        <v>0</v>
      </c>
      <c r="AN23" s="387">
        <f t="shared" si="26"/>
        <v>0.23941004980138214</v>
      </c>
      <c r="AO23" s="387">
        <f t="shared" si="27"/>
        <v>8.5301334342384116</v>
      </c>
      <c r="AP23" s="387">
        <f t="shared" si="28"/>
        <v>0.13825003517123277</v>
      </c>
      <c r="AQ23" s="387">
        <f t="shared" si="29"/>
        <v>0.21232227488151661</v>
      </c>
      <c r="AR23" s="387">
        <f t="shared" si="30"/>
        <v>0.3605412789519058</v>
      </c>
      <c r="AS23" s="387">
        <f t="shared" si="31"/>
        <v>0.80397279458777837</v>
      </c>
      <c r="AT23" s="387">
        <f t="shared" si="32"/>
        <v>0</v>
      </c>
      <c r="AU23" s="387">
        <f t="shared" si="33"/>
        <v>8.8703999999999991E-2</v>
      </c>
      <c r="AV23" s="387">
        <f t="shared" si="34"/>
        <v>0.54627745834958596</v>
      </c>
      <c r="AW23" s="387">
        <f t="shared" si="35"/>
        <v>0</v>
      </c>
      <c r="AX23" s="387">
        <f t="shared" si="36"/>
        <v>3.6000000000000004E-2</v>
      </c>
      <c r="AY23" s="387">
        <f t="shared" si="37"/>
        <v>0.118272</v>
      </c>
      <c r="AZ23" s="387">
        <f t="shared" si="38"/>
        <v>7.3471999999999996E-2</v>
      </c>
      <c r="BA23" s="387">
        <f t="shared" si="56"/>
        <v>0.15427200000000002</v>
      </c>
      <c r="BB23" s="387">
        <f t="shared" si="57"/>
        <v>3.6355885340395346</v>
      </c>
      <c r="BC23">
        <f t="shared" si="39"/>
        <v>72</v>
      </c>
      <c r="BD23" s="606">
        <f t="shared" si="50"/>
        <v>0.95193283208997115</v>
      </c>
      <c r="BE23" s="616">
        <f t="shared" si="40"/>
        <v>16.405702490069107</v>
      </c>
      <c r="BF23" s="616">
        <f t="shared" si="41"/>
        <v>18.027063947595291</v>
      </c>
      <c r="BG23" s="9"/>
      <c r="BH23" s="4">
        <f t="shared" si="51"/>
        <v>95.193283208997116</v>
      </c>
      <c r="BI23" s="387">
        <f t="shared" si="52"/>
        <v>1.0461817596852032</v>
      </c>
      <c r="BJ23" s="387">
        <f t="shared" si="53"/>
        <v>1.6466719897877762</v>
      </c>
      <c r="BK23" s="387">
        <f t="shared" si="54"/>
        <v>2.9272319999999998E-2</v>
      </c>
      <c r="BL23" s="387">
        <f t="shared" si="55"/>
        <v>0.54627745834958596</v>
      </c>
      <c r="BR23" s="18"/>
      <c r="BS23" s="19"/>
    </row>
    <row r="24" spans="1:82" x14ac:dyDescent="0.2">
      <c r="A24" s="35" t="s">
        <v>27</v>
      </c>
      <c r="B24" s="39">
        <f>Cout*1000000</f>
        <v>272</v>
      </c>
      <c r="C24" s="484" t="s">
        <v>679</v>
      </c>
      <c r="D24" s="483" t="s">
        <v>696</v>
      </c>
      <c r="G24">
        <v>15</v>
      </c>
      <c r="H24" s="612">
        <f t="shared" si="0"/>
        <v>6.4249999999999998</v>
      </c>
      <c r="I24" s="446" t="str">
        <f t="shared" si="1"/>
        <v>BOOST</v>
      </c>
      <c r="J24">
        <f t="shared" si="43"/>
        <v>2</v>
      </c>
      <c r="K24">
        <f t="shared" si="2"/>
        <v>6</v>
      </c>
      <c r="L24" s="4">
        <f t="shared" si="3"/>
        <v>11.673151750972764</v>
      </c>
      <c r="M24" s="4">
        <f t="shared" si="4"/>
        <v>11.449774715080839</v>
      </c>
      <c r="N24" s="387">
        <f t="shared" si="5"/>
        <v>1</v>
      </c>
      <c r="O24" s="387">
        <f t="shared" si="44"/>
        <v>0.47597222222222219</v>
      </c>
      <c r="P24" s="4">
        <f t="shared" si="6"/>
        <v>2.8208392873363777</v>
      </c>
      <c r="Q24" s="387">
        <f t="shared" si="7"/>
        <v>11.701519829705321</v>
      </c>
      <c r="R24" s="387">
        <f t="shared" si="8"/>
        <v>0.87934789825311888</v>
      </c>
      <c r="S24" s="387">
        <f t="shared" si="45"/>
        <v>0.13805998273138109</v>
      </c>
      <c r="T24" s="387">
        <f t="shared" si="46"/>
        <v>1.0174078809845</v>
      </c>
      <c r="U24" s="4">
        <f t="shared" si="9"/>
        <v>5.7706961670169195</v>
      </c>
      <c r="V24" s="387">
        <f t="shared" si="10"/>
        <v>0.23310653976416637</v>
      </c>
      <c r="W24" s="387">
        <f t="shared" si="47"/>
        <v>0.23310653976416637</v>
      </c>
      <c r="X24" s="387">
        <f t="shared" si="11"/>
        <v>0.8143061609421649</v>
      </c>
      <c r="Y24" s="387">
        <f t="shared" si="12"/>
        <v>1.3261890474967339E-3</v>
      </c>
      <c r="Z24" s="605">
        <f t="shared" si="48"/>
        <v>1.3261890474967339E-3</v>
      </c>
      <c r="AA24" s="387">
        <f t="shared" si="13"/>
        <v>11.701519829705321</v>
      </c>
      <c r="AB24" s="387">
        <f t="shared" si="14"/>
        <v>0.78047572805242504</v>
      </c>
      <c r="AC24" s="387">
        <f t="shared" si="15"/>
        <v>0</v>
      </c>
      <c r="AD24">
        <f t="shared" si="16"/>
        <v>0</v>
      </c>
      <c r="AE24" s="387">
        <f t="shared" si="17"/>
        <v>0.92483853362477109</v>
      </c>
      <c r="AF24" s="387">
        <f t="shared" si="18"/>
        <v>0</v>
      </c>
      <c r="AG24" s="387">
        <f t="shared" si="19"/>
        <v>0</v>
      </c>
      <c r="AH24" s="387">
        <f t="shared" si="20"/>
        <v>0</v>
      </c>
      <c r="AI24" s="387">
        <f t="shared" si="21"/>
        <v>0</v>
      </c>
      <c r="AJ24" s="387">
        <f t="shared" si="22"/>
        <v>8.072965135731744</v>
      </c>
      <c r="AK24" s="387">
        <f t="shared" si="23"/>
        <v>0.12382825555720649</v>
      </c>
      <c r="AL24" s="387">
        <f t="shared" si="24"/>
        <v>0.10192718565481214</v>
      </c>
      <c r="AM24">
        <f t="shared" si="25"/>
        <v>0</v>
      </c>
      <c r="AN24" s="387">
        <f t="shared" si="26"/>
        <v>0.23148840221768685</v>
      </c>
      <c r="AO24" s="387">
        <f t="shared" si="27"/>
        <v>8.470702464509456</v>
      </c>
      <c r="AP24" s="387">
        <f t="shared" si="28"/>
        <v>0.13633032046026847</v>
      </c>
      <c r="AQ24" s="387">
        <f t="shared" si="29"/>
        <v>0.20918287937743196</v>
      </c>
      <c r="AR24" s="387">
        <f t="shared" si="30"/>
        <v>0.35519805270821531</v>
      </c>
      <c r="AS24" s="387">
        <f t="shared" si="31"/>
        <v>0.78047572805242504</v>
      </c>
      <c r="AT24" s="387">
        <f t="shared" si="32"/>
        <v>0</v>
      </c>
      <c r="AU24" s="387">
        <f t="shared" si="33"/>
        <v>8.8703999999999991E-2</v>
      </c>
      <c r="AV24" s="387">
        <f t="shared" si="34"/>
        <v>0.52138212866192202</v>
      </c>
      <c r="AW24" s="387">
        <f t="shared" si="35"/>
        <v>0</v>
      </c>
      <c r="AX24" s="387">
        <f t="shared" si="36"/>
        <v>3.6000000000000004E-2</v>
      </c>
      <c r="AY24" s="387">
        <f t="shared" si="37"/>
        <v>0.118272</v>
      </c>
      <c r="AZ24" s="387">
        <f t="shared" si="38"/>
        <v>7.3471999999999996E-2</v>
      </c>
      <c r="BA24" s="387">
        <f t="shared" si="56"/>
        <v>0.15427200000000002</v>
      </c>
      <c r="BB24" s="387">
        <f t="shared" si="57"/>
        <v>3.527723727008758</v>
      </c>
      <c r="BC24">
        <f t="shared" si="39"/>
        <v>72</v>
      </c>
      <c r="BD24" s="606">
        <f t="shared" si="50"/>
        <v>0.95329233355741605</v>
      </c>
      <c r="BE24" s="616">
        <f t="shared" si="40"/>
        <v>16.009620110884342</v>
      </c>
      <c r="BF24" s="616">
        <f t="shared" si="41"/>
        <v>17.759902635410764</v>
      </c>
      <c r="BG24" s="9"/>
      <c r="BH24" s="4">
        <f t="shared" si="51"/>
        <v>95.329233355741607</v>
      </c>
      <c r="BI24" s="387">
        <f t="shared" si="52"/>
        <v>1.0174078809845</v>
      </c>
      <c r="BJ24" s="387">
        <f t="shared" si="53"/>
        <v>1.6002289885506731</v>
      </c>
      <c r="BK24" s="387">
        <f t="shared" si="54"/>
        <v>2.9272319999999998E-2</v>
      </c>
      <c r="BL24" s="387">
        <f t="shared" si="55"/>
        <v>0.52138212866192202</v>
      </c>
      <c r="BR24" s="18"/>
      <c r="BS24" s="19"/>
    </row>
    <row r="25" spans="1:82" x14ac:dyDescent="0.2">
      <c r="A25" s="35" t="s">
        <v>89</v>
      </c>
      <c r="B25" s="40">
        <f>CoutEsr*1000</f>
        <v>7</v>
      </c>
      <c r="C25" s="485" t="s">
        <v>678</v>
      </c>
      <c r="D25" s="483" t="s">
        <v>695</v>
      </c>
      <c r="G25">
        <v>16</v>
      </c>
      <c r="H25" s="612">
        <f t="shared" si="0"/>
        <v>6.52</v>
      </c>
      <c r="I25" s="446" t="str">
        <f t="shared" si="1"/>
        <v>BOOST</v>
      </c>
      <c r="J25">
        <f t="shared" si="43"/>
        <v>2</v>
      </c>
      <c r="K25">
        <f t="shared" si="2"/>
        <v>6</v>
      </c>
      <c r="L25" s="4">
        <f t="shared" si="3"/>
        <v>11.503067484662578</v>
      </c>
      <c r="M25" s="4">
        <f t="shared" si="4"/>
        <v>11.274532345545152</v>
      </c>
      <c r="N25" s="387">
        <f t="shared" si="5"/>
        <v>1</v>
      </c>
      <c r="O25" s="387">
        <f t="shared" si="44"/>
        <v>0.467827150953117</v>
      </c>
      <c r="P25" s="4">
        <f t="shared" si="6"/>
        <v>2.8159840542610577</v>
      </c>
      <c r="Q25" s="387">
        <f t="shared" si="7"/>
        <v>11.53175508785151</v>
      </c>
      <c r="R25" s="387">
        <f t="shared" si="8"/>
        <v>0.8522908830999103</v>
      </c>
      <c r="S25" s="387">
        <f t="shared" si="45"/>
        <v>0.13751309967919009</v>
      </c>
      <c r="T25" s="387">
        <f t="shared" si="46"/>
        <v>0.98980398277910042</v>
      </c>
      <c r="U25" s="4">
        <f t="shared" si="9"/>
        <v>5.6769805422591304</v>
      </c>
      <c r="V25" s="387">
        <f t="shared" si="10"/>
        <v>0.22559675654032141</v>
      </c>
      <c r="W25" s="387">
        <f t="shared" si="47"/>
        <v>0.22559675654032141</v>
      </c>
      <c r="X25" s="387">
        <f t="shared" si="11"/>
        <v>0.81290457588065779</v>
      </c>
      <c r="Y25" s="387">
        <f t="shared" si="12"/>
        <v>1.3216276989754243E-3</v>
      </c>
      <c r="Z25" s="605">
        <f t="shared" si="48"/>
        <v>1.3216276989754243E-3</v>
      </c>
      <c r="AA25" s="387">
        <f t="shared" si="13"/>
        <v>11.53175508785151</v>
      </c>
      <c r="AB25" s="387">
        <f t="shared" si="14"/>
        <v>0.75799383981527835</v>
      </c>
      <c r="AC25" s="387">
        <f t="shared" si="15"/>
        <v>0</v>
      </c>
      <c r="AD25">
        <f t="shared" si="16"/>
        <v>0</v>
      </c>
      <c r="AE25" s="387">
        <f t="shared" si="17"/>
        <v>0.8934379291215726</v>
      </c>
      <c r="AF25" s="387">
        <f t="shared" si="18"/>
        <v>0</v>
      </c>
      <c r="AG25" s="387">
        <f t="shared" si="19"/>
        <v>0</v>
      </c>
      <c r="AH25" s="387">
        <f t="shared" si="20"/>
        <v>0</v>
      </c>
      <c r="AI25" s="387">
        <f t="shared" si="21"/>
        <v>0</v>
      </c>
      <c r="AJ25" s="387">
        <f t="shared" si="22"/>
        <v>7.8874772891022884</v>
      </c>
      <c r="AK25" s="387">
        <f t="shared" si="23"/>
        <v>0.11820336617359832</v>
      </c>
      <c r="AL25" s="387">
        <f t="shared" si="24"/>
        <v>0.10044205028100735</v>
      </c>
      <c r="AM25">
        <f t="shared" si="25"/>
        <v>0</v>
      </c>
      <c r="AN25" s="387">
        <f t="shared" si="26"/>
        <v>0.22393949692577542</v>
      </c>
      <c r="AO25" s="387">
        <f t="shared" si="27"/>
        <v>8.4124358791068836</v>
      </c>
      <c r="AP25" s="387">
        <f t="shared" si="28"/>
        <v>0.13446124709816115</v>
      </c>
      <c r="AQ25" s="387">
        <f t="shared" si="29"/>
        <v>0.20613496932515343</v>
      </c>
      <c r="AR25" s="387">
        <f t="shared" si="30"/>
        <v>0.3500087387241349</v>
      </c>
      <c r="AS25" s="387">
        <f t="shared" si="31"/>
        <v>0.75799383981527835</v>
      </c>
      <c r="AT25" s="387">
        <f t="shared" si="32"/>
        <v>0</v>
      </c>
      <c r="AU25" s="387">
        <f t="shared" si="33"/>
        <v>8.8703999999999991E-2</v>
      </c>
      <c r="AV25" s="387">
        <f t="shared" si="34"/>
        <v>0.49769838388883508</v>
      </c>
      <c r="AW25" s="387">
        <f t="shared" si="35"/>
        <v>0</v>
      </c>
      <c r="AX25" s="387">
        <f t="shared" si="36"/>
        <v>3.6000000000000004E-2</v>
      </c>
      <c r="AY25" s="387">
        <f t="shared" si="37"/>
        <v>0.118272</v>
      </c>
      <c r="AZ25" s="387">
        <f t="shared" si="38"/>
        <v>7.3471999999999996E-2</v>
      </c>
      <c r="BA25" s="387">
        <f t="shared" si="56"/>
        <v>0.15427200000000002</v>
      </c>
      <c r="BB25" s="387">
        <f t="shared" si="57"/>
        <v>3.4247829156787155</v>
      </c>
      <c r="BC25">
        <f t="shared" si="39"/>
        <v>72</v>
      </c>
      <c r="BD25" s="606">
        <f t="shared" si="50"/>
        <v>0.95459340042771534</v>
      </c>
      <c r="BE25" s="616">
        <f t="shared" si="40"/>
        <v>15.632174846288772</v>
      </c>
      <c r="BF25" s="616">
        <f t="shared" si="41"/>
        <v>17.500436936206746</v>
      </c>
      <c r="BG25" s="9"/>
      <c r="BH25" s="4">
        <f t="shared" si="51"/>
        <v>95.45934004277153</v>
      </c>
      <c r="BI25" s="387">
        <f t="shared" si="52"/>
        <v>0.98980398277910042</v>
      </c>
      <c r="BJ25" s="387">
        <f t="shared" si="53"/>
        <v>1.5560901647714827</v>
      </c>
      <c r="BK25" s="387">
        <f t="shared" si="54"/>
        <v>2.9272319999999998E-2</v>
      </c>
      <c r="BL25" s="387">
        <f t="shared" si="55"/>
        <v>0.49769838388883508</v>
      </c>
      <c r="BP25" t="s">
        <v>151</v>
      </c>
      <c r="BQ25" t="s">
        <v>4</v>
      </c>
      <c r="BR25" t="s">
        <v>6</v>
      </c>
      <c r="BS25" t="s">
        <v>5</v>
      </c>
      <c r="BT25" t="s">
        <v>152</v>
      </c>
      <c r="BU25" t="s">
        <v>153</v>
      </c>
    </row>
    <row r="26" spans="1:82" x14ac:dyDescent="0.2">
      <c r="A26" s="24" t="s">
        <v>116</v>
      </c>
      <c r="B26" s="37" t="s">
        <v>115</v>
      </c>
      <c r="C26" s="24" t="s">
        <v>80</v>
      </c>
      <c r="D26" s="17" t="s">
        <v>111</v>
      </c>
      <c r="G26">
        <v>17</v>
      </c>
      <c r="H26" s="612">
        <f t="shared" si="0"/>
        <v>6.6150000000000002</v>
      </c>
      <c r="I26" s="446" t="str">
        <f t="shared" si="1"/>
        <v>BOOST</v>
      </c>
      <c r="J26">
        <f t="shared" si="43"/>
        <v>2</v>
      </c>
      <c r="K26">
        <f t="shared" si="2"/>
        <v>6</v>
      </c>
      <c r="L26" s="4">
        <f t="shared" si="3"/>
        <v>11.337868480725625</v>
      </c>
      <c r="M26" s="4">
        <f t="shared" si="4"/>
        <v>11.104709246700249</v>
      </c>
      <c r="N26" s="387">
        <f t="shared" si="5"/>
        <v>1</v>
      </c>
      <c r="O26" s="387">
        <f t="shared" si="44"/>
        <v>0.4596886900228484</v>
      </c>
      <c r="P26" s="4">
        <f t="shared" si="6"/>
        <v>2.8096235134300915</v>
      </c>
      <c r="Q26" s="387">
        <f t="shared" si="7"/>
        <v>11.366841852958389</v>
      </c>
      <c r="R26" s="387">
        <f t="shared" si="8"/>
        <v>0.826488066969714</v>
      </c>
      <c r="S26" s="387">
        <f t="shared" si="45"/>
        <v>0.13679852027625081</v>
      </c>
      <c r="T26" s="387">
        <f t="shared" si="46"/>
        <v>0.96328658724596483</v>
      </c>
      <c r="U26" s="4">
        <f t="shared" si="9"/>
        <v>5.5846153865860986</v>
      </c>
      <c r="V26" s="387">
        <f t="shared" si="10"/>
        <v>0.2183155031126594</v>
      </c>
      <c r="W26" s="387">
        <f t="shared" si="47"/>
        <v>0.2183155031126594</v>
      </c>
      <c r="X26" s="387">
        <f t="shared" si="11"/>
        <v>0.81106844590018279</v>
      </c>
      <c r="Y26" s="387">
        <f t="shared" si="12"/>
        <v>1.3156640478698756E-3</v>
      </c>
      <c r="Z26" s="605">
        <f t="shared" si="48"/>
        <v>1.3156640478698756E-3</v>
      </c>
      <c r="AA26" s="387">
        <f t="shared" si="13"/>
        <v>11.366841852958389</v>
      </c>
      <c r="AB26" s="387">
        <f t="shared" si="14"/>
        <v>0.73646903414794906</v>
      </c>
      <c r="AC26" s="387">
        <f t="shared" si="15"/>
        <v>0</v>
      </c>
      <c r="AD26">
        <f t="shared" si="16"/>
        <v>0</v>
      </c>
      <c r="AE26" s="387">
        <f t="shared" si="17"/>
        <v>0.86368439686091081</v>
      </c>
      <c r="AF26" s="387">
        <f t="shared" si="18"/>
        <v>0</v>
      </c>
      <c r="AG26" s="387">
        <f t="shared" si="19"/>
        <v>0</v>
      </c>
      <c r="AH26" s="387">
        <f t="shared" si="20"/>
        <v>0</v>
      </c>
      <c r="AI26" s="387">
        <f t="shared" si="21"/>
        <v>0</v>
      </c>
      <c r="AJ26" s="387">
        <f t="shared" si="22"/>
        <v>7.7067580909164271</v>
      </c>
      <c r="AK26" s="387">
        <f t="shared" si="23"/>
        <v>0.11284882851662105</v>
      </c>
      <c r="AL26" s="387">
        <f t="shared" si="24"/>
        <v>9.8999571856714749E-2</v>
      </c>
      <c r="AM26">
        <f t="shared" si="25"/>
        <v>0</v>
      </c>
      <c r="AN26" s="387">
        <f t="shared" si="26"/>
        <v>0.21674017534947077</v>
      </c>
      <c r="AO26" s="387">
        <f t="shared" si="27"/>
        <v>8.3552961310931817</v>
      </c>
      <c r="AP26" s="387">
        <f t="shared" si="28"/>
        <v>0.13264084953269531</v>
      </c>
      <c r="AQ26" s="387">
        <f t="shared" si="29"/>
        <v>0.20317460317460323</v>
      </c>
      <c r="AR26" s="387">
        <f t="shared" si="30"/>
        <v>0.34496679033337574</v>
      </c>
      <c r="AS26" s="387">
        <f t="shared" si="31"/>
        <v>0.73646903414794906</v>
      </c>
      <c r="AT26" s="387">
        <f t="shared" si="32"/>
        <v>0</v>
      </c>
      <c r="AU26" s="387">
        <f t="shared" si="33"/>
        <v>8.8703999999999991E-2</v>
      </c>
      <c r="AV26" s="387">
        <f t="shared" si="34"/>
        <v>0.4751529621752465</v>
      </c>
      <c r="AW26" s="387">
        <f t="shared" si="35"/>
        <v>0</v>
      </c>
      <c r="AX26" s="387">
        <f t="shared" si="36"/>
        <v>3.6000000000000004E-2</v>
      </c>
      <c r="AY26" s="387">
        <f t="shared" si="37"/>
        <v>0.118272</v>
      </c>
      <c r="AZ26" s="387">
        <f t="shared" si="38"/>
        <v>7.3471999999999996E-2</v>
      </c>
      <c r="BA26" s="387">
        <f t="shared" si="56"/>
        <v>0.15427200000000002</v>
      </c>
      <c r="BB26" s="387">
        <f t="shared" si="57"/>
        <v>3.3264380791254982</v>
      </c>
      <c r="BC26">
        <f t="shared" si="39"/>
        <v>72</v>
      </c>
      <c r="BD26" s="606">
        <f t="shared" si="50"/>
        <v>0.95583970032365939</v>
      </c>
      <c r="BE26" s="616">
        <f t="shared" si="40"/>
        <v>15.272208767473538</v>
      </c>
      <c r="BF26" s="616">
        <f t="shared" si="41"/>
        <v>17.248339516668786</v>
      </c>
      <c r="BG26" s="9"/>
      <c r="BH26" s="4">
        <f t="shared" si="51"/>
        <v>95.58397003236594</v>
      </c>
      <c r="BI26" s="387">
        <f t="shared" si="52"/>
        <v>0.96328658724596483</v>
      </c>
      <c r="BJ26" s="387">
        <f t="shared" si="53"/>
        <v>1.5140953625437572</v>
      </c>
      <c r="BK26" s="387">
        <f t="shared" si="54"/>
        <v>2.9272319999999998E-2</v>
      </c>
      <c r="BL26" s="387">
        <f t="shared" si="55"/>
        <v>0.4751529621752465</v>
      </c>
      <c r="BP26" t="s">
        <v>154</v>
      </c>
      <c r="BQ26">
        <v>9.9989640000000009</v>
      </c>
      <c r="BR26">
        <v>0.1027</v>
      </c>
      <c r="BS26">
        <v>5.1211359999999999</v>
      </c>
      <c r="BT26">
        <v>61.870683235325004</v>
      </c>
      <c r="BU26">
        <v>324.12365701136014</v>
      </c>
    </row>
    <row r="27" spans="1:82" x14ac:dyDescent="0.2">
      <c r="A27" s="22" t="s">
        <v>65</v>
      </c>
      <c r="B27" s="5">
        <f>RdsonDRT</f>
        <v>1.5</v>
      </c>
      <c r="C27" s="487" t="s">
        <v>120</v>
      </c>
      <c r="D27" s="483" t="s">
        <v>722</v>
      </c>
      <c r="G27">
        <v>18</v>
      </c>
      <c r="H27" s="612">
        <f t="shared" si="0"/>
        <v>6.71</v>
      </c>
      <c r="I27" s="446" t="str">
        <f t="shared" si="1"/>
        <v>BOOST</v>
      </c>
      <c r="J27">
        <f t="shared" si="43"/>
        <v>2</v>
      </c>
      <c r="K27">
        <f t="shared" si="2"/>
        <v>6</v>
      </c>
      <c r="L27" s="4">
        <f t="shared" si="3"/>
        <v>11.177347242921014</v>
      </c>
      <c r="M27" s="4">
        <f t="shared" si="4"/>
        <v>10.940052382299529</v>
      </c>
      <c r="N27" s="387">
        <f t="shared" si="5"/>
        <v>1</v>
      </c>
      <c r="O27" s="387">
        <f t="shared" si="44"/>
        <v>0.45155655655655658</v>
      </c>
      <c r="P27" s="4">
        <f t="shared" si="6"/>
        <v>2.8017609650631976</v>
      </c>
      <c r="Q27" s="387">
        <f t="shared" si="7"/>
        <v>11.206571588326199</v>
      </c>
      <c r="R27" s="387">
        <f t="shared" si="8"/>
        <v>0.80186117869076812</v>
      </c>
      <c r="S27" s="387">
        <f t="shared" si="45"/>
        <v>0.135918107832291</v>
      </c>
      <c r="T27" s="387">
        <f t="shared" si="46"/>
        <v>0.93777928652305909</v>
      </c>
      <c r="U27" s="4">
        <f t="shared" si="9"/>
        <v>5.4935332829253136</v>
      </c>
      <c r="V27" s="387">
        <f t="shared" si="10"/>
        <v>0.21125235551425722</v>
      </c>
      <c r="W27" s="387">
        <f t="shared" si="47"/>
        <v>0.21125235551425722</v>
      </c>
      <c r="X27" s="387">
        <f t="shared" si="11"/>
        <v>0.80879872369211148</v>
      </c>
      <c r="Y27" s="387">
        <f t="shared" si="12"/>
        <v>1.3083107508919769E-3</v>
      </c>
      <c r="Z27" s="605">
        <f t="shared" si="48"/>
        <v>1.3083107508919769E-3</v>
      </c>
      <c r="AA27" s="387">
        <f t="shared" si="13"/>
        <v>11.206571588326199</v>
      </c>
      <c r="AB27" s="387">
        <f t="shared" si="14"/>
        <v>0.71584730655639595</v>
      </c>
      <c r="AC27" s="387">
        <f t="shared" si="15"/>
        <v>0</v>
      </c>
      <c r="AD27">
        <f t="shared" si="16"/>
        <v>0</v>
      </c>
      <c r="AE27" s="387">
        <f t="shared" si="17"/>
        <v>0.83545960867818359</v>
      </c>
      <c r="AF27" s="387">
        <f t="shared" si="18"/>
        <v>0</v>
      </c>
      <c r="AG27" s="387">
        <f t="shared" si="19"/>
        <v>0</v>
      </c>
      <c r="AH27" s="387">
        <f t="shared" si="20"/>
        <v>0</v>
      </c>
      <c r="AI27" s="387">
        <f t="shared" si="21"/>
        <v>0</v>
      </c>
      <c r="AJ27" s="387">
        <f t="shared" si="22"/>
        <v>7.5305872743297266</v>
      </c>
      <c r="AK27" s="387">
        <f t="shared" si="23"/>
        <v>0.10774851492296396</v>
      </c>
      <c r="AL27" s="387">
        <f t="shared" si="24"/>
        <v>9.7597938574093573E-2</v>
      </c>
      <c r="AM27">
        <f t="shared" si="25"/>
        <v>0</v>
      </c>
      <c r="AN27" s="387">
        <f t="shared" si="26"/>
        <v>0.20986906961286766</v>
      </c>
      <c r="AO27" s="387">
        <f t="shared" si="27"/>
        <v>8.2992470783790484</v>
      </c>
      <c r="AP27" s="387">
        <f t="shared" si="28"/>
        <v>0.13086725392916804</v>
      </c>
      <c r="AQ27" s="387">
        <f t="shared" si="29"/>
        <v>0.20029806259314459</v>
      </c>
      <c r="AR27" s="387">
        <f t="shared" si="30"/>
        <v>0.34006601770053191</v>
      </c>
      <c r="AS27" s="387">
        <f t="shared" si="31"/>
        <v>0.71584730655639595</v>
      </c>
      <c r="AT27" s="387">
        <f t="shared" si="32"/>
        <v>0</v>
      </c>
      <c r="AU27" s="387">
        <f t="shared" si="33"/>
        <v>8.8703999999999991E-2</v>
      </c>
      <c r="AV27" s="387">
        <f t="shared" si="34"/>
        <v>0.4536779575703746</v>
      </c>
      <c r="AW27" s="387">
        <f t="shared" si="35"/>
        <v>0</v>
      </c>
      <c r="AX27" s="387">
        <f t="shared" si="36"/>
        <v>3.6000000000000004E-2</v>
      </c>
      <c r="AY27" s="387">
        <f t="shared" si="37"/>
        <v>0.118272</v>
      </c>
      <c r="AZ27" s="387">
        <f t="shared" si="38"/>
        <v>7.3471999999999996E-2</v>
      </c>
      <c r="BA27" s="387">
        <f t="shared" si="56"/>
        <v>0.15427200000000002</v>
      </c>
      <c r="BB27" s="387">
        <f t="shared" si="57"/>
        <v>3.2323886063501659</v>
      </c>
      <c r="BC27">
        <f t="shared" si="39"/>
        <v>72</v>
      </c>
      <c r="BD27" s="606">
        <f t="shared" si="50"/>
        <v>0.95703461413057767</v>
      </c>
      <c r="BE27" s="616">
        <f t="shared" si="40"/>
        <v>14.928653480643383</v>
      </c>
      <c r="BF27" s="616">
        <f t="shared" si="41"/>
        <v>17.003300885026597</v>
      </c>
      <c r="BG27" s="9"/>
      <c r="BH27" s="4">
        <f t="shared" si="51"/>
        <v>95.703461413057767</v>
      </c>
      <c r="BI27" s="387">
        <f t="shared" si="52"/>
        <v>0.93777928652305909</v>
      </c>
      <c r="BJ27" s="387">
        <f t="shared" si="53"/>
        <v>1.4740986959915832</v>
      </c>
      <c r="BK27" s="387">
        <f t="shared" si="54"/>
        <v>2.9272319999999998E-2</v>
      </c>
      <c r="BL27" s="387">
        <f t="shared" si="55"/>
        <v>0.4536779575703746</v>
      </c>
      <c r="BP27" t="s">
        <v>155</v>
      </c>
      <c r="BQ27">
        <v>9.9986669999999993</v>
      </c>
      <c r="BR27">
        <v>0.1166</v>
      </c>
      <c r="BS27">
        <v>5.1212980000000003</v>
      </c>
      <c r="BT27">
        <v>64.729420570558148</v>
      </c>
      <c r="BU27">
        <v>325.37886459483997</v>
      </c>
    </row>
    <row r="28" spans="1:82" x14ac:dyDescent="0.2">
      <c r="A28" s="22" t="s">
        <v>150</v>
      </c>
      <c r="B28" s="5">
        <f>RdsonDRT2</f>
        <v>1</v>
      </c>
      <c r="C28" s="487" t="s">
        <v>120</v>
      </c>
      <c r="D28" s="483" t="s">
        <v>721</v>
      </c>
      <c r="G28">
        <v>19</v>
      </c>
      <c r="H28" s="612">
        <f t="shared" si="0"/>
        <v>6.8049999999999997</v>
      </c>
      <c r="I28" s="446" t="str">
        <f t="shared" si="1"/>
        <v>BOOST</v>
      </c>
      <c r="J28">
        <f t="shared" si="43"/>
        <v>2</v>
      </c>
      <c r="K28">
        <f t="shared" si="2"/>
        <v>6</v>
      </c>
      <c r="L28" s="4">
        <f t="shared" si="3"/>
        <v>11.021307861866276</v>
      </c>
      <c r="M28" s="4">
        <f t="shared" si="4"/>
        <v>10.780324511351692</v>
      </c>
      <c r="N28" s="387">
        <f t="shared" si="5"/>
        <v>1</v>
      </c>
      <c r="O28" s="387">
        <f t="shared" si="44"/>
        <v>0.44343048359240078</v>
      </c>
      <c r="P28" s="4">
        <f t="shared" si="6"/>
        <v>2.7923995224483842</v>
      </c>
      <c r="Q28" s="387">
        <f t="shared" si="7"/>
        <v>11.050747406568611</v>
      </c>
      <c r="R28" s="387">
        <f t="shared" si="8"/>
        <v>0.77833805122801458</v>
      </c>
      <c r="S28" s="387">
        <f t="shared" si="45"/>
        <v>0.13487404972834741</v>
      </c>
      <c r="T28" s="387">
        <f t="shared" si="46"/>
        <v>0.91321210095636196</v>
      </c>
      <c r="U28" s="4">
        <f t="shared" si="9"/>
        <v>5.4036699795190639</v>
      </c>
      <c r="V28" s="387">
        <f t="shared" si="10"/>
        <v>0.20439754473288893</v>
      </c>
      <c r="W28" s="387">
        <f t="shared" si="47"/>
        <v>0.20439754473288893</v>
      </c>
      <c r="X28" s="387">
        <f t="shared" si="11"/>
        <v>0.80609630798527854</v>
      </c>
      <c r="Y28" s="387">
        <f t="shared" si="12"/>
        <v>1.299582515494994E-3</v>
      </c>
      <c r="Z28" s="605">
        <f t="shared" si="48"/>
        <v>1.299582515494994E-3</v>
      </c>
      <c r="AA28" s="387">
        <f t="shared" si="13"/>
        <v>11.050747406568611</v>
      </c>
      <c r="AB28" s="387">
        <f t="shared" si="14"/>
        <v>0.69607840398956244</v>
      </c>
      <c r="AC28" s="387">
        <f t="shared" si="15"/>
        <v>0</v>
      </c>
      <c r="AD28">
        <f t="shared" si="16"/>
        <v>0</v>
      </c>
      <c r="AE28" s="387">
        <f t="shared" si="17"/>
        <v>0.80865599948985956</v>
      </c>
      <c r="AF28" s="387">
        <f t="shared" si="18"/>
        <v>0</v>
      </c>
      <c r="AG28" s="387">
        <f t="shared" si="19"/>
        <v>0</v>
      </c>
      <c r="AH28" s="387">
        <f t="shared" si="20"/>
        <v>0</v>
      </c>
      <c r="AI28" s="387">
        <f t="shared" si="21"/>
        <v>0</v>
      </c>
      <c r="AJ28" s="387">
        <f t="shared" si="22"/>
        <v>7.3587563701803491</v>
      </c>
      <c r="AK28" s="387">
        <f t="shared" si="23"/>
        <v>0.10288746109977276</v>
      </c>
      <c r="AL28" s="387">
        <f t="shared" si="24"/>
        <v>9.6235439798996042E-2</v>
      </c>
      <c r="AM28">
        <f t="shared" si="25"/>
        <v>0</v>
      </c>
      <c r="AN28" s="387">
        <f t="shared" si="26"/>
        <v>0.2033064375354206</v>
      </c>
      <c r="AO28" s="387">
        <f t="shared" si="27"/>
        <v>8.2442539339902083</v>
      </c>
      <c r="AP28" s="387">
        <f t="shared" si="28"/>
        <v>0.12913867356341474</v>
      </c>
      <c r="AQ28" s="387">
        <f t="shared" si="29"/>
        <v>0.19750183688464371</v>
      </c>
      <c r="AR28" s="387">
        <f t="shared" si="30"/>
        <v>0.33530056447636686</v>
      </c>
      <c r="AS28" s="387">
        <f t="shared" si="31"/>
        <v>0.69607840398956244</v>
      </c>
      <c r="AT28" s="387">
        <f t="shared" si="32"/>
        <v>0</v>
      </c>
      <c r="AU28" s="387">
        <f t="shared" si="33"/>
        <v>8.8703999999999991E-2</v>
      </c>
      <c r="AV28" s="387">
        <f t="shared" si="34"/>
        <v>0.43321036252535899</v>
      </c>
      <c r="AW28" s="387">
        <f t="shared" si="35"/>
        <v>0</v>
      </c>
      <c r="AX28" s="387">
        <f t="shared" si="36"/>
        <v>3.6000000000000004E-2</v>
      </c>
      <c r="AY28" s="387">
        <f t="shared" si="37"/>
        <v>0.118272</v>
      </c>
      <c r="AZ28" s="387">
        <f t="shared" si="38"/>
        <v>7.3471999999999996E-2</v>
      </c>
      <c r="BA28" s="387">
        <f t="shared" si="56"/>
        <v>0.15427200000000002</v>
      </c>
      <c r="BB28" s="387">
        <f t="shared" si="57"/>
        <v>3.1423585922317518</v>
      </c>
      <c r="BC28">
        <f t="shared" si="39"/>
        <v>72</v>
      </c>
      <c r="BD28" s="606">
        <f t="shared" si="50"/>
        <v>0.95818126219215305</v>
      </c>
      <c r="BE28" s="616">
        <f t="shared" si="40"/>
        <v>14.60052187677103</v>
      </c>
      <c r="BF28" s="616">
        <f t="shared" si="41"/>
        <v>16.765028223818344</v>
      </c>
      <c r="BG28" s="9"/>
      <c r="BH28" s="4">
        <f t="shared" si="51"/>
        <v>95.818126219215301</v>
      </c>
      <c r="BI28" s="387">
        <f t="shared" si="52"/>
        <v>0.91321210095636196</v>
      </c>
      <c r="BJ28" s="387">
        <f t="shared" si="53"/>
        <v>1.435967001501647</v>
      </c>
      <c r="BK28" s="387">
        <f t="shared" si="54"/>
        <v>2.9272319999999998E-2</v>
      </c>
      <c r="BL28" s="387">
        <f t="shared" si="55"/>
        <v>0.43321036252535899</v>
      </c>
      <c r="BP28" t="s">
        <v>156</v>
      </c>
      <c r="BQ28">
        <v>9.9987659999999998</v>
      </c>
      <c r="BR28">
        <v>0.14660000000000001</v>
      </c>
      <c r="BS28">
        <v>5.1213230000000003</v>
      </c>
      <c r="BT28">
        <v>69.885376918691776</v>
      </c>
      <c r="BU28">
        <v>323.52446193379996</v>
      </c>
    </row>
    <row r="29" spans="1:82" x14ac:dyDescent="0.2">
      <c r="A29" s="24" t="s">
        <v>117</v>
      </c>
      <c r="B29" s="15" t="s">
        <v>115</v>
      </c>
      <c r="C29" s="24" t="s">
        <v>80</v>
      </c>
      <c r="D29" s="17" t="s">
        <v>111</v>
      </c>
      <c r="G29">
        <v>20</v>
      </c>
      <c r="H29" s="612">
        <f t="shared" si="0"/>
        <v>6.9</v>
      </c>
      <c r="I29" s="446" t="str">
        <f t="shared" si="1"/>
        <v>BOOST</v>
      </c>
      <c r="J29">
        <f t="shared" si="43"/>
        <v>2</v>
      </c>
      <c r="K29">
        <f t="shared" si="2"/>
        <v>6</v>
      </c>
      <c r="L29" s="4">
        <f t="shared" si="3"/>
        <v>10.869565217391305</v>
      </c>
      <c r="M29" s="4">
        <f t="shared" si="4"/>
        <v>10.625302956858944</v>
      </c>
      <c r="N29" s="387">
        <f t="shared" si="5"/>
        <v>1</v>
      </c>
      <c r="O29" s="387">
        <f t="shared" si="44"/>
        <v>0.43531021897810224</v>
      </c>
      <c r="P29" s="4">
        <f t="shared" si="6"/>
        <v>2.7815421249911987</v>
      </c>
      <c r="Q29" s="387">
        <f t="shared" si="7"/>
        <v>10.899183275115064</v>
      </c>
      <c r="R29" s="387">
        <f t="shared" si="8"/>
        <v>0.75585205249061027</v>
      </c>
      <c r="S29" s="387">
        <f t="shared" si="45"/>
        <v>0.1336688553160241</v>
      </c>
      <c r="T29" s="387">
        <f t="shared" si="46"/>
        <v>0.8895209078066344</v>
      </c>
      <c r="U29" s="4">
        <f t="shared" si="9"/>
        <v>5.3149641188245829</v>
      </c>
      <c r="V29" s="387">
        <f t="shared" si="10"/>
        <v>0.1977419050907494</v>
      </c>
      <c r="W29" s="387">
        <f t="shared" si="47"/>
        <v>0.1977419050907494</v>
      </c>
      <c r="X29" s="387">
        <f t="shared" si="11"/>
        <v>0.80296204731297616</v>
      </c>
      <c r="Y29" s="387">
        <f t="shared" si="12"/>
        <v>1.2894960988500924E-3</v>
      </c>
      <c r="Z29" s="605">
        <f t="shared" si="48"/>
        <v>1.2894960988500924E-3</v>
      </c>
      <c r="AA29" s="387">
        <f t="shared" si="13"/>
        <v>10.899183275115064</v>
      </c>
      <c r="AB29" s="387">
        <f t="shared" si="14"/>
        <v>0.67711551756792332</v>
      </c>
      <c r="AC29" s="387">
        <f t="shared" si="15"/>
        <v>0</v>
      </c>
      <c r="AD29">
        <f t="shared" si="16"/>
        <v>0</v>
      </c>
      <c r="AE29" s="387">
        <f t="shared" si="17"/>
        <v>0.7831755860232642</v>
      </c>
      <c r="AF29" s="387">
        <f t="shared" si="18"/>
        <v>0</v>
      </c>
      <c r="AG29" s="387">
        <f t="shared" si="19"/>
        <v>0</v>
      </c>
      <c r="AH29" s="387">
        <f t="shared" si="20"/>
        <v>0</v>
      </c>
      <c r="AI29" s="387">
        <f t="shared" si="21"/>
        <v>0</v>
      </c>
      <c r="AJ29" s="387">
        <f t="shared" si="22"/>
        <v>7.1910678540636805</v>
      </c>
      <c r="AK29" s="387">
        <f t="shared" si="23"/>
        <v>9.8251768075321252E-2</v>
      </c>
      <c r="AL29" s="387">
        <f t="shared" si="24"/>
        <v>9.4910459106111303E-2</v>
      </c>
      <c r="AM29">
        <f t="shared" si="25"/>
        <v>0</v>
      </c>
      <c r="AN29" s="387">
        <f t="shared" si="26"/>
        <v>0.19703401525539707</v>
      </c>
      <c r="AO29" s="387">
        <f t="shared" si="27"/>
        <v>8.1902832174961997</v>
      </c>
      <c r="AP29" s="387">
        <f t="shared" si="28"/>
        <v>0.12745340444731981</v>
      </c>
      <c r="AQ29" s="387">
        <f t="shared" si="29"/>
        <v>0.1947826086956522</v>
      </c>
      <c r="AR29" s="387">
        <f t="shared" si="30"/>
        <v>0.33066488623945278</v>
      </c>
      <c r="AS29" s="387">
        <f t="shared" si="31"/>
        <v>0.67711551756792332</v>
      </c>
      <c r="AT29" s="387">
        <f t="shared" si="32"/>
        <v>0</v>
      </c>
      <c r="AU29" s="387">
        <f t="shared" si="33"/>
        <v>8.8703999999999991E-2</v>
      </c>
      <c r="AV29" s="387">
        <f t="shared" si="34"/>
        <v>0.41369165505398425</v>
      </c>
      <c r="AW29" s="387">
        <f t="shared" si="35"/>
        <v>0</v>
      </c>
      <c r="AX29" s="387">
        <f t="shared" si="36"/>
        <v>3.6000000000000004E-2</v>
      </c>
      <c r="AY29" s="387">
        <f t="shared" si="37"/>
        <v>0.118272</v>
      </c>
      <c r="AZ29" s="387">
        <f t="shared" si="38"/>
        <v>7.3471999999999996E-2</v>
      </c>
      <c r="BA29" s="387">
        <f t="shared" si="56"/>
        <v>0.15427200000000002</v>
      </c>
      <c r="BB29" s="387">
        <f t="shared" si="57"/>
        <v>3.0560944515683324</v>
      </c>
      <c r="BC29">
        <f t="shared" si="39"/>
        <v>72</v>
      </c>
      <c r="BD29" s="606">
        <f t="shared" si="50"/>
        <v>0.95928252763617561</v>
      </c>
      <c r="BE29" s="616">
        <f t="shared" si="40"/>
        <v>14.286900762769852</v>
      </c>
      <c r="BF29" s="616">
        <f t="shared" si="41"/>
        <v>16.533244311972638</v>
      </c>
      <c r="BG29" s="9"/>
      <c r="BH29" s="4">
        <f t="shared" si="51"/>
        <v>95.928252763617564</v>
      </c>
      <c r="BI29" s="387">
        <f t="shared" si="52"/>
        <v>0.8895209078066344</v>
      </c>
      <c r="BJ29" s="387">
        <f t="shared" si="53"/>
        <v>1.3995784875181139</v>
      </c>
      <c r="BK29" s="387">
        <f t="shared" si="54"/>
        <v>2.9272319999999998E-2</v>
      </c>
      <c r="BL29" s="387">
        <f t="shared" si="55"/>
        <v>0.41369165505398425</v>
      </c>
      <c r="BP29" t="s">
        <v>157</v>
      </c>
      <c r="BQ29">
        <v>9.9987899999999996</v>
      </c>
      <c r="BR29">
        <v>0.1958</v>
      </c>
      <c r="BS29">
        <v>5.1217600000000001</v>
      </c>
      <c r="BT29">
        <v>75.662516566515876</v>
      </c>
      <c r="BU29">
        <v>322.57199766699983</v>
      </c>
    </row>
    <row r="30" spans="1:82" x14ac:dyDescent="0.2">
      <c r="A30" s="22" t="s">
        <v>64</v>
      </c>
      <c r="B30" s="27">
        <f>RdsonDRB</f>
        <v>1.5</v>
      </c>
      <c r="C30" s="487" t="s">
        <v>120</v>
      </c>
      <c r="D30" s="483" t="s">
        <v>720</v>
      </c>
      <c r="G30">
        <v>21</v>
      </c>
      <c r="H30" s="612">
        <f t="shared" si="0"/>
        <v>6.9950000000000001</v>
      </c>
      <c r="I30" s="446" t="str">
        <f t="shared" si="1"/>
        <v>BOOST</v>
      </c>
      <c r="J30">
        <f t="shared" si="43"/>
        <v>2</v>
      </c>
      <c r="K30">
        <f t="shared" si="2"/>
        <v>6</v>
      </c>
      <c r="L30" s="4">
        <f t="shared" si="3"/>
        <v>10.721944245889921</v>
      </c>
      <c r="M30" s="4">
        <f t="shared" si="4"/>
        <v>10.474778489249285</v>
      </c>
      <c r="N30" s="387">
        <f t="shared" si="5"/>
        <v>1</v>
      </c>
      <c r="O30" s="387">
        <f t="shared" si="44"/>
        <v>0.4271955243580513</v>
      </c>
      <c r="P30" s="4">
        <f t="shared" si="6"/>
        <v>2.7691915501860027</v>
      </c>
      <c r="Q30" s="387">
        <f t="shared" si="7"/>
        <v>10.751703286709528</v>
      </c>
      <c r="R30" s="387">
        <f t="shared" si="8"/>
        <v>0.73434157794027055</v>
      </c>
      <c r="S30" s="387">
        <f t="shared" si="45"/>
        <v>0.13230535358735523</v>
      </c>
      <c r="T30" s="387">
        <f t="shared" si="46"/>
        <v>0.86664693152762573</v>
      </c>
      <c r="U30" s="4">
        <f t="shared" si="9"/>
        <v>5.2273569862724614</v>
      </c>
      <c r="V30" s="387">
        <f t="shared" si="10"/>
        <v>0.19127682743352056</v>
      </c>
      <c r="W30" s="387">
        <f t="shared" si="47"/>
        <v>0.19127682743352056</v>
      </c>
      <c r="X30" s="387">
        <f t="shared" si="11"/>
        <v>0.79939674346876288</v>
      </c>
      <c r="Y30" s="387">
        <f t="shared" si="12"/>
        <v>1.2780703069369263E-3</v>
      </c>
      <c r="Z30" s="605">
        <f t="shared" si="48"/>
        <v>1.2780703069369263E-3</v>
      </c>
      <c r="AA30" s="387">
        <f t="shared" si="13"/>
        <v>10.751703286709528</v>
      </c>
      <c r="AB30" s="387">
        <f t="shared" si="14"/>
        <v>0.65891500432301064</v>
      </c>
      <c r="AC30" s="387">
        <f t="shared" si="15"/>
        <v>0</v>
      </c>
      <c r="AD30">
        <f t="shared" si="16"/>
        <v>0</v>
      </c>
      <c r="AE30" s="387">
        <f t="shared" si="17"/>
        <v>0.75892893709658094</v>
      </c>
      <c r="AF30" s="387">
        <f t="shared" si="18"/>
        <v>0</v>
      </c>
      <c r="AG30" s="387">
        <f t="shared" si="19"/>
        <v>0</v>
      </c>
      <c r="AH30" s="387">
        <f t="shared" si="20"/>
        <v>0</v>
      </c>
      <c r="AI30" s="387">
        <f t="shared" si="21"/>
        <v>0</v>
      </c>
      <c r="AJ30" s="387">
        <f t="shared" si="22"/>
        <v>7.0273343599738798</v>
      </c>
      <c r="AK30" s="387">
        <f t="shared" si="23"/>
        <v>9.382851359305204E-2</v>
      </c>
      <c r="AL30" s="387">
        <f t="shared" si="24"/>
        <v>9.3621467881653736E-2</v>
      </c>
      <c r="AM30">
        <f t="shared" si="25"/>
        <v>0</v>
      </c>
      <c r="AN30" s="387">
        <f t="shared" si="26"/>
        <v>0.19103488534191598</v>
      </c>
      <c r="AO30" s="387">
        <f t="shared" si="27"/>
        <v>8.1373027078123972</v>
      </c>
      <c r="AP30" s="387">
        <f t="shared" si="28"/>
        <v>0.12580982118128484</v>
      </c>
      <c r="AQ30" s="387">
        <f t="shared" si="29"/>
        <v>0.1921372408863474</v>
      </c>
      <c r="AR30" s="387">
        <f t="shared" si="30"/>
        <v>0.32615373057180169</v>
      </c>
      <c r="AS30" s="387">
        <f t="shared" si="31"/>
        <v>0.65891500432301064</v>
      </c>
      <c r="AT30" s="387">
        <f t="shared" si="32"/>
        <v>0</v>
      </c>
      <c r="AU30" s="387">
        <f t="shared" si="33"/>
        <v>8.8703999999999991E-2</v>
      </c>
      <c r="AV30" s="387">
        <f t="shared" si="34"/>
        <v>0.39506742565495595</v>
      </c>
      <c r="AW30" s="387">
        <f t="shared" si="35"/>
        <v>0</v>
      </c>
      <c r="AX30" s="387">
        <f t="shared" si="36"/>
        <v>3.6000000000000004E-2</v>
      </c>
      <c r="AY30" s="387">
        <f t="shared" si="37"/>
        <v>0.118272</v>
      </c>
      <c r="AZ30" s="387">
        <f t="shared" si="38"/>
        <v>7.3471999999999996E-2</v>
      </c>
      <c r="BA30" s="387">
        <f t="shared" si="56"/>
        <v>0.15427200000000002</v>
      </c>
      <c r="BB30" s="387">
        <f t="shared" si="57"/>
        <v>2.9733628079333378</v>
      </c>
      <c r="BC30">
        <f t="shared" si="39"/>
        <v>72</v>
      </c>
      <c r="BD30" s="606">
        <f t="shared" si="50"/>
        <v>0.96034107719630368</v>
      </c>
      <c r="BE30" s="616">
        <f t="shared" si="40"/>
        <v>13.986944267095799</v>
      </c>
      <c r="BF30" s="616">
        <f t="shared" si="41"/>
        <v>16.307686528590086</v>
      </c>
      <c r="BG30" s="9"/>
      <c r="BH30" s="4">
        <f t="shared" si="51"/>
        <v>96.03410771963037</v>
      </c>
      <c r="BI30" s="387">
        <f t="shared" si="52"/>
        <v>0.86664693152762573</v>
      </c>
      <c r="BJ30" s="387">
        <f t="shared" si="53"/>
        <v>1.3648215530102985</v>
      </c>
      <c r="BK30" s="387">
        <f t="shared" si="54"/>
        <v>2.9272319999999998E-2</v>
      </c>
      <c r="BL30" s="387">
        <f t="shared" si="55"/>
        <v>0.39506742565495595</v>
      </c>
      <c r="BQ30">
        <v>9.9987659999999998</v>
      </c>
      <c r="BR30">
        <v>0.2681</v>
      </c>
      <c r="BS30">
        <v>5.1224080000000001</v>
      </c>
      <c r="BT30">
        <v>80.957553445887683</v>
      </c>
      <c r="BU30">
        <v>323.02506068319997</v>
      </c>
    </row>
    <row r="31" spans="1:82" x14ac:dyDescent="0.2">
      <c r="A31" s="22" t="s">
        <v>149</v>
      </c>
      <c r="B31" s="27">
        <v>1</v>
      </c>
      <c r="C31" s="487" t="s">
        <v>120</v>
      </c>
      <c r="D31" s="483" t="s">
        <v>719</v>
      </c>
      <c r="G31">
        <v>22</v>
      </c>
      <c r="H31" s="612">
        <f t="shared" si="0"/>
        <v>7.09</v>
      </c>
      <c r="I31" s="446" t="str">
        <f t="shared" si="1"/>
        <v>BOOST</v>
      </c>
      <c r="J31">
        <f t="shared" si="43"/>
        <v>2</v>
      </c>
      <c r="K31">
        <f t="shared" si="2"/>
        <v>6</v>
      </c>
      <c r="L31" s="4">
        <f t="shared" si="3"/>
        <v>10.578279266572638</v>
      </c>
      <c r="M31" s="4">
        <f t="shared" si="4"/>
        <v>10.328554312122522</v>
      </c>
      <c r="N31" s="387">
        <f t="shared" si="5"/>
        <v>1</v>
      </c>
      <c r="O31" s="387">
        <f t="shared" si="44"/>
        <v>0.41908617424242428</v>
      </c>
      <c r="P31" s="4">
        <f t="shared" si="6"/>
        <v>2.7553504246117435</v>
      </c>
      <c r="Q31" s="387">
        <f t="shared" si="7"/>
        <v>10.608140988809863</v>
      </c>
      <c r="R31" s="387">
        <f t="shared" si="8"/>
        <v>0.71374959736701415</v>
      </c>
      <c r="S31" s="387">
        <f t="shared" si="45"/>
        <v>0.13078669060758427</v>
      </c>
      <c r="T31" s="387">
        <f t="shared" si="46"/>
        <v>0.84453628797459845</v>
      </c>
      <c r="U31" s="4">
        <f t="shared" si="9"/>
        <v>5.1407922764819904</v>
      </c>
      <c r="V31" s="387">
        <f t="shared" si="10"/>
        <v>0.1849942166095582</v>
      </c>
      <c r="W31" s="387">
        <f t="shared" si="47"/>
        <v>0.1849942166095582</v>
      </c>
      <c r="X31" s="387">
        <f t="shared" si="11"/>
        <v>0.79540115468066996</v>
      </c>
      <c r="Y31" s="387">
        <f t="shared" si="12"/>
        <v>1.2653259937346862E-3</v>
      </c>
      <c r="Z31" s="605">
        <f t="shared" si="48"/>
        <v>1.2653259937346862E-3</v>
      </c>
      <c r="AA31" s="387">
        <f t="shared" si="13"/>
        <v>10.608140988809863</v>
      </c>
      <c r="AB31" s="387">
        <f t="shared" si="14"/>
        <v>0.64143613485926698</v>
      </c>
      <c r="AC31" s="387">
        <f t="shared" si="15"/>
        <v>0</v>
      </c>
      <c r="AD31">
        <f t="shared" si="16"/>
        <v>0</v>
      </c>
      <c r="AE31" s="387">
        <f t="shared" si="17"/>
        <v>0.73583427329056206</v>
      </c>
      <c r="AF31" s="387">
        <f t="shared" si="18"/>
        <v>0</v>
      </c>
      <c r="AG31" s="387">
        <f t="shared" si="19"/>
        <v>0</v>
      </c>
      <c r="AH31" s="387">
        <f t="shared" si="20"/>
        <v>0</v>
      </c>
      <c r="AI31" s="387">
        <f t="shared" si="21"/>
        <v>0</v>
      </c>
      <c r="AJ31" s="387">
        <f t="shared" si="22"/>
        <v>6.8673779538650139</v>
      </c>
      <c r="AK31" s="387">
        <f t="shared" si="23"/>
        <v>8.9605671926339323E-2</v>
      </c>
      <c r="AL31" s="387">
        <f t="shared" si="24"/>
        <v>9.23670194403622E-2</v>
      </c>
      <c r="AM31">
        <f t="shared" si="25"/>
        <v>0</v>
      </c>
      <c r="AN31" s="387">
        <f t="shared" si="26"/>
        <v>0.18529335854590023</v>
      </c>
      <c r="AO31" s="387">
        <f t="shared" si="27"/>
        <v>8.0852813975295064</v>
      </c>
      <c r="AP31" s="387">
        <f t="shared" si="28"/>
        <v>0.12420637302674972</v>
      </c>
      <c r="AQ31" s="387">
        <f t="shared" si="29"/>
        <v>0.1895627644569817</v>
      </c>
      <c r="AR31" s="387">
        <f t="shared" si="30"/>
        <v>0.32176211863022397</v>
      </c>
      <c r="AS31" s="387">
        <f t="shared" si="31"/>
        <v>0.64143613485926698</v>
      </c>
      <c r="AT31" s="387">
        <f t="shared" si="32"/>
        <v>0</v>
      </c>
      <c r="AU31" s="387">
        <f t="shared" si="33"/>
        <v>8.8703999999999991E-2</v>
      </c>
      <c r="AV31" s="387">
        <f t="shared" si="34"/>
        <v>0.37728703968984978</v>
      </c>
      <c r="AW31" s="387">
        <f t="shared" si="35"/>
        <v>0</v>
      </c>
      <c r="AX31" s="387">
        <f t="shared" si="36"/>
        <v>3.6000000000000004E-2</v>
      </c>
      <c r="AY31" s="387">
        <f t="shared" si="37"/>
        <v>0.118272</v>
      </c>
      <c r="AZ31" s="387">
        <f t="shared" si="38"/>
        <v>7.3471999999999996E-2</v>
      </c>
      <c r="BA31" s="387">
        <f t="shared" si="56"/>
        <v>0.15427200000000002</v>
      </c>
      <c r="BB31" s="387">
        <f t="shared" si="57"/>
        <v>2.8939486207344274</v>
      </c>
      <c r="BC31">
        <f t="shared" si="39"/>
        <v>72</v>
      </c>
      <c r="BD31" s="606">
        <f t="shared" si="50"/>
        <v>0.96135937984269626</v>
      </c>
      <c r="BE31" s="616">
        <f t="shared" si="40"/>
        <v>13.699867927295012</v>
      </c>
      <c r="BF31" s="616">
        <f t="shared" si="41"/>
        <v>16.088105931511198</v>
      </c>
      <c r="BG31" s="9"/>
      <c r="BH31" s="4">
        <f t="shared" si="51"/>
        <v>96.135937984269631</v>
      </c>
      <c r="BI31" s="387">
        <f t="shared" si="52"/>
        <v>0.84453628797459845</v>
      </c>
      <c r="BJ31" s="387">
        <f t="shared" si="53"/>
        <v>1.3315937504666862</v>
      </c>
      <c r="BK31" s="387">
        <f t="shared" si="54"/>
        <v>2.9272319999999998E-2</v>
      </c>
      <c r="BL31" s="387">
        <f t="shared" si="55"/>
        <v>0.37728703968984978</v>
      </c>
      <c r="BQ31">
        <v>9.998704</v>
      </c>
      <c r="BR31">
        <v>0.36549999999999999</v>
      </c>
      <c r="BS31">
        <v>5.123094</v>
      </c>
      <c r="BT31">
        <v>85.419022273213088</v>
      </c>
      <c r="BU31">
        <v>319.63300692320018</v>
      </c>
    </row>
    <row r="32" spans="1:82" x14ac:dyDescent="0.2">
      <c r="A32" s="24" t="s">
        <v>66</v>
      </c>
      <c r="B32" s="15" t="s">
        <v>115</v>
      </c>
      <c r="C32" s="24" t="s">
        <v>80</v>
      </c>
      <c r="D32" s="17" t="s">
        <v>111</v>
      </c>
      <c r="G32">
        <v>23</v>
      </c>
      <c r="H32" s="612">
        <f t="shared" si="0"/>
        <v>7.1850000000000005</v>
      </c>
      <c r="I32" s="446" t="str">
        <f t="shared" si="1"/>
        <v>BOOST</v>
      </c>
      <c r="J32">
        <f t="shared" si="43"/>
        <v>2</v>
      </c>
      <c r="K32">
        <f t="shared" si="2"/>
        <v>6</v>
      </c>
      <c r="L32" s="4">
        <f t="shared" si="3"/>
        <v>10.438413361169101</v>
      </c>
      <c r="M32" s="4">
        <f t="shared" si="4"/>
        <v>10.186445139443475</v>
      </c>
      <c r="N32" s="387">
        <f t="shared" si="5"/>
        <v>1</v>
      </c>
      <c r="O32" s="387">
        <f t="shared" si="44"/>
        <v>0.41098195515066566</v>
      </c>
      <c r="P32" s="4">
        <f t="shared" si="6"/>
        <v>2.740021234043704</v>
      </c>
      <c r="Q32" s="387">
        <f t="shared" si="7"/>
        <v>10.468338766436844</v>
      </c>
      <c r="R32" s="387">
        <f t="shared" si="8"/>
        <v>0.69402324925318581</v>
      </c>
      <c r="S32" s="387">
        <f t="shared" si="45"/>
        <v>0.12911632670271694</v>
      </c>
      <c r="T32" s="387">
        <f t="shared" si="46"/>
        <v>0.82313957595590281</v>
      </c>
      <c r="U32" s="4">
        <f t="shared" si="9"/>
        <v>5.0552158747671276</v>
      </c>
      <c r="V32" s="387">
        <f t="shared" si="10"/>
        <v>0.17888645278348303</v>
      </c>
      <c r="W32" s="387">
        <f t="shared" si="47"/>
        <v>0.17888645278348303</v>
      </c>
      <c r="X32" s="387">
        <f t="shared" si="11"/>
        <v>0.79097599853021161</v>
      </c>
      <c r="Y32" s="387">
        <f t="shared" si="12"/>
        <v>1.2512860605017307E-3</v>
      </c>
      <c r="Z32" s="605">
        <f t="shared" si="48"/>
        <v>1.2512860605017307E-3</v>
      </c>
      <c r="AA32" s="387">
        <f t="shared" si="13"/>
        <v>10.468338766436844</v>
      </c>
      <c r="AB32" s="387">
        <f t="shared" si="14"/>
        <v>0.62464086421464149</v>
      </c>
      <c r="AC32" s="387">
        <f t="shared" si="15"/>
        <v>0</v>
      </c>
      <c r="AD32">
        <f t="shared" si="16"/>
        <v>0</v>
      </c>
      <c r="AE32" s="387">
        <f t="shared" si="17"/>
        <v>0.71381667747660349</v>
      </c>
      <c r="AF32" s="387">
        <f t="shared" si="18"/>
        <v>0</v>
      </c>
      <c r="AG32" s="387">
        <f t="shared" si="19"/>
        <v>0</v>
      </c>
      <c r="AH32" s="387">
        <f t="shared" si="20"/>
        <v>0</v>
      </c>
      <c r="AI32" s="387">
        <f t="shared" si="21"/>
        <v>0</v>
      </c>
      <c r="AJ32" s="387">
        <f t="shared" si="22"/>
        <v>6.7110294611489838</v>
      </c>
      <c r="AK32" s="387">
        <f t="shared" si="23"/>
        <v>8.5572041213978281E-2</v>
      </c>
      <c r="AL32" s="387">
        <f t="shared" si="24"/>
        <v>9.1145743609209171E-2</v>
      </c>
      <c r="AM32">
        <f t="shared" si="25"/>
        <v>0</v>
      </c>
      <c r="AN32" s="387">
        <f t="shared" si="26"/>
        <v>0.17979486758703128</v>
      </c>
      <c r="AO32" s="387">
        <f t="shared" si="27"/>
        <v>8.0341894488787631</v>
      </c>
      <c r="AP32" s="387">
        <f t="shared" si="28"/>
        <v>0.1226415801909022</v>
      </c>
      <c r="AQ32" s="387">
        <f t="shared" si="29"/>
        <v>0.18705636743215029</v>
      </c>
      <c r="AR32" s="387">
        <f t="shared" si="30"/>
        <v>0.31748532808787733</v>
      </c>
      <c r="AS32" s="387">
        <f t="shared" si="31"/>
        <v>0.62464086421464149</v>
      </c>
      <c r="AT32" s="387">
        <f t="shared" si="32"/>
        <v>0</v>
      </c>
      <c r="AU32" s="387">
        <f t="shared" si="33"/>
        <v>8.8703999999999991E-2</v>
      </c>
      <c r="AV32" s="387">
        <f t="shared" si="34"/>
        <v>0.360303331427277</v>
      </c>
      <c r="AW32" s="387">
        <f t="shared" si="35"/>
        <v>0</v>
      </c>
      <c r="AX32" s="387">
        <f t="shared" si="36"/>
        <v>3.6000000000000004E-2</v>
      </c>
      <c r="AY32" s="387">
        <f t="shared" si="37"/>
        <v>0.118272</v>
      </c>
      <c r="AZ32" s="387">
        <f t="shared" si="38"/>
        <v>7.3471999999999996E-2</v>
      </c>
      <c r="BA32" s="387">
        <f t="shared" si="56"/>
        <v>0.15427200000000002</v>
      </c>
      <c r="BB32" s="387">
        <f t="shared" si="57"/>
        <v>2.8176535193786769</v>
      </c>
      <c r="BC32">
        <f t="shared" si="39"/>
        <v>72</v>
      </c>
      <c r="BD32" s="606">
        <f t="shared" si="50"/>
        <v>0.96233972348987296</v>
      </c>
      <c r="BE32" s="616">
        <f t="shared" si="40"/>
        <v>13.424943379351564</v>
      </c>
      <c r="BF32" s="616">
        <f t="shared" si="41"/>
        <v>15.874266404393866</v>
      </c>
      <c r="BG32" s="9"/>
      <c r="BH32" s="4">
        <f t="shared" si="51"/>
        <v>96.233972348987294</v>
      </c>
      <c r="BI32" s="387">
        <f t="shared" si="52"/>
        <v>0.82313957595590281</v>
      </c>
      <c r="BJ32" s="387">
        <f t="shared" si="53"/>
        <v>1.299800873151512</v>
      </c>
      <c r="BK32" s="387">
        <f t="shared" si="54"/>
        <v>2.9272319999999998E-2</v>
      </c>
      <c r="BL32" s="387">
        <f t="shared" si="55"/>
        <v>0.360303331427277</v>
      </c>
      <c r="BQ32">
        <v>9.9987290000000009</v>
      </c>
      <c r="BR32">
        <v>0.49059999999999998</v>
      </c>
      <c r="BS32">
        <v>5.1238169999999998</v>
      </c>
      <c r="BT32">
        <v>88.551850267052174</v>
      </c>
      <c r="BU32">
        <v>324.98153184230057</v>
      </c>
    </row>
    <row r="33" spans="1:73" x14ac:dyDescent="0.2">
      <c r="A33" s="22" t="s">
        <v>66</v>
      </c>
      <c r="B33" s="5">
        <f>Deadtime*1000000000</f>
        <v>50</v>
      </c>
      <c r="C33" s="483" t="s">
        <v>79</v>
      </c>
      <c r="D33" s="21" t="s">
        <v>102</v>
      </c>
      <c r="G33">
        <v>24</v>
      </c>
      <c r="H33" s="612">
        <f t="shared" si="0"/>
        <v>7.2799999999999994</v>
      </c>
      <c r="I33" s="446" t="str">
        <f t="shared" si="1"/>
        <v>BOOST</v>
      </c>
      <c r="J33">
        <f t="shared" si="43"/>
        <v>2</v>
      </c>
      <c r="K33">
        <f t="shared" si="2"/>
        <v>6</v>
      </c>
      <c r="L33" s="4">
        <f t="shared" si="3"/>
        <v>10.302197802197803</v>
      </c>
      <c r="M33" s="4">
        <f t="shared" si="4"/>
        <v>10.048276354623704</v>
      </c>
      <c r="N33" s="387">
        <f t="shared" si="5"/>
        <v>1</v>
      </c>
      <c r="O33" s="387">
        <f t="shared" si="44"/>
        <v>0.40288266482249896</v>
      </c>
      <c r="P33" s="4">
        <f t="shared" si="6"/>
        <v>2.7232063327630631</v>
      </c>
      <c r="Q33" s="387">
        <f t="shared" si="7"/>
        <v>10.332147273591099</v>
      </c>
      <c r="R33" s="387">
        <f t="shared" si="8"/>
        <v>0.67511347704031632</v>
      </c>
      <c r="S33" s="387">
        <f t="shared" si="45"/>
        <v>0.12729803339316142</v>
      </c>
      <c r="T33" s="387">
        <f t="shared" si="46"/>
        <v>0.80241151043347769</v>
      </c>
      <c r="U33" s="4">
        <f t="shared" si="9"/>
        <v>4.970575651964424</v>
      </c>
      <c r="V33" s="387">
        <f t="shared" si="10"/>
        <v>0.17294635618331092</v>
      </c>
      <c r="W33" s="387">
        <f t="shared" si="47"/>
        <v>0.17294635618331092</v>
      </c>
      <c r="X33" s="387">
        <f t="shared" si="11"/>
        <v>0.78612195463982404</v>
      </c>
      <c r="Y33" s="387">
        <f t="shared" si="12"/>
        <v>1.2359754551334752E-3</v>
      </c>
      <c r="Z33" s="605">
        <f t="shared" si="48"/>
        <v>1.2359754551334752E-3</v>
      </c>
      <c r="AA33" s="387">
        <f t="shared" si="13"/>
        <v>10.332147273591099</v>
      </c>
      <c r="AB33" s="387">
        <f t="shared" si="14"/>
        <v>0.60849362351410319</v>
      </c>
      <c r="AC33" s="387">
        <f t="shared" si="15"/>
        <v>0</v>
      </c>
      <c r="AD33">
        <f t="shared" si="16"/>
        <v>0</v>
      </c>
      <c r="AE33" s="387">
        <f t="shared" si="17"/>
        <v>0.69280740063620549</v>
      </c>
      <c r="AF33" s="387">
        <f t="shared" si="18"/>
        <v>0</v>
      </c>
      <c r="AG33" s="387">
        <f t="shared" si="19"/>
        <v>0</v>
      </c>
      <c r="AH33" s="387">
        <f t="shared" si="20"/>
        <v>0</v>
      </c>
      <c r="AI33" s="387">
        <f t="shared" si="21"/>
        <v>0</v>
      </c>
      <c r="AJ33" s="387">
        <f t="shared" si="22"/>
        <v>6.5581278427272549</v>
      </c>
      <c r="AK33" s="387">
        <f t="shared" si="23"/>
        <v>8.1717177522953433E-2</v>
      </c>
      <c r="AL33" s="387">
        <f t="shared" si="24"/>
        <v>8.995634173518792E-2</v>
      </c>
      <c r="AM33">
        <f t="shared" si="25"/>
        <v>0</v>
      </c>
      <c r="AN33" s="387">
        <f t="shared" si="26"/>
        <v>0.17452587158426119</v>
      </c>
      <c r="AO33" s="387">
        <f t="shared" si="27"/>
        <v>7.9839981514039406</v>
      </c>
      <c r="AP33" s="387">
        <f t="shared" si="28"/>
        <v>0.12111403031508092</v>
      </c>
      <c r="AQ33" s="387">
        <f t="shared" si="29"/>
        <v>0.18461538461538465</v>
      </c>
      <c r="AR33" s="387">
        <f t="shared" si="30"/>
        <v>0.31331887733195957</v>
      </c>
      <c r="AS33" s="387">
        <f t="shared" si="31"/>
        <v>0.60849362351410319</v>
      </c>
      <c r="AT33" s="387">
        <f t="shared" si="32"/>
        <v>0</v>
      </c>
      <c r="AU33" s="387">
        <f t="shared" si="33"/>
        <v>8.8703999999999991E-2</v>
      </c>
      <c r="AV33" s="387">
        <f t="shared" si="34"/>
        <v>0.34407232641243551</v>
      </c>
      <c r="AW33" s="387">
        <f t="shared" si="35"/>
        <v>0</v>
      </c>
      <c r="AX33" s="387">
        <f t="shared" si="36"/>
        <v>3.6000000000000004E-2</v>
      </c>
      <c r="AY33" s="387">
        <f t="shared" si="37"/>
        <v>0.118272</v>
      </c>
      <c r="AZ33" s="387">
        <f t="shared" si="38"/>
        <v>7.3471999999999996E-2</v>
      </c>
      <c r="BA33" s="387">
        <f t="shared" si="56"/>
        <v>0.15427200000000002</v>
      </c>
      <c r="BB33" s="387">
        <f t="shared" si="57"/>
        <v>2.744294318036784</v>
      </c>
      <c r="BC33">
        <f t="shared" si="39"/>
        <v>72</v>
      </c>
      <c r="BD33" s="606">
        <f t="shared" si="50"/>
        <v>0.96328423001279784</v>
      </c>
      <c r="BE33" s="616">
        <f t="shared" si="40"/>
        <v>13.16149357921306</v>
      </c>
      <c r="BF33" s="616">
        <f t="shared" si="41"/>
        <v>15.665943866597978</v>
      </c>
      <c r="BG33" s="9"/>
      <c r="BH33" s="4">
        <f t="shared" si="51"/>
        <v>96.328423001279788</v>
      </c>
      <c r="BI33" s="387">
        <f t="shared" si="52"/>
        <v>0.80241151043347769</v>
      </c>
      <c r="BJ33" s="387">
        <f t="shared" si="53"/>
        <v>1.2693561495524261</v>
      </c>
      <c r="BK33" s="387">
        <f t="shared" si="54"/>
        <v>2.9272319999999998E-2</v>
      </c>
      <c r="BL33" s="387">
        <f t="shared" si="55"/>
        <v>0.34407232641243551</v>
      </c>
      <c r="BQ33">
        <v>9.9986420000000003</v>
      </c>
      <c r="BR33">
        <v>0.64549999999999996</v>
      </c>
      <c r="BS33">
        <v>5.1237300000000001</v>
      </c>
      <c r="BT33">
        <v>90.41893857119905</v>
      </c>
      <c r="BU33">
        <v>350.45848473660021</v>
      </c>
    </row>
    <row r="34" spans="1:73" x14ac:dyDescent="0.2">
      <c r="A34" s="24" t="s">
        <v>56</v>
      </c>
      <c r="B34" s="15" t="s">
        <v>115</v>
      </c>
      <c r="C34" s="24" t="s">
        <v>80</v>
      </c>
      <c r="D34" s="17" t="s">
        <v>111</v>
      </c>
      <c r="G34">
        <v>25</v>
      </c>
      <c r="H34" s="612">
        <f t="shared" si="0"/>
        <v>7.375</v>
      </c>
      <c r="I34" s="4" t="str">
        <f t="shared" si="1"/>
        <v>BOOST</v>
      </c>
      <c r="J34">
        <f t="shared" si="43"/>
        <v>2</v>
      </c>
      <c r="K34">
        <f t="shared" si="2"/>
        <v>6</v>
      </c>
      <c r="L34" s="4">
        <f t="shared" si="3"/>
        <v>10.169491525423728</v>
      </c>
      <c r="M34" s="4">
        <f t="shared" si="4"/>
        <v>9.9138832430654293</v>
      </c>
      <c r="N34" s="387">
        <f t="shared" si="5"/>
        <v>1</v>
      </c>
      <c r="O34" s="387">
        <f t="shared" si="44"/>
        <v>0.39478811149032994</v>
      </c>
      <c r="P34" s="4">
        <f t="shared" si="6"/>
        <v>2.7049079521375132</v>
      </c>
      <c r="Q34" s="387">
        <f t="shared" si="7"/>
        <v>10.19942490885931</v>
      </c>
      <c r="R34" s="387">
        <f t="shared" si="8"/>
        <v>0.65697470237312428</v>
      </c>
      <c r="S34" s="387">
        <f t="shared" si="45"/>
        <v>0.12533589006414483</v>
      </c>
      <c r="T34" s="387">
        <f t="shared" si="46"/>
        <v>0.78231059243726908</v>
      </c>
      <c r="U34" s="4">
        <f t="shared" si="9"/>
        <v>4.8868212707788041</v>
      </c>
      <c r="V34" s="387">
        <f t="shared" si="10"/>
        <v>0.16716715492775316</v>
      </c>
      <c r="W34" s="387">
        <f t="shared" si="47"/>
        <v>0.16716715492775316</v>
      </c>
      <c r="X34" s="387">
        <f t="shared" si="11"/>
        <v>0.7808396671498764</v>
      </c>
      <c r="Y34" s="387">
        <f t="shared" si="12"/>
        <v>1.2194211715894597E-3</v>
      </c>
      <c r="Z34" s="605">
        <f t="shared" si="48"/>
        <v>1.2194211715894597E-3</v>
      </c>
      <c r="AA34" s="387">
        <f t="shared" si="13"/>
        <v>10.19942490885931</v>
      </c>
      <c r="AB34" s="387">
        <f t="shared" si="14"/>
        <v>0.59296113028732056</v>
      </c>
      <c r="AC34" s="387">
        <f t="shared" si="15"/>
        <v>0</v>
      </c>
      <c r="AD34">
        <f t="shared" si="16"/>
        <v>0</v>
      </c>
      <c r="AE34" s="387">
        <f t="shared" si="17"/>
        <v>0.67274324985245604</v>
      </c>
      <c r="AF34" s="387">
        <f t="shared" si="18"/>
        <v>0</v>
      </c>
      <c r="AG34" s="387">
        <f t="shared" si="19"/>
        <v>0</v>
      </c>
      <c r="AH34" s="387">
        <f t="shared" si="20"/>
        <v>0</v>
      </c>
      <c r="AI34" s="387">
        <f t="shared" si="21"/>
        <v>0</v>
      </c>
      <c r="AJ34" s="387">
        <f t="shared" si="22"/>
        <v>6.4085196146580241</v>
      </c>
      <c r="AK34" s="387">
        <f t="shared" si="23"/>
        <v>7.8031334937767594E-2</v>
      </c>
      <c r="AL34" s="387">
        <f t="shared" si="24"/>
        <v>8.8797582078938023E-2</v>
      </c>
      <c r="AM34">
        <f t="shared" si="25"/>
        <v>0</v>
      </c>
      <c r="AN34" s="387">
        <f t="shared" si="26"/>
        <v>0.16947376991742413</v>
      </c>
      <c r="AO34" s="387">
        <f t="shared" si="27"/>
        <v>7.9346798813816752</v>
      </c>
      <c r="AP34" s="387">
        <f t="shared" si="28"/>
        <v>0.11962237515800593</v>
      </c>
      <c r="AQ34" s="387">
        <f t="shared" si="29"/>
        <v>0.18223728813559323</v>
      </c>
      <c r="AR34" s="387">
        <f t="shared" si="30"/>
        <v>0.3092585108138759</v>
      </c>
      <c r="AS34" s="387">
        <f t="shared" si="31"/>
        <v>0.59296113028732056</v>
      </c>
      <c r="AT34" s="387">
        <f t="shared" si="32"/>
        <v>0</v>
      </c>
      <c r="AU34" s="387">
        <f t="shared" si="33"/>
        <v>8.8703999999999991E-2</v>
      </c>
      <c r="AV34" s="387">
        <f t="shared" si="34"/>
        <v>0.32855298921165305</v>
      </c>
      <c r="AW34" s="387">
        <f t="shared" si="35"/>
        <v>0</v>
      </c>
      <c r="AX34" s="387">
        <f t="shared" si="36"/>
        <v>3.6000000000000004E-2</v>
      </c>
      <c r="AY34" s="387">
        <f t="shared" si="37"/>
        <v>0.118272</v>
      </c>
      <c r="AZ34" s="387">
        <f t="shared" si="38"/>
        <v>7.3471999999999996E-2</v>
      </c>
      <c r="BA34" s="387">
        <f t="shared" si="56"/>
        <v>0.15427200000000002</v>
      </c>
      <c r="BB34" s="387">
        <f t="shared" si="57"/>
        <v>2.673701688332021</v>
      </c>
      <c r="BC34">
        <f t="shared" si="39"/>
        <v>72</v>
      </c>
      <c r="BD34" s="606">
        <f t="shared" si="50"/>
        <v>0.96419486877065064</v>
      </c>
      <c r="BE34" s="616">
        <f t="shared" si="40"/>
        <v>12.908888495871206</v>
      </c>
      <c r="BF34" s="616">
        <f t="shared" si="41"/>
        <v>15.462925540693796</v>
      </c>
      <c r="BG34" s="9"/>
      <c r="BH34" s="4">
        <f t="shared" si="51"/>
        <v>96.419486877065069</v>
      </c>
      <c r="BI34" s="387">
        <f t="shared" si="52"/>
        <v>0.78231059243726908</v>
      </c>
      <c r="BJ34" s="387">
        <f t="shared" si="53"/>
        <v>1.240179530583756</v>
      </c>
      <c r="BK34" s="387">
        <f t="shared" si="54"/>
        <v>2.9272319999999998E-2</v>
      </c>
      <c r="BL34" s="387">
        <f t="shared" si="55"/>
        <v>0.32855298921165305</v>
      </c>
      <c r="BQ34">
        <v>9.9986049999999995</v>
      </c>
      <c r="BR34">
        <v>0.83240000000000003</v>
      </c>
      <c r="BS34">
        <v>5.1231559999999998</v>
      </c>
      <c r="BT34">
        <v>91.678946361105133</v>
      </c>
      <c r="BU34">
        <v>387.05996035199956</v>
      </c>
    </row>
    <row r="35" spans="1:73" x14ac:dyDescent="0.2">
      <c r="A35" s="22" t="s">
        <v>158</v>
      </c>
      <c r="B35" s="5">
        <f>Iq*1000</f>
        <v>3</v>
      </c>
      <c r="C35" s="483" t="s">
        <v>68</v>
      </c>
      <c r="D35" s="21" t="s">
        <v>161</v>
      </c>
      <c r="G35">
        <v>26</v>
      </c>
      <c r="H35" s="612">
        <f t="shared" si="0"/>
        <v>7.4700000000000006</v>
      </c>
      <c r="I35" s="4" t="str">
        <f t="shared" si="1"/>
        <v>BOOST</v>
      </c>
      <c r="J35">
        <f t="shared" si="43"/>
        <v>2</v>
      </c>
      <c r="K35">
        <f t="shared" si="2"/>
        <v>6</v>
      </c>
      <c r="L35" s="4">
        <f t="shared" si="3"/>
        <v>10.04016064257028</v>
      </c>
      <c r="M35" s="4">
        <f t="shared" si="4"/>
        <v>9.7831102907245029</v>
      </c>
      <c r="N35" s="387">
        <f t="shared" si="5"/>
        <v>1</v>
      </c>
      <c r="O35" s="387">
        <f t="shared" si="44"/>
        <v>0.38669811320754716</v>
      </c>
      <c r="P35" s="4">
        <f t="shared" si="6"/>
        <v>2.6851282085386914</v>
      </c>
      <c r="Q35" s="387">
        <f t="shared" si="7"/>
        <v>10.070037331276787</v>
      </c>
      <c r="R35" s="387">
        <f t="shared" si="8"/>
        <v>0.63956453104271671</v>
      </c>
      <c r="S35" s="387">
        <f t="shared" si="45"/>
        <v>0.12323428036287208</v>
      </c>
      <c r="T35" s="387">
        <f t="shared" si="46"/>
        <v>0.76279881140558881</v>
      </c>
      <c r="U35" s="4">
        <f t="shared" si="9"/>
        <v>4.803904001978256</v>
      </c>
      <c r="V35" s="387">
        <f t="shared" si="10"/>
        <v>0.16154245562155892</v>
      </c>
      <c r="W35" s="387">
        <f t="shared" si="47"/>
        <v>0.16154245562155892</v>
      </c>
      <c r="X35" s="387">
        <f t="shared" si="11"/>
        <v>0.77512974700423554</v>
      </c>
      <c r="Y35" s="387">
        <f t="shared" si="12"/>
        <v>1.2016522493817003E-3</v>
      </c>
      <c r="Z35" s="605">
        <f t="shared" si="48"/>
        <v>1.2016522493817003E-3</v>
      </c>
      <c r="AA35" s="387">
        <f t="shared" si="13"/>
        <v>10.070037331276787</v>
      </c>
      <c r="AB35" s="387">
        <f t="shared" si="14"/>
        <v>0.57801221556385618</v>
      </c>
      <c r="AC35" s="387">
        <f t="shared" si="15"/>
        <v>0</v>
      </c>
      <c r="AD35">
        <f t="shared" si="16"/>
        <v>0</v>
      </c>
      <c r="AE35" s="387">
        <f t="shared" si="17"/>
        <v>0.65356604737608925</v>
      </c>
      <c r="AF35" s="387">
        <f t="shared" si="18"/>
        <v>0</v>
      </c>
      <c r="AG35" s="387">
        <f t="shared" si="19"/>
        <v>0</v>
      </c>
      <c r="AH35" s="387">
        <f t="shared" si="20"/>
        <v>0</v>
      </c>
      <c r="AI35" s="387">
        <f t="shared" si="21"/>
        <v>0</v>
      </c>
      <c r="AJ35" s="387">
        <f t="shared" si="22"/>
        <v>6.2620583069990374</v>
      </c>
      <c r="AK35" s="387">
        <f t="shared" si="23"/>
        <v>7.450541105648574E-2</v>
      </c>
      <c r="AL35" s="387">
        <f t="shared" si="24"/>
        <v>8.7668295559861831E-2</v>
      </c>
      <c r="AM35">
        <f t="shared" si="25"/>
        <v>0</v>
      </c>
      <c r="AN35" s="387">
        <f t="shared" si="26"/>
        <v>0.16462682446183818</v>
      </c>
      <c r="AO35" s="387">
        <f t="shared" si="27"/>
        <v>7.8862080630080049</v>
      </c>
      <c r="AP35" s="387">
        <f t="shared" si="28"/>
        <v>0.11816532746479969</v>
      </c>
      <c r="AQ35" s="387">
        <f t="shared" si="29"/>
        <v>0.17991967871485942</v>
      </c>
      <c r="AR35" s="387">
        <f t="shared" si="30"/>
        <v>0.30530018545759119</v>
      </c>
      <c r="AS35" s="387">
        <f t="shared" si="31"/>
        <v>0.57801221556385618</v>
      </c>
      <c r="AT35" s="387">
        <f t="shared" si="32"/>
        <v>0</v>
      </c>
      <c r="AU35" s="387">
        <f t="shared" si="33"/>
        <v>8.8703999999999991E-2</v>
      </c>
      <c r="AV35" s="387">
        <f t="shared" si="34"/>
        <v>0.31370699392204521</v>
      </c>
      <c r="AW35" s="387">
        <f t="shared" si="35"/>
        <v>0</v>
      </c>
      <c r="AX35" s="387">
        <f t="shared" si="36"/>
        <v>3.6000000000000004E-2</v>
      </c>
      <c r="AY35" s="387">
        <f t="shared" si="37"/>
        <v>0.118272</v>
      </c>
      <c r="AZ35" s="387">
        <f t="shared" si="38"/>
        <v>7.3471999999999996E-2</v>
      </c>
      <c r="BA35" s="387">
        <f t="shared" si="56"/>
        <v>0.15427200000000002</v>
      </c>
      <c r="BB35" s="387">
        <f t="shared" si="57"/>
        <v>2.6057189704940935</v>
      </c>
      <c r="BC35">
        <f t="shared" si="39"/>
        <v>72</v>
      </c>
      <c r="BD35" s="606">
        <f t="shared" si="50"/>
        <v>0.96507346881108891</v>
      </c>
      <c r="BE35" s="616">
        <f t="shared" si="40"/>
        <v>12.66654122309191</v>
      </c>
      <c r="BF35" s="616">
        <f t="shared" si="41"/>
        <v>15.26500927287956</v>
      </c>
      <c r="BG35" s="9"/>
      <c r="BH35" s="4">
        <f t="shared" si="51"/>
        <v>96.507346881108887</v>
      </c>
      <c r="BI35" s="387">
        <f t="shared" si="52"/>
        <v>0.76279881140558881</v>
      </c>
      <c r="BJ35" s="387">
        <f t="shared" si="53"/>
        <v>1.2121970572955185</v>
      </c>
      <c r="BK35" s="387">
        <f t="shared" si="54"/>
        <v>2.9272319999999998E-2</v>
      </c>
      <c r="BL35" s="387">
        <f t="shared" si="55"/>
        <v>0.31370699392204521</v>
      </c>
      <c r="BQ35">
        <v>9.9986049999999995</v>
      </c>
      <c r="BR35">
        <v>1.0528999999999999</v>
      </c>
      <c r="BS35">
        <v>5.1218219999999999</v>
      </c>
      <c r="BT35">
        <v>92.889938966292178</v>
      </c>
      <c r="BU35">
        <v>412.77762981700039</v>
      </c>
    </row>
    <row r="36" spans="1:73" x14ac:dyDescent="0.2">
      <c r="A36" s="24" t="s">
        <v>772</v>
      </c>
      <c r="B36" s="15" t="s">
        <v>115</v>
      </c>
      <c r="C36" s="24" t="s">
        <v>80</v>
      </c>
      <c r="D36" s="17" t="s">
        <v>111</v>
      </c>
      <c r="G36">
        <v>27</v>
      </c>
      <c r="H36" s="612">
        <f t="shared" si="0"/>
        <v>7.5650000000000004</v>
      </c>
      <c r="I36" s="4" t="str">
        <f t="shared" si="1"/>
        <v>BOOST</v>
      </c>
      <c r="J36">
        <f t="shared" si="43"/>
        <v>2</v>
      </c>
      <c r="K36">
        <f t="shared" si="2"/>
        <v>6</v>
      </c>
      <c r="L36" s="4">
        <f t="shared" si="3"/>
        <v>9.9140779907468595</v>
      </c>
      <c r="M36" s="4">
        <f t="shared" si="4"/>
        <v>9.655810542104307</v>
      </c>
      <c r="N36" s="387">
        <f t="shared" si="5"/>
        <v>1</v>
      </c>
      <c r="O36" s="387">
        <f t="shared" si="44"/>
        <v>0.37861249722776669</v>
      </c>
      <c r="P36" s="4">
        <f t="shared" si="6"/>
        <v>2.6638691106554271</v>
      </c>
      <c r="Q36" s="387">
        <f t="shared" si="7"/>
        <v>9.94385701290852</v>
      </c>
      <c r="R36" s="387">
        <f t="shared" si="8"/>
        <v>0.62284348790474053</v>
      </c>
      <c r="S36" s="387">
        <f t="shared" si="45"/>
        <v>0.12099788831157532</v>
      </c>
      <c r="T36" s="387">
        <f t="shared" si="46"/>
        <v>0.74384137621631585</v>
      </c>
      <c r="U36" s="4">
        <f t="shared" si="9"/>
        <v>4.7217765488762886</v>
      </c>
      <c r="V36" s="387">
        <f t="shared" si="10"/>
        <v>0.15606621644262653</v>
      </c>
      <c r="W36" s="387">
        <f t="shared" si="47"/>
        <v>0.15606621644262653</v>
      </c>
      <c r="X36" s="387">
        <f t="shared" si="11"/>
        <v>0.76899277406141997</v>
      </c>
      <c r="Y36" s="387">
        <f t="shared" si="12"/>
        <v>1.1826997731173563E-3</v>
      </c>
      <c r="Z36" s="605">
        <f t="shared" si="48"/>
        <v>1.1826997731173563E-3</v>
      </c>
      <c r="AA36" s="387">
        <f t="shared" si="13"/>
        <v>9.94385701290852</v>
      </c>
      <c r="AB36" s="387">
        <f t="shared" si="14"/>
        <v>0.56361766607106878</v>
      </c>
      <c r="AC36" s="387">
        <f t="shared" si="15"/>
        <v>0</v>
      </c>
      <c r="AD36">
        <f t="shared" si="16"/>
        <v>0</v>
      </c>
      <c r="AE36" s="387">
        <f t="shared" si="17"/>
        <v>0.63522215134681592</v>
      </c>
      <c r="AF36" s="387">
        <f t="shared" si="18"/>
        <v>0</v>
      </c>
      <c r="AG36" s="387">
        <f t="shared" si="19"/>
        <v>0</v>
      </c>
      <c r="AH36" s="387">
        <f t="shared" si="20"/>
        <v>0</v>
      </c>
      <c r="AI36" s="387">
        <f t="shared" si="21"/>
        <v>0</v>
      </c>
      <c r="AJ36" s="387">
        <f t="shared" si="22"/>
        <v>6.1186039577446563</v>
      </c>
      <c r="AK36" s="387">
        <f t="shared" si="23"/>
        <v>7.113089734428428E-2</v>
      </c>
      <c r="AL36" s="387">
        <f t="shared" si="24"/>
        <v>8.6567371821833147E-2</v>
      </c>
      <c r="AM36">
        <f t="shared" si="25"/>
        <v>0</v>
      </c>
      <c r="AN36" s="387">
        <f t="shared" si="26"/>
        <v>0.15997408927044571</v>
      </c>
      <c r="AO36" s="387">
        <f t="shared" si="27"/>
        <v>7.8385571313502203</v>
      </c>
      <c r="AP36" s="387">
        <f t="shared" si="28"/>
        <v>0.11674165801273866</v>
      </c>
      <c r="AQ36" s="387">
        <f t="shared" si="29"/>
        <v>0.17766027759418374</v>
      </c>
      <c r="AR36" s="387">
        <f t="shared" si="30"/>
        <v>0.30144005804033946</v>
      </c>
      <c r="AS36" s="387">
        <f t="shared" si="31"/>
        <v>0.56361766607106878</v>
      </c>
      <c r="AT36" s="387">
        <f t="shared" si="32"/>
        <v>0</v>
      </c>
      <c r="AU36" s="387">
        <f t="shared" si="33"/>
        <v>8.8703999999999991E-2</v>
      </c>
      <c r="AV36" s="387">
        <f t="shared" si="34"/>
        <v>0.29949851513382858</v>
      </c>
      <c r="AW36" s="387">
        <f t="shared" si="35"/>
        <v>0</v>
      </c>
      <c r="AX36" s="387">
        <f t="shared" si="36"/>
        <v>3.6000000000000004E-2</v>
      </c>
      <c r="AY36" s="387">
        <f t="shared" si="37"/>
        <v>0.118272</v>
      </c>
      <c r="AZ36" s="387">
        <f t="shared" si="38"/>
        <v>7.3471999999999996E-2</v>
      </c>
      <c r="BA36" s="387">
        <f t="shared" si="56"/>
        <v>0.15427200000000002</v>
      </c>
      <c r="BB36" s="387">
        <f t="shared" si="57"/>
        <v>2.5402011062234897</v>
      </c>
      <c r="BC36">
        <f t="shared" si="39"/>
        <v>72</v>
      </c>
      <c r="BD36" s="606">
        <f t="shared" si="50"/>
        <v>0.96592172990513425</v>
      </c>
      <c r="BE36" s="616">
        <f t="shared" si="40"/>
        <v>12.433904463522286</v>
      </c>
      <c r="BF36" s="616">
        <f t="shared" si="41"/>
        <v>15.072002902016973</v>
      </c>
      <c r="BG36" s="9"/>
      <c r="BH36" s="4">
        <f t="shared" si="51"/>
        <v>96.592172990513419</v>
      </c>
      <c r="BI36" s="387">
        <f t="shared" si="52"/>
        <v>0.74384137621631585</v>
      </c>
      <c r="BJ36" s="387">
        <f t="shared" si="53"/>
        <v>1.1853402986576009</v>
      </c>
      <c r="BK36" s="387">
        <f t="shared" si="54"/>
        <v>2.9272319999999998E-2</v>
      </c>
      <c r="BL36" s="387">
        <f t="shared" si="55"/>
        <v>0.29949851513382858</v>
      </c>
      <c r="BQ36">
        <v>9.9986669999999993</v>
      </c>
      <c r="BR36">
        <v>1.3092999999999999</v>
      </c>
      <c r="BS36">
        <v>5.1195649999999997</v>
      </c>
      <c r="BT36">
        <v>93.690364214923264</v>
      </c>
      <c r="BU36">
        <v>451.42072788069993</v>
      </c>
    </row>
    <row r="37" spans="1:73" x14ac:dyDescent="0.2">
      <c r="A37" s="23" t="s">
        <v>75</v>
      </c>
      <c r="B37" s="5">
        <f>Rdson1*1000</f>
        <v>5.7</v>
      </c>
      <c r="C37" s="485" t="s">
        <v>678</v>
      </c>
      <c r="D37" s="483" t="s">
        <v>775</v>
      </c>
      <c r="G37">
        <v>28</v>
      </c>
      <c r="H37" s="612">
        <f t="shared" si="0"/>
        <v>7.66</v>
      </c>
      <c r="I37" s="4" t="str">
        <f t="shared" si="1"/>
        <v>BOOST</v>
      </c>
      <c r="J37">
        <f t="shared" si="43"/>
        <v>2</v>
      </c>
      <c r="K37">
        <f t="shared" si="2"/>
        <v>6</v>
      </c>
      <c r="L37" s="4">
        <f t="shared" si="3"/>
        <v>9.7911227154046987</v>
      </c>
      <c r="M37" s="4">
        <f t="shared" si="4"/>
        <v>9.5318450118382607</v>
      </c>
      <c r="N37" s="387">
        <f t="shared" si="5"/>
        <v>1</v>
      </c>
      <c r="O37" s="387">
        <f t="shared" si="44"/>
        <v>0.37053109943057372</v>
      </c>
      <c r="P37" s="4">
        <f t="shared" si="6"/>
        <v>2.6411325662559437</v>
      </c>
      <c r="Q37" s="387">
        <f t="shared" si="7"/>
        <v>9.8207628249621575</v>
      </c>
      <c r="R37" s="387">
        <f t="shared" si="8"/>
        <v>0.60677477752288222</v>
      </c>
      <c r="S37" s="387">
        <f t="shared" si="45"/>
        <v>0.11863169412468313</v>
      </c>
      <c r="T37" s="387">
        <f t="shared" si="46"/>
        <v>0.72540647164756533</v>
      </c>
      <c r="U37" s="4">
        <f t="shared" si="9"/>
        <v>4.6403928786241018</v>
      </c>
      <c r="V37" s="387">
        <f t="shared" si="10"/>
        <v>0.15073272247589695</v>
      </c>
      <c r="W37" s="387">
        <f t="shared" si="47"/>
        <v>0.15073272247589695</v>
      </c>
      <c r="X37" s="387">
        <f t="shared" si="11"/>
        <v>0.76242929904667811</v>
      </c>
      <c r="Y37" s="387">
        <f t="shared" si="12"/>
        <v>1.1625968720896179E-3</v>
      </c>
      <c r="Z37" s="605">
        <f t="shared" si="48"/>
        <v>1.1625968720896179E-3</v>
      </c>
      <c r="AA37" s="387">
        <f t="shared" si="13"/>
        <v>9.8207628249621575</v>
      </c>
      <c r="AB37" s="387">
        <f t="shared" si="14"/>
        <v>0.54975008004570458</v>
      </c>
      <c r="AC37" s="387">
        <f t="shared" si="15"/>
        <v>0</v>
      </c>
      <c r="AD37">
        <f t="shared" si="16"/>
        <v>0</v>
      </c>
      <c r="AE37" s="387">
        <f t="shared" si="17"/>
        <v>0.61766203014880405</v>
      </c>
      <c r="AF37" s="387">
        <f t="shared" si="18"/>
        <v>0</v>
      </c>
      <c r="AG37" s="387">
        <f t="shared" si="19"/>
        <v>0</v>
      </c>
      <c r="AH37" s="387">
        <f t="shared" si="20"/>
        <v>0</v>
      </c>
      <c r="AI37" s="387">
        <f t="shared" si="21"/>
        <v>0</v>
      </c>
      <c r="AJ37" s="387">
        <f t="shared" si="22"/>
        <v>5.9780226381008088</v>
      </c>
      <c r="AK37" s="387">
        <f t="shared" si="23"/>
        <v>6.7899833857126932E-2</v>
      </c>
      <c r="AL37" s="387">
        <f t="shared" si="24"/>
        <v>8.5493755591666831E-2</v>
      </c>
      <c r="AM37">
        <f t="shared" si="25"/>
        <v>0</v>
      </c>
      <c r="AN37" s="387">
        <f t="shared" si="26"/>
        <v>0.15550534689237117</v>
      </c>
      <c r="AO37" s="387">
        <f t="shared" si="27"/>
        <v>7.7917024970485711</v>
      </c>
      <c r="AP37" s="387">
        <f t="shared" si="28"/>
        <v>0.11535019282477459</v>
      </c>
      <c r="AQ37" s="387">
        <f t="shared" si="29"/>
        <v>0.17545691906005223</v>
      </c>
      <c r="AR37" s="387">
        <f t="shared" si="30"/>
        <v>0.29767447346752529</v>
      </c>
      <c r="AS37" s="387">
        <f t="shared" si="31"/>
        <v>0.54975008004570458</v>
      </c>
      <c r="AT37" s="387">
        <f t="shared" si="32"/>
        <v>0</v>
      </c>
      <c r="AU37" s="387">
        <f t="shared" si="33"/>
        <v>8.8703999999999991E-2</v>
      </c>
      <c r="AV37" s="387">
        <f t="shared" si="34"/>
        <v>0.28589403729316604</v>
      </c>
      <c r="AW37" s="387">
        <f t="shared" si="35"/>
        <v>0</v>
      </c>
      <c r="AX37" s="387">
        <f t="shared" si="36"/>
        <v>3.6000000000000004E-2</v>
      </c>
      <c r="AY37" s="387">
        <f t="shared" si="37"/>
        <v>0.118272</v>
      </c>
      <c r="AZ37" s="387">
        <f t="shared" si="38"/>
        <v>7.3471999999999996E-2</v>
      </c>
      <c r="BA37" s="387">
        <f t="shared" si="56"/>
        <v>0.15427200000000002</v>
      </c>
      <c r="BB37" s="387">
        <f t="shared" si="57"/>
        <v>2.4770136787974186</v>
      </c>
      <c r="BC37">
        <f t="shared" si="39"/>
        <v>72</v>
      </c>
      <c r="BD37" s="606">
        <f t="shared" si="50"/>
        <v>0.96674123254350364</v>
      </c>
      <c r="BE37" s="616">
        <f t="shared" si="40"/>
        <v>12.210467344618559</v>
      </c>
      <c r="BF37" s="616">
        <f t="shared" si="41"/>
        <v>14.883723673376265</v>
      </c>
      <c r="BG37" s="9"/>
      <c r="BH37" s="4">
        <f t="shared" si="51"/>
        <v>96.674123254350363</v>
      </c>
      <c r="BI37" s="387">
        <f t="shared" si="52"/>
        <v>0.72540647164756533</v>
      </c>
      <c r="BJ37" s="387">
        <f t="shared" si="53"/>
        <v>1.1595458505087004</v>
      </c>
      <c r="BK37" s="387">
        <f t="shared" si="54"/>
        <v>2.9272319999999998E-2</v>
      </c>
      <c r="BL37" s="387">
        <f t="shared" si="55"/>
        <v>0.28589403729316604</v>
      </c>
      <c r="BQ37">
        <v>9.9985429999999997</v>
      </c>
      <c r="BR37">
        <v>1.6020000000000001</v>
      </c>
      <c r="BS37">
        <v>5.1182809999999996</v>
      </c>
      <c r="BT37">
        <v>93.864473327748414</v>
      </c>
      <c r="BU37">
        <v>535.96589716749952</v>
      </c>
    </row>
    <row r="38" spans="1:73" x14ac:dyDescent="0.2">
      <c r="A38" s="22" t="s">
        <v>83</v>
      </c>
      <c r="B38" s="5">
        <f>RdsonTopTc*1000000</f>
        <v>4000</v>
      </c>
      <c r="C38" s="483" t="s">
        <v>85</v>
      </c>
      <c r="D38" s="21" t="s">
        <v>113</v>
      </c>
      <c r="G38">
        <v>29</v>
      </c>
      <c r="H38" s="612">
        <f t="shared" si="0"/>
        <v>7.7549999999999999</v>
      </c>
      <c r="I38" s="4" t="str">
        <f t="shared" si="1"/>
        <v>BOOST</v>
      </c>
      <c r="J38">
        <f t="shared" si="43"/>
        <v>2</v>
      </c>
      <c r="K38">
        <f t="shared" si="2"/>
        <v>6</v>
      </c>
      <c r="L38" s="4">
        <f t="shared" si="3"/>
        <v>9.6711798839458414</v>
      </c>
      <c r="M38" s="4">
        <f t="shared" si="4"/>
        <v>9.4110821446701962</v>
      </c>
      <c r="N38" s="387">
        <f t="shared" si="5"/>
        <v>1</v>
      </c>
      <c r="O38" s="387">
        <f t="shared" si="44"/>
        <v>0.36245376378974697</v>
      </c>
      <c r="P38" s="4">
        <f t="shared" si="6"/>
        <v>2.6169203884468355</v>
      </c>
      <c r="Q38" s="387">
        <f t="shared" si="7"/>
        <v>9.7006396545585805</v>
      </c>
      <c r="R38" s="387">
        <f t="shared" si="8"/>
        <v>0.59132406769594326</v>
      </c>
      <c r="S38" s="387">
        <f t="shared" si="45"/>
        <v>0.11614096971729537</v>
      </c>
      <c r="T38" s="387">
        <f t="shared" si="46"/>
        <v>0.70746503741323863</v>
      </c>
      <c r="U38" s="4">
        <f t="shared" si="9"/>
        <v>4.5597080588934151</v>
      </c>
      <c r="V38" s="387">
        <f t="shared" si="10"/>
        <v>0.1455365630763629</v>
      </c>
      <c r="W38" s="387">
        <f t="shared" si="47"/>
        <v>0.1455365630763629</v>
      </c>
      <c r="X38" s="387">
        <f t="shared" si="11"/>
        <v>0.75543984535880027</v>
      </c>
      <c r="Y38" s="387">
        <f t="shared" si="12"/>
        <v>1.1413787199114562E-3</v>
      </c>
      <c r="Z38" s="605">
        <f t="shared" si="48"/>
        <v>1.1413787199114562E-3</v>
      </c>
      <c r="AA38" s="387">
        <f t="shared" si="13"/>
        <v>9.7006396545585805</v>
      </c>
      <c r="AB38" s="387">
        <f t="shared" si="14"/>
        <v>0.5363837353332882</v>
      </c>
      <c r="AC38" s="387">
        <f t="shared" si="15"/>
        <v>0</v>
      </c>
      <c r="AD38">
        <f t="shared" si="16"/>
        <v>0</v>
      </c>
      <c r="AE38" s="387">
        <f t="shared" si="17"/>
        <v>0.60083988354825424</v>
      </c>
      <c r="AF38" s="387">
        <f t="shared" si="18"/>
        <v>0</v>
      </c>
      <c r="AG38" s="387">
        <f t="shared" si="19"/>
        <v>0</v>
      </c>
      <c r="AH38" s="387">
        <f t="shared" si="20"/>
        <v>0</v>
      </c>
      <c r="AI38" s="387">
        <f t="shared" si="21"/>
        <v>0</v>
      </c>
      <c r="AJ38" s="387">
        <f t="shared" si="22"/>
        <v>5.8401860056168093</v>
      </c>
      <c r="AK38" s="387">
        <f t="shared" si="23"/>
        <v>6.4804767902384597E-2</v>
      </c>
      <c r="AL38" s="387">
        <f t="shared" si="24"/>
        <v>8.444644330524409E-2</v>
      </c>
      <c r="AM38">
        <f t="shared" si="25"/>
        <v>0</v>
      </c>
      <c r="AN38" s="387">
        <f t="shared" si="26"/>
        <v>0.15121105061551146</v>
      </c>
      <c r="AO38" s="387">
        <f t="shared" si="27"/>
        <v>7.7456205127408619</v>
      </c>
      <c r="AP38" s="387">
        <f t="shared" si="28"/>
        <v>0.11398981054204482</v>
      </c>
      <c r="AQ38" s="387">
        <f t="shared" si="29"/>
        <v>0.1733075435203095</v>
      </c>
      <c r="AR38" s="387">
        <f t="shared" si="30"/>
        <v>0.2939999538705696</v>
      </c>
      <c r="AS38" s="387">
        <f t="shared" si="31"/>
        <v>0.5363837353332882</v>
      </c>
      <c r="AT38" s="387">
        <f t="shared" si="32"/>
        <v>0</v>
      </c>
      <c r="AU38" s="387">
        <f t="shared" si="33"/>
        <v>8.8703999999999991E-2</v>
      </c>
      <c r="AV38" s="387">
        <f t="shared" si="34"/>
        <v>0.27286218064161938</v>
      </c>
      <c r="AW38" s="387">
        <f t="shared" si="35"/>
        <v>0</v>
      </c>
      <c r="AX38" s="387">
        <f t="shared" si="36"/>
        <v>3.6000000000000004E-2</v>
      </c>
      <c r="AY38" s="387">
        <f t="shared" si="37"/>
        <v>0.118272</v>
      </c>
      <c r="AZ38" s="387">
        <f t="shared" si="38"/>
        <v>7.3471999999999996E-2</v>
      </c>
      <c r="BA38" s="387">
        <f t="shared" si="56"/>
        <v>0.15427200000000002</v>
      </c>
      <c r="BB38" s="387">
        <f t="shared" si="57"/>
        <v>2.4160320478854675</v>
      </c>
      <c r="BC38">
        <f t="shared" si="39"/>
        <v>72</v>
      </c>
      <c r="BD38" s="606">
        <f t="shared" si="50"/>
        <v>0.96753344700869315</v>
      </c>
      <c r="BE38" s="616">
        <f t="shared" si="40"/>
        <v>11.995752530775572</v>
      </c>
      <c r="BF38" s="616">
        <f t="shared" si="41"/>
        <v>14.699997693528481</v>
      </c>
      <c r="BG38" s="9"/>
      <c r="BH38" s="4">
        <f t="shared" si="51"/>
        <v>96.75334470086932</v>
      </c>
      <c r="BI38" s="387">
        <f t="shared" si="52"/>
        <v>0.70746503741323863</v>
      </c>
      <c r="BJ38" s="387">
        <f t="shared" si="53"/>
        <v>1.1347548880343352</v>
      </c>
      <c r="BK38" s="387">
        <f t="shared" si="54"/>
        <v>2.9272319999999998E-2</v>
      </c>
      <c r="BL38" s="387">
        <f t="shared" si="55"/>
        <v>0.27286218064161938</v>
      </c>
      <c r="BQ38">
        <v>9.9985429999999997</v>
      </c>
      <c r="BR38">
        <v>1.9350000000000001</v>
      </c>
      <c r="BS38">
        <v>5.117146</v>
      </c>
      <c r="BT38">
        <v>94.224527198076927</v>
      </c>
      <c r="BU38">
        <v>606.92116405899924</v>
      </c>
    </row>
    <row r="39" spans="1:73" x14ac:dyDescent="0.2">
      <c r="A39" s="23" t="s">
        <v>74</v>
      </c>
      <c r="B39" s="5">
        <f>Qg_Q1*1000000000</f>
        <v>11</v>
      </c>
      <c r="C39" s="483" t="s">
        <v>69</v>
      </c>
      <c r="D39" s="21" t="s">
        <v>103</v>
      </c>
      <c r="G39">
        <v>30</v>
      </c>
      <c r="H39" s="612">
        <f t="shared" si="0"/>
        <v>7.85</v>
      </c>
      <c r="I39" s="4" t="str">
        <f t="shared" si="1"/>
        <v>BOOST</v>
      </c>
      <c r="J39">
        <f t="shared" si="43"/>
        <v>2</v>
      </c>
      <c r="K39">
        <f t="shared" si="2"/>
        <v>6</v>
      </c>
      <c r="L39" s="4">
        <f t="shared" si="3"/>
        <v>9.5541401273885356</v>
      </c>
      <c r="M39" s="4">
        <f t="shared" si="4"/>
        <v>9.2933973192123123</v>
      </c>
      <c r="N39" s="387">
        <f t="shared" si="5"/>
        <v>1</v>
      </c>
      <c r="O39" s="387">
        <f t="shared" si="44"/>
        <v>0.3543803418803419</v>
      </c>
      <c r="P39" s="4">
        <f t="shared" si="6"/>
        <v>2.5912343014719696</v>
      </c>
      <c r="Q39" s="387">
        <f t="shared" si="7"/>
        <v>9.5833780495642333</v>
      </c>
      <c r="R39" s="387">
        <f t="shared" si="8"/>
        <v>0.57645929337805235</v>
      </c>
      <c r="S39" s="387">
        <f t="shared" si="45"/>
        <v>0.11353127389098346</v>
      </c>
      <c r="T39" s="387">
        <f t="shared" si="46"/>
        <v>0.68999056726903585</v>
      </c>
      <c r="U39" s="4">
        <f t="shared" si="9"/>
        <v>4.4796780985668763</v>
      </c>
      <c r="V39" s="387">
        <f t="shared" si="10"/>
        <v>0.1404726110674582</v>
      </c>
      <c r="W39" s="387">
        <f t="shared" si="47"/>
        <v>0.1404726110674582</v>
      </c>
      <c r="X39" s="387">
        <f t="shared" si="11"/>
        <v>0.74802491074411681</v>
      </c>
      <c r="Y39" s="387">
        <f t="shared" si="12"/>
        <v>1.1190825341874881E-3</v>
      </c>
      <c r="Z39" s="605">
        <f t="shared" si="48"/>
        <v>1.1190825341874881E-3</v>
      </c>
      <c r="AA39" s="387">
        <f t="shared" si="13"/>
        <v>9.5833780495642333</v>
      </c>
      <c r="AB39" s="387">
        <f t="shared" si="14"/>
        <v>0.52349446859295656</v>
      </c>
      <c r="AC39" s="387">
        <f t="shared" si="15"/>
        <v>0</v>
      </c>
      <c r="AD39">
        <f t="shared" si="16"/>
        <v>0</v>
      </c>
      <c r="AE39" s="387">
        <f t="shared" si="17"/>
        <v>0.5847133047419838</v>
      </c>
      <c r="AF39" s="387">
        <f t="shared" si="18"/>
        <v>0</v>
      </c>
      <c r="AG39" s="387">
        <f t="shared" si="19"/>
        <v>0</v>
      </c>
      <c r="AH39" s="387">
        <f t="shared" si="20"/>
        <v>0</v>
      </c>
      <c r="AI39" s="387">
        <f t="shared" si="21"/>
        <v>0</v>
      </c>
      <c r="AJ39" s="387">
        <f t="shared" si="22"/>
        <v>5.7049708819227067</v>
      </c>
      <c r="AK39" s="387">
        <f t="shared" si="23"/>
        <v>6.1838716250813296E-2</v>
      </c>
      <c r="AL39" s="387">
        <f t="shared" si="24"/>
        <v>8.3424479978620125E-2</v>
      </c>
      <c r="AM39">
        <f t="shared" si="25"/>
        <v>0</v>
      </c>
      <c r="AN39" s="387">
        <f t="shared" si="26"/>
        <v>0.1470822720062574</v>
      </c>
      <c r="AO39" s="387">
        <f t="shared" si="27"/>
        <v>7.7002884411743713</v>
      </c>
      <c r="AP39" s="387">
        <f t="shared" si="28"/>
        <v>0.11265943994683889</v>
      </c>
      <c r="AQ39" s="387">
        <f t="shared" si="29"/>
        <v>0.17121019108280258</v>
      </c>
      <c r="AR39" s="387">
        <f t="shared" si="30"/>
        <v>0.29041318846271857</v>
      </c>
      <c r="AS39" s="387">
        <f t="shared" si="31"/>
        <v>0.52349446859295656</v>
      </c>
      <c r="AT39" s="387">
        <f t="shared" si="32"/>
        <v>0</v>
      </c>
      <c r="AU39" s="387">
        <f t="shared" si="33"/>
        <v>8.8703999999999991E-2</v>
      </c>
      <c r="AV39" s="387">
        <f t="shared" si="34"/>
        <v>0.26037354210868757</v>
      </c>
      <c r="AW39" s="387">
        <f t="shared" si="35"/>
        <v>0</v>
      </c>
      <c r="AX39" s="387">
        <f t="shared" si="36"/>
        <v>3.6000000000000004E-2</v>
      </c>
      <c r="AY39" s="387">
        <f t="shared" si="37"/>
        <v>0.118272</v>
      </c>
      <c r="AZ39" s="387">
        <f t="shared" si="38"/>
        <v>7.3471999999999996E-2</v>
      </c>
      <c r="BA39" s="387">
        <f t="shared" si="56"/>
        <v>0.15427200000000002</v>
      </c>
      <c r="BB39" s="387">
        <f t="shared" si="57"/>
        <v>2.3571405681903292</v>
      </c>
      <c r="BC39">
        <f t="shared" si="39"/>
        <v>72</v>
      </c>
      <c r="BD39" s="606">
        <f t="shared" si="50"/>
        <v>0.96829974162294907</v>
      </c>
      <c r="BE39" s="616">
        <f t="shared" si="40"/>
        <v>11.78931360031287</v>
      </c>
      <c r="BF39" s="616">
        <f t="shared" si="41"/>
        <v>14.520659423135928</v>
      </c>
      <c r="BG39" s="9"/>
      <c r="BH39" s="4">
        <f t="shared" si="51"/>
        <v>96.829974162294903</v>
      </c>
      <c r="BI39" s="387">
        <f t="shared" si="52"/>
        <v>0.68999056726903585</v>
      </c>
      <c r="BJ39" s="387">
        <f t="shared" si="53"/>
        <v>1.1109127652109596</v>
      </c>
      <c r="BK39" s="387">
        <f t="shared" si="54"/>
        <v>2.9272319999999998E-2</v>
      </c>
      <c r="BL39" s="387">
        <f t="shared" si="55"/>
        <v>0.26037354210868757</v>
      </c>
      <c r="BQ39">
        <v>9.9985060000000008</v>
      </c>
      <c r="BR39">
        <v>2.31</v>
      </c>
      <c r="BS39">
        <v>5.1166349999999996</v>
      </c>
      <c r="BT39">
        <v>94.492663502717292</v>
      </c>
      <c r="BU39">
        <v>688.87413060200208</v>
      </c>
    </row>
    <row r="40" spans="1:73" x14ac:dyDescent="0.2">
      <c r="A40" s="23" t="s">
        <v>130</v>
      </c>
      <c r="B40" s="5">
        <f>Qgd_Q1*1000000000</f>
        <v>2.9</v>
      </c>
      <c r="C40" s="483" t="s">
        <v>69</v>
      </c>
      <c r="D40" s="21" t="s">
        <v>131</v>
      </c>
      <c r="G40">
        <v>31</v>
      </c>
      <c r="H40" s="612">
        <f t="shared" si="0"/>
        <v>7.9450000000000003</v>
      </c>
      <c r="I40" s="4" t="str">
        <f t="shared" si="1"/>
        <v>BOOST</v>
      </c>
      <c r="J40">
        <f t="shared" si="43"/>
        <v>2</v>
      </c>
      <c r="K40">
        <f t="shared" si="2"/>
        <v>6</v>
      </c>
      <c r="L40" s="4">
        <f t="shared" si="3"/>
        <v>9.4398993077407169</v>
      </c>
      <c r="M40" s="4">
        <f t="shared" si="4"/>
        <v>9.1786723913611254</v>
      </c>
      <c r="N40" s="387">
        <f t="shared" si="5"/>
        <v>1</v>
      </c>
      <c r="O40" s="387">
        <f t="shared" si="44"/>
        <v>0.34631069242136375</v>
      </c>
      <c r="P40" s="4">
        <f t="shared" si="6"/>
        <v>2.564075946090306</v>
      </c>
      <c r="Q40" s="387">
        <f t="shared" si="7"/>
        <v>9.4688738891376936</v>
      </c>
      <c r="R40" s="387">
        <f t="shared" si="8"/>
        <v>0.56215047880494384</v>
      </c>
      <c r="S40" s="387">
        <f t="shared" si="45"/>
        <v>0.11080844718162546</v>
      </c>
      <c r="T40" s="387">
        <f t="shared" si="46"/>
        <v>0.67295892598656926</v>
      </c>
      <c r="U40" s="4">
        <f t="shared" si="9"/>
        <v>4.4002597910656736</v>
      </c>
      <c r="V40" s="387">
        <f t="shared" si="10"/>
        <v>0.13553600360208529</v>
      </c>
      <c r="W40" s="387">
        <f t="shared" si="47"/>
        <v>0.13553600360208529</v>
      </c>
      <c r="X40" s="387">
        <f t="shared" si="11"/>
        <v>0.74018496884894125</v>
      </c>
      <c r="Y40" s="387">
        <f t="shared" si="12"/>
        <v>1.0957475762198164E-3</v>
      </c>
      <c r="Z40" s="605">
        <f t="shared" si="48"/>
        <v>1.0957475762198164E-3</v>
      </c>
      <c r="AA40" s="387">
        <f t="shared" si="13"/>
        <v>9.4688738891376936</v>
      </c>
      <c r="AB40" s="387">
        <f t="shared" si="14"/>
        <v>0.51105956455184343</v>
      </c>
      <c r="AC40" s="387">
        <f t="shared" si="15"/>
        <v>0</v>
      </c>
      <c r="AD40">
        <f t="shared" si="16"/>
        <v>0</v>
      </c>
      <c r="AE40" s="387">
        <f t="shared" si="17"/>
        <v>0.56924297827179948</v>
      </c>
      <c r="AF40" s="387">
        <f t="shared" si="18"/>
        <v>0</v>
      </c>
      <c r="AG40" s="387">
        <f t="shared" si="19"/>
        <v>0</v>
      </c>
      <c r="AH40" s="387">
        <f t="shared" si="20"/>
        <v>0</v>
      </c>
      <c r="AI40" s="387">
        <f t="shared" si="21"/>
        <v>0</v>
      </c>
      <c r="AJ40" s="387">
        <f t="shared" si="22"/>
        <v>5.5722588520072902</v>
      </c>
      <c r="AK40" s="387">
        <f t="shared" si="23"/>
        <v>5.8995130556169853E-2</v>
      </c>
      <c r="AL40" s="387">
        <f t="shared" si="24"/>
        <v>8.2426956303608287E-2</v>
      </c>
      <c r="AM40">
        <f t="shared" si="25"/>
        <v>0</v>
      </c>
      <c r="AN40" s="387">
        <f t="shared" si="26"/>
        <v>0.14311065319360525</v>
      </c>
      <c r="AO40" s="387">
        <f t="shared" si="27"/>
        <v>7.6556844249629306</v>
      </c>
      <c r="AP40" s="387">
        <f t="shared" si="28"/>
        <v>0.11135805762777799</v>
      </c>
      <c r="AQ40" s="387">
        <f t="shared" si="29"/>
        <v>0.16916299559471368</v>
      </c>
      <c r="AR40" s="387">
        <f t="shared" si="30"/>
        <v>0.28691102409350144</v>
      </c>
      <c r="AS40" s="387">
        <f t="shared" si="31"/>
        <v>0.51105956455184343</v>
      </c>
      <c r="AT40" s="387">
        <f t="shared" si="32"/>
        <v>0</v>
      </c>
      <c r="AU40" s="387">
        <f t="shared" si="33"/>
        <v>8.8703999999999991E-2</v>
      </c>
      <c r="AV40" s="387">
        <f t="shared" si="34"/>
        <v>0.24840054971018885</v>
      </c>
      <c r="AW40" s="387">
        <f t="shared" si="35"/>
        <v>0</v>
      </c>
      <c r="AX40" s="387">
        <f t="shared" si="36"/>
        <v>3.6000000000000004E-2</v>
      </c>
      <c r="AY40" s="387">
        <f t="shared" si="37"/>
        <v>0.118272</v>
      </c>
      <c r="AZ40" s="387">
        <f t="shared" si="38"/>
        <v>7.3471999999999996E-2</v>
      </c>
      <c r="BA40" s="387">
        <f t="shared" si="56"/>
        <v>0.15427200000000002</v>
      </c>
      <c r="BB40" s="387">
        <f t="shared" si="57"/>
        <v>2.3002318824339691</v>
      </c>
      <c r="BC40">
        <f t="shared" si="39"/>
        <v>72</v>
      </c>
      <c r="BD40" s="606">
        <f t="shared" si="50"/>
        <v>0.96904139026007829</v>
      </c>
      <c r="BE40" s="616">
        <f t="shared" si="40"/>
        <v>11.590732659680262</v>
      </c>
      <c r="BF40" s="616">
        <f t="shared" si="41"/>
        <v>14.345551204675072</v>
      </c>
      <c r="BG40" s="9"/>
      <c r="BH40" s="4">
        <f t="shared" si="51"/>
        <v>96.904139026007826</v>
      </c>
      <c r="BI40" s="387">
        <f t="shared" si="52"/>
        <v>0.67295892598656926</v>
      </c>
      <c r="BJ40" s="387">
        <f t="shared" si="53"/>
        <v>1.0879686555589061</v>
      </c>
      <c r="BK40" s="387">
        <f t="shared" si="54"/>
        <v>2.9272319999999998E-2</v>
      </c>
      <c r="BL40" s="387">
        <f t="shared" si="55"/>
        <v>0.24840054971018885</v>
      </c>
      <c r="BQ40">
        <v>9.9984319999999993</v>
      </c>
      <c r="BR40">
        <v>2.7269999999999999</v>
      </c>
      <c r="BS40">
        <v>5.115812</v>
      </c>
      <c r="BT40">
        <v>94.558770424517263</v>
      </c>
      <c r="BU40">
        <v>802.77694931200062</v>
      </c>
    </row>
    <row r="41" spans="1:73" x14ac:dyDescent="0.2">
      <c r="A41" s="23" t="s">
        <v>148</v>
      </c>
      <c r="B41" s="5">
        <f>Qgs_Q1*1000000000</f>
        <v>3.3</v>
      </c>
      <c r="C41" s="483" t="s">
        <v>69</v>
      </c>
      <c r="D41" s="21"/>
      <c r="G41">
        <v>32</v>
      </c>
      <c r="H41" s="612">
        <f t="shared" si="0"/>
        <v>8.0399999999999991</v>
      </c>
      <c r="I41" s="4" t="str">
        <f t="shared" si="1"/>
        <v>BOOST</v>
      </c>
      <c r="J41">
        <f t="shared" si="43"/>
        <v>2</v>
      </c>
      <c r="K41">
        <f t="shared" si="2"/>
        <v>6</v>
      </c>
      <c r="L41" s="4">
        <f t="shared" si="3"/>
        <v>9.3283582089552244</v>
      </c>
      <c r="M41" s="4">
        <f t="shared" si="4"/>
        <v>9.0667952736918256</v>
      </c>
      <c r="N41" s="387">
        <f t="shared" si="5"/>
        <v>1</v>
      </c>
      <c r="O41" s="387">
        <f t="shared" si="44"/>
        <v>0.33824468085106385</v>
      </c>
      <c r="P41" s="4">
        <f t="shared" si="6"/>
        <v>2.5354468845678566</v>
      </c>
      <c r="Q41" s="387">
        <f t="shared" si="7"/>
        <v>9.3570280778650226</v>
      </c>
      <c r="R41" s="387">
        <f t="shared" si="8"/>
        <v>0.54836957590179258</v>
      </c>
      <c r="S41" s="387">
        <f t="shared" si="45"/>
        <v>0.10797860635250915</v>
      </c>
      <c r="T41" s="387">
        <f t="shared" si="46"/>
        <v>0.65634818225430169</v>
      </c>
      <c r="U41" s="4">
        <f t="shared" si="9"/>
        <v>4.3214105589328451</v>
      </c>
      <c r="V41" s="387">
        <f t="shared" si="10"/>
        <v>0.130722124531994</v>
      </c>
      <c r="W41" s="387">
        <f t="shared" si="47"/>
        <v>0.130722124531994</v>
      </c>
      <c r="X41" s="387">
        <f t="shared" si="11"/>
        <v>0.73192047066062504</v>
      </c>
      <c r="Y41" s="387">
        <f t="shared" si="12"/>
        <v>1.0714151507441418E-3</v>
      </c>
      <c r="Z41" s="605">
        <f t="shared" si="48"/>
        <v>1.0714151507441418E-3</v>
      </c>
      <c r="AA41" s="387">
        <f t="shared" si="13"/>
        <v>9.3570280778650226</v>
      </c>
      <c r="AB41" s="387">
        <f t="shared" si="14"/>
        <v>0.49905765436474009</v>
      </c>
      <c r="AC41" s="387">
        <f t="shared" si="15"/>
        <v>0</v>
      </c>
      <c r="AD41">
        <f t="shared" si="16"/>
        <v>0</v>
      </c>
      <c r="AE41" s="387">
        <f t="shared" si="17"/>
        <v>0.55439240945698387</v>
      </c>
      <c r="AF41" s="387">
        <f t="shared" si="18"/>
        <v>0</v>
      </c>
      <c r="AG41" s="387">
        <f t="shared" si="19"/>
        <v>0</v>
      </c>
      <c r="AH41" s="387">
        <f t="shared" si="20"/>
        <v>0</v>
      </c>
      <c r="AI41" s="387">
        <f t="shared" si="21"/>
        <v>0</v>
      </c>
      <c r="AJ41" s="387">
        <f t="shared" si="22"/>
        <v>5.4419358821164945</v>
      </c>
      <c r="AK41" s="387">
        <f t="shared" si="23"/>
        <v>5.626786567562736E-2</v>
      </c>
      <c r="AL41" s="387">
        <f t="shared" si="24"/>
        <v>8.1453005949274626E-2</v>
      </c>
      <c r="AM41">
        <f t="shared" si="25"/>
        <v>0</v>
      </c>
      <c r="AN41" s="387">
        <f t="shared" si="26"/>
        <v>0.13928836340940162</v>
      </c>
      <c r="AO41" s="387">
        <f t="shared" si="27"/>
        <v>7.6117874579422784</v>
      </c>
      <c r="AP41" s="387">
        <f t="shared" si="28"/>
        <v>0.110084685779286</v>
      </c>
      <c r="AQ41" s="387">
        <f t="shared" si="29"/>
        <v>0.16716417910447764</v>
      </c>
      <c r="AR41" s="387">
        <f t="shared" si="30"/>
        <v>0.28349045644765697</v>
      </c>
      <c r="AS41" s="387">
        <f t="shared" si="31"/>
        <v>0.49905765436474009</v>
      </c>
      <c r="AT41" s="387">
        <f t="shared" si="32"/>
        <v>0</v>
      </c>
      <c r="AU41" s="387">
        <f t="shared" si="33"/>
        <v>8.8703999999999991E-2</v>
      </c>
      <c r="AV41" s="387">
        <f t="shared" si="34"/>
        <v>0.23691732916053623</v>
      </c>
      <c r="AW41" s="387">
        <f t="shared" si="35"/>
        <v>0</v>
      </c>
      <c r="AX41" s="387">
        <f t="shared" si="36"/>
        <v>3.6000000000000004E-2</v>
      </c>
      <c r="AY41" s="387">
        <f t="shared" si="37"/>
        <v>0.118272</v>
      </c>
      <c r="AZ41" s="387">
        <f t="shared" si="38"/>
        <v>7.3471999999999996E-2</v>
      </c>
      <c r="BA41" s="387">
        <f t="shared" si="56"/>
        <v>0.15427200000000002</v>
      </c>
      <c r="BB41" s="387">
        <f t="shared" si="57"/>
        <v>2.2452062804116184</v>
      </c>
      <c r="BC41">
        <f t="shared" si="39"/>
        <v>72</v>
      </c>
      <c r="BD41" s="606">
        <f t="shared" si="50"/>
        <v>0.96975957919852962</v>
      </c>
      <c r="BE41" s="616">
        <f t="shared" si="40"/>
        <v>11.399618170470079</v>
      </c>
      <c r="BF41" s="616">
        <f t="shared" si="41"/>
        <v>14.174522822382848</v>
      </c>
      <c r="BG41" s="9"/>
      <c r="BH41" s="4">
        <f t="shared" si="51"/>
        <v>96.975957919852959</v>
      </c>
      <c r="BI41" s="387">
        <f t="shared" si="52"/>
        <v>0.65634818225430169</v>
      </c>
      <c r="BJ41" s="387">
        <f t="shared" si="53"/>
        <v>1.0658752293140423</v>
      </c>
      <c r="BK41" s="387">
        <f t="shared" si="54"/>
        <v>2.9272319999999998E-2</v>
      </c>
      <c r="BL41" s="387">
        <f t="shared" si="55"/>
        <v>0.23691732916053623</v>
      </c>
      <c r="BQ41">
        <v>9.9985180000000007</v>
      </c>
      <c r="BR41">
        <v>3.1859999999999999</v>
      </c>
      <c r="BS41">
        <v>5.1148889999999998</v>
      </c>
      <c r="BT41">
        <v>94.58411932633652</v>
      </c>
      <c r="BU41">
        <v>933.10990806000302</v>
      </c>
    </row>
    <row r="42" spans="1:73" x14ac:dyDescent="0.2">
      <c r="A42" s="23" t="s">
        <v>94</v>
      </c>
      <c r="B42" s="5">
        <f>Rgate1</f>
        <v>1.5</v>
      </c>
      <c r="C42" s="487" t="s">
        <v>120</v>
      </c>
      <c r="D42" s="21" t="s">
        <v>104</v>
      </c>
      <c r="G42">
        <v>33</v>
      </c>
      <c r="H42" s="612">
        <f t="shared" si="0"/>
        <v>8.1349999999999998</v>
      </c>
      <c r="I42" s="4" t="str">
        <f t="shared" si="1"/>
        <v>BOOST</v>
      </c>
      <c r="J42">
        <f t="shared" si="43"/>
        <v>2</v>
      </c>
      <c r="K42">
        <f t="shared" si="2"/>
        <v>6</v>
      </c>
      <c r="L42" s="4">
        <f t="shared" si="3"/>
        <v>9.2194222495390292</v>
      </c>
      <c r="M42" s="4">
        <f t="shared" si="4"/>
        <v>8.9576595475390928</v>
      </c>
      <c r="N42" s="387">
        <f t="shared" si="5"/>
        <v>1</v>
      </c>
      <c r="O42" s="387">
        <f t="shared" ref="O42:O73" si="58">CHOOSE(J42,0,(Vout+(Rdson3+Rdcr)*L42-H42)/(Vout+(Rdson3-Rdson4-Rs)*L42),IF(H42&gt;Vout,D_min_boost_exitBB_to_buck, (Vout-H42*D_max_buck_BB)/Vout))</f>
        <v>0.33018217893217888</v>
      </c>
      <c r="P42" s="4">
        <f t="shared" si="6"/>
        <v>2.5053486053157128</v>
      </c>
      <c r="Q42" s="387">
        <f t="shared" si="7"/>
        <v>9.2477462615570154</v>
      </c>
      <c r="R42" s="387">
        <f t="shared" si="8"/>
        <v>0.53509031727583034</v>
      </c>
      <c r="S42" s="387">
        <f t="shared" si="45"/>
        <v>0.10504813851428521</v>
      </c>
      <c r="T42" s="387">
        <f t="shared" si="46"/>
        <v>0.64013845579011552</v>
      </c>
      <c r="U42" s="4">
        <f t="shared" si="9"/>
        <v>4.2430882982543521</v>
      </c>
      <c r="V42" s="387">
        <f t="shared" si="10"/>
        <v>0.12602658814748111</v>
      </c>
      <c r="W42" s="387">
        <f t="shared" si="47"/>
        <v>0.12602658814748111</v>
      </c>
      <c r="X42" s="387">
        <f t="shared" si="11"/>
        <v>0.72323184584644018</v>
      </c>
      <c r="Y42" s="387">
        <f t="shared" si="12"/>
        <v>1.0461286056928981E-3</v>
      </c>
      <c r="Z42" s="605">
        <f t="shared" si="48"/>
        <v>1.0461286056928981E-3</v>
      </c>
      <c r="AA42" s="387">
        <f t="shared" si="13"/>
        <v>9.2477462615570154</v>
      </c>
      <c r="AB42" s="387">
        <f t="shared" si="14"/>
        <v>0.48746862223340798</v>
      </c>
      <c r="AC42" s="387">
        <f t="shared" si="15"/>
        <v>0</v>
      </c>
      <c r="AD42">
        <f t="shared" si="16"/>
        <v>0</v>
      </c>
      <c r="AE42" s="387">
        <f t="shared" si="17"/>
        <v>0.54012768158819213</v>
      </c>
      <c r="AF42" s="387">
        <f t="shared" si="18"/>
        <v>0</v>
      </c>
      <c r="AG42" s="387">
        <f t="shared" si="19"/>
        <v>0</v>
      </c>
      <c r="AH42" s="387">
        <f t="shared" si="20"/>
        <v>0</v>
      </c>
      <c r="AI42" s="387">
        <f t="shared" si="21"/>
        <v>0</v>
      </c>
      <c r="AJ42" s="387">
        <f t="shared" si="22"/>
        <v>5.3138919534554816</v>
      </c>
      <c r="AK42" s="387">
        <f t="shared" si="23"/>
        <v>5.3651150616697937E-2</v>
      </c>
      <c r="AL42" s="387">
        <f t="shared" si="24"/>
        <v>8.0501803052509882E-2</v>
      </c>
      <c r="AM42">
        <f t="shared" si="25"/>
        <v>0</v>
      </c>
      <c r="AN42" s="387">
        <f t="shared" si="26"/>
        <v>0.13560805935264117</v>
      </c>
      <c r="AO42" s="387">
        <f t="shared" si="27"/>
        <v>7.5685773580735001</v>
      </c>
      <c r="AP42" s="387">
        <f t="shared" si="28"/>
        <v>0.1088383901277714</v>
      </c>
      <c r="AQ42" s="387">
        <f t="shared" si="29"/>
        <v>0.16521204671173942</v>
      </c>
      <c r="AR42" s="387">
        <f t="shared" si="30"/>
        <v>0.28014862183900502</v>
      </c>
      <c r="AS42" s="387">
        <f t="shared" si="31"/>
        <v>0.48746862223340798</v>
      </c>
      <c r="AT42" s="387">
        <f t="shared" si="32"/>
        <v>0</v>
      </c>
      <c r="AU42" s="387">
        <f t="shared" si="33"/>
        <v>8.8703999999999991E-2</v>
      </c>
      <c r="AV42" s="387">
        <f t="shared" si="34"/>
        <v>0.22589958154399131</v>
      </c>
      <c r="AW42" s="387">
        <f t="shared" si="35"/>
        <v>0</v>
      </c>
      <c r="AX42" s="387">
        <f t="shared" si="36"/>
        <v>3.6000000000000004E-2</v>
      </c>
      <c r="AY42" s="387">
        <f t="shared" si="37"/>
        <v>0.118272</v>
      </c>
      <c r="AZ42" s="387">
        <f t="shared" si="38"/>
        <v>7.3471999999999996E-2</v>
      </c>
      <c r="BA42" s="387">
        <f t="shared" si="56"/>
        <v>0.15427200000000002</v>
      </c>
      <c r="BB42" s="387">
        <f t="shared" si="57"/>
        <v>2.1919711168671192</v>
      </c>
      <c r="BC42">
        <f t="shared" si="39"/>
        <v>72</v>
      </c>
      <c r="BD42" s="606">
        <f t="shared" si="50"/>
        <v>0.97045541338409336</v>
      </c>
      <c r="BE42" s="616">
        <f t="shared" si="40"/>
        <v>11.215602967632057</v>
      </c>
      <c r="BF42" s="616">
        <f t="shared" si="41"/>
        <v>14.00743109195025</v>
      </c>
      <c r="BG42" s="9"/>
      <c r="BH42" s="4">
        <f t="shared" si="51"/>
        <v>97.045541338409336</v>
      </c>
      <c r="BI42" s="387">
        <f t="shared" si="52"/>
        <v>0.64013845579011552</v>
      </c>
      <c r="BJ42" s="387">
        <f t="shared" si="53"/>
        <v>1.0445883627798382</v>
      </c>
      <c r="BK42" s="387">
        <f t="shared" si="54"/>
        <v>2.9272319999999998E-2</v>
      </c>
      <c r="BL42" s="387">
        <f t="shared" si="55"/>
        <v>0.22589958154399131</v>
      </c>
      <c r="BQ42">
        <v>9.9984190000000002</v>
      </c>
      <c r="BR42">
        <v>3.6920000000000002</v>
      </c>
      <c r="BS42">
        <v>5.1137540000000001</v>
      </c>
      <c r="BT42">
        <v>94.441363374789603</v>
      </c>
      <c r="BU42">
        <v>1111.2391205219994</v>
      </c>
    </row>
    <row r="43" spans="1:73" x14ac:dyDescent="0.2">
      <c r="A43" s="23" t="s">
        <v>73</v>
      </c>
      <c r="B43" s="5">
        <f>Gfs_Q1</f>
        <v>60</v>
      </c>
      <c r="C43" s="483" t="s">
        <v>70</v>
      </c>
      <c r="D43" s="21" t="s">
        <v>105</v>
      </c>
      <c r="G43">
        <v>34</v>
      </c>
      <c r="H43" s="612">
        <f t="shared" si="0"/>
        <v>8.23</v>
      </c>
      <c r="I43" s="4" t="str">
        <f t="shared" si="1"/>
        <v>BOOST</v>
      </c>
      <c r="J43">
        <f t="shared" si="43"/>
        <v>2</v>
      </c>
      <c r="K43">
        <f t="shared" si="2"/>
        <v>6</v>
      </c>
      <c r="L43" s="4">
        <f t="shared" si="3"/>
        <v>9.1130012150668289</v>
      </c>
      <c r="M43" s="4">
        <f t="shared" si="4"/>
        <v>8.8511641048145187</v>
      </c>
      <c r="N43" s="387">
        <f t="shared" si="5"/>
        <v>1</v>
      </c>
      <c r="O43" s="387">
        <f t="shared" si="58"/>
        <v>0.32212306438467808</v>
      </c>
      <c r="P43" s="4">
        <f t="shared" si="6"/>
        <v>2.4737825272030745</v>
      </c>
      <c r="Q43" s="387">
        <f t="shared" si="7"/>
        <v>9.140938562959537</v>
      </c>
      <c r="R43" s="387">
        <f t="shared" si="8"/>
        <v>0.52228808229495305</v>
      </c>
      <c r="S43" s="387">
        <f t="shared" si="45"/>
        <v>0.10202369485148521</v>
      </c>
      <c r="T43" s="387">
        <f t="shared" si="46"/>
        <v>0.62431177714643826</v>
      </c>
      <c r="U43" s="4">
        <f t="shared" si="9"/>
        <v>4.1652512214360877</v>
      </c>
      <c r="V43" s="387">
        <f t="shared" si="10"/>
        <v>0.12144522416372375</v>
      </c>
      <c r="W43" s="387">
        <f t="shared" si="47"/>
        <v>0.12144522416372375</v>
      </c>
      <c r="X43" s="387">
        <f t="shared" si="11"/>
        <v>0.71411950399864388</v>
      </c>
      <c r="Y43" s="387">
        <f t="shared" si="12"/>
        <v>1.0199333319825382E-3</v>
      </c>
      <c r="Z43" s="605">
        <f t="shared" si="48"/>
        <v>1.0199333319825382E-3</v>
      </c>
      <c r="AA43" s="387">
        <f t="shared" si="13"/>
        <v>9.140938562959537</v>
      </c>
      <c r="AB43" s="387">
        <f t="shared" si="14"/>
        <v>0.47627351952726438</v>
      </c>
      <c r="AC43" s="387">
        <f t="shared" si="15"/>
        <v>0</v>
      </c>
      <c r="AD43">
        <f t="shared" si="16"/>
        <v>0</v>
      </c>
      <c r="AE43" s="387">
        <f t="shared" si="17"/>
        <v>0.52641723762827186</v>
      </c>
      <c r="AF43" s="387">
        <f t="shared" si="18"/>
        <v>0</v>
      </c>
      <c r="AG43" s="387">
        <f t="shared" si="19"/>
        <v>0</v>
      </c>
      <c r="AH43" s="387">
        <f t="shared" si="20"/>
        <v>0</v>
      </c>
      <c r="AI43" s="387">
        <f t="shared" si="21"/>
        <v>0</v>
      </c>
      <c r="AJ43" s="387">
        <f t="shared" si="22"/>
        <v>5.1880207089395523</v>
      </c>
      <c r="AK43" s="387">
        <f t="shared" si="23"/>
        <v>5.1139561865132743E-2</v>
      </c>
      <c r="AL43" s="387">
        <f t="shared" si="24"/>
        <v>7.957255988240193E-2</v>
      </c>
      <c r="AM43">
        <f t="shared" si="25"/>
        <v>0</v>
      </c>
      <c r="AN43" s="387">
        <f t="shared" si="26"/>
        <v>0.13206284899478557</v>
      </c>
      <c r="AO43" s="387">
        <f t="shared" si="27"/>
        <v>7.5260347418421549</v>
      </c>
      <c r="AP43" s="387">
        <f t="shared" si="28"/>
        <v>0.10761827797728871</v>
      </c>
      <c r="AQ43" s="387">
        <f t="shared" si="29"/>
        <v>0.1633049817739976</v>
      </c>
      <c r="AR43" s="387">
        <f t="shared" si="30"/>
        <v>0.27688278955395523</v>
      </c>
      <c r="AS43" s="387">
        <f t="shared" si="31"/>
        <v>0.47627351952726438</v>
      </c>
      <c r="AT43" s="387">
        <f t="shared" si="32"/>
        <v>0</v>
      </c>
      <c r="AU43" s="387">
        <f t="shared" si="33"/>
        <v>8.8703999999999991E-2</v>
      </c>
      <c r="AV43" s="387">
        <f t="shared" si="34"/>
        <v>0.21532447101108523</v>
      </c>
      <c r="AW43" s="387">
        <f t="shared" si="35"/>
        <v>0</v>
      </c>
      <c r="AX43" s="387">
        <f t="shared" si="36"/>
        <v>3.6000000000000004E-2</v>
      </c>
      <c r="AY43" s="387">
        <f t="shared" si="37"/>
        <v>0.118272</v>
      </c>
      <c r="AZ43" s="387">
        <f t="shared" si="38"/>
        <v>7.3471999999999996E-2</v>
      </c>
      <c r="BA43" s="387">
        <f t="shared" si="56"/>
        <v>0.15427200000000002</v>
      </c>
      <c r="BB43" s="387">
        <f t="shared" si="57"/>
        <v>2.1404402818302422</v>
      </c>
      <c r="BC43">
        <f t="shared" si="39"/>
        <v>72</v>
      </c>
      <c r="BD43" s="606">
        <f t="shared" si="50"/>
        <v>0.97112992216267158</v>
      </c>
      <c r="BE43" s="616">
        <f t="shared" si="40"/>
        <v>11.038342449739277</v>
      </c>
      <c r="BF43" s="616">
        <f t="shared" si="41"/>
        <v>13.844139477697762</v>
      </c>
      <c r="BG43" s="9"/>
      <c r="BH43" s="4">
        <f t="shared" si="51"/>
        <v>97.112992216267159</v>
      </c>
      <c r="BI43" s="387">
        <f t="shared" si="52"/>
        <v>0.62431177714643826</v>
      </c>
      <c r="BJ43" s="387">
        <f t="shared" si="53"/>
        <v>1.0240668761770126</v>
      </c>
      <c r="BK43" s="387">
        <f t="shared" si="54"/>
        <v>2.9272319999999998E-2</v>
      </c>
      <c r="BL43" s="387">
        <f t="shared" si="55"/>
        <v>0.21532447101108523</v>
      </c>
      <c r="BQ43">
        <v>9.998246</v>
      </c>
      <c r="BR43">
        <v>4.2430000000000003</v>
      </c>
      <c r="BS43">
        <v>5.1120590000000004</v>
      </c>
      <c r="BT43">
        <v>94.267178615859891</v>
      </c>
      <c r="BU43">
        <v>1319.0970775599953</v>
      </c>
    </row>
    <row r="44" spans="1:73" x14ac:dyDescent="0.2">
      <c r="A44" s="23" t="s">
        <v>96</v>
      </c>
      <c r="B44" s="5">
        <f>Vth_Q1</f>
        <v>4</v>
      </c>
      <c r="C44" s="483" t="s">
        <v>0</v>
      </c>
      <c r="D44" s="21" t="s">
        <v>106</v>
      </c>
      <c r="G44">
        <v>35</v>
      </c>
      <c r="H44" s="612">
        <f t="shared" si="0"/>
        <v>8.3249999999999993</v>
      </c>
      <c r="I44" s="4" t="str">
        <f t="shared" si="1"/>
        <v>BOOST</v>
      </c>
      <c r="J44">
        <f t="shared" si="43"/>
        <v>2</v>
      </c>
      <c r="K44">
        <f t="shared" si="2"/>
        <v>6</v>
      </c>
      <c r="L44" s="4">
        <f t="shared" si="3"/>
        <v>9.0090090090090094</v>
      </c>
      <c r="M44" s="4">
        <f t="shared" si="4"/>
        <v>8.7472128169130396</v>
      </c>
      <c r="N44" s="387">
        <f t="shared" si="5"/>
        <v>1</v>
      </c>
      <c r="O44" s="387">
        <f t="shared" si="58"/>
        <v>0.3140672205438067</v>
      </c>
      <c r="P44" s="4">
        <f t="shared" si="6"/>
        <v>2.4407500035715284</v>
      </c>
      <c r="Q44" s="387">
        <f t="shared" si="7"/>
        <v>9.036519335787796</v>
      </c>
      <c r="R44" s="387">
        <f t="shared" si="8"/>
        <v>0.50993977492597309</v>
      </c>
      <c r="S44" s="387">
        <f t="shared" si="45"/>
        <v>9.8912183933216866E-2</v>
      </c>
      <c r="T44" s="387">
        <f t="shared" si="46"/>
        <v>0.60885195885918997</v>
      </c>
      <c r="U44" s="4">
        <f t="shared" si="9"/>
        <v>4.0878576967603433</v>
      </c>
      <c r="V44" s="387">
        <f t="shared" si="10"/>
        <v>0.11697406384273945</v>
      </c>
      <c r="W44" s="387">
        <f t="shared" si="47"/>
        <v>0.11697406384273945</v>
      </c>
      <c r="X44" s="387">
        <f t="shared" si="11"/>
        <v>0.70458383579330097</v>
      </c>
      <c r="Y44" s="387">
        <f t="shared" si="12"/>
        <v>9.9287676332240264E-4</v>
      </c>
      <c r="Z44" s="605">
        <f t="shared" si="48"/>
        <v>9.9287676332240264E-4</v>
      </c>
      <c r="AA44" s="387">
        <f t="shared" si="13"/>
        <v>9.036519335787796</v>
      </c>
      <c r="AB44" s="387">
        <f t="shared" si="14"/>
        <v>0.46545448572458031</v>
      </c>
      <c r="AC44" s="387">
        <f t="shared" si="15"/>
        <v>0</v>
      </c>
      <c r="AD44">
        <f t="shared" si="16"/>
        <v>0</v>
      </c>
      <c r="AE44" s="387">
        <f t="shared" si="17"/>
        <v>0.51323168359349436</v>
      </c>
      <c r="AF44" s="387">
        <f t="shared" si="18"/>
        <v>0</v>
      </c>
      <c r="AG44" s="387">
        <f t="shared" si="19"/>
        <v>0</v>
      </c>
      <c r="AH44" s="387">
        <f t="shared" si="20"/>
        <v>0</v>
      </c>
      <c r="AI44" s="387">
        <f t="shared" si="21"/>
        <v>0</v>
      </c>
      <c r="AJ44" s="387">
        <f t="shared" si="22"/>
        <v>5.0642191102573522</v>
      </c>
      <c r="AK44" s="387">
        <f t="shared" si="23"/>
        <v>4.8727998873721957E-2</v>
      </c>
      <c r="AL44" s="387">
        <f t="shared" si="24"/>
        <v>7.8664524664524685E-2</v>
      </c>
      <c r="AM44">
        <f t="shared" si="25"/>
        <v>0</v>
      </c>
      <c r="AN44" s="387">
        <f t="shared" si="26"/>
        <v>0.12864625848596922</v>
      </c>
      <c r="AO44" s="387">
        <f t="shared" si="27"/>
        <v>7.4841410000995401</v>
      </c>
      <c r="AP44" s="387">
        <f t="shared" si="28"/>
        <v>0.10642349636780479</v>
      </c>
      <c r="AQ44" s="387">
        <f t="shared" si="29"/>
        <v>0.16144144144144146</v>
      </c>
      <c r="AR44" s="387">
        <f t="shared" si="30"/>
        <v>0.2736903547031776</v>
      </c>
      <c r="AS44" s="387">
        <f t="shared" si="31"/>
        <v>0.46545448572458031</v>
      </c>
      <c r="AT44" s="387">
        <f t="shared" si="32"/>
        <v>0</v>
      </c>
      <c r="AU44" s="387">
        <f t="shared" si="33"/>
        <v>8.8703999999999991E-2</v>
      </c>
      <c r="AV44" s="387">
        <f t="shared" si="34"/>
        <v>0.20517052157356613</v>
      </c>
      <c r="AW44" s="387">
        <f t="shared" si="35"/>
        <v>0</v>
      </c>
      <c r="AX44" s="387">
        <f t="shared" si="36"/>
        <v>3.6000000000000004E-2</v>
      </c>
      <c r="AY44" s="387">
        <f t="shared" si="37"/>
        <v>0.118272</v>
      </c>
      <c r="AZ44" s="387">
        <f t="shared" si="38"/>
        <v>7.3471999999999996E-2</v>
      </c>
      <c r="BA44" s="387">
        <f t="shared" si="56"/>
        <v>0.15427200000000002</v>
      </c>
      <c r="BB44" s="387">
        <f t="shared" si="57"/>
        <v>2.0905337178214594</v>
      </c>
      <c r="BC44">
        <f t="shared" si="39"/>
        <v>72</v>
      </c>
      <c r="BD44" s="606">
        <f t="shared" si="50"/>
        <v>0.97178406453672761</v>
      </c>
      <c r="BE44" s="616">
        <f t="shared" si="40"/>
        <v>10.867512924298461</v>
      </c>
      <c r="BF44" s="616">
        <f t="shared" si="41"/>
        <v>13.684517735158879</v>
      </c>
      <c r="BG44" s="9"/>
      <c r="BH44" s="4">
        <f t="shared" si="51"/>
        <v>97.178406453672764</v>
      </c>
      <c r="BI44" s="387">
        <f t="shared" si="52"/>
        <v>0.60885195885918997</v>
      </c>
      <c r="BJ44" s="387">
        <f t="shared" si="53"/>
        <v>1.0042722967826412</v>
      </c>
      <c r="BK44" s="387">
        <f t="shared" si="54"/>
        <v>2.9272319999999998E-2</v>
      </c>
      <c r="BL44" s="387">
        <f t="shared" si="55"/>
        <v>0.20517052157356613</v>
      </c>
      <c r="BQ44">
        <v>9.9981469999999995</v>
      </c>
      <c r="BR44">
        <v>4.8490000000000002</v>
      </c>
      <c r="BS44">
        <v>5.1107740000000002</v>
      </c>
      <c r="BT44">
        <v>93.953815994681278</v>
      </c>
      <c r="BU44">
        <v>1594.7983209009985</v>
      </c>
    </row>
    <row r="45" spans="1:73" x14ac:dyDescent="0.2">
      <c r="A45" s="28" t="s">
        <v>147</v>
      </c>
      <c r="B45" s="490">
        <f>Vsp_Q1</f>
        <v>4.0999999999999996</v>
      </c>
      <c r="C45" s="488" t="s">
        <v>0</v>
      </c>
      <c r="G45">
        <v>36</v>
      </c>
      <c r="H45" s="612">
        <f t="shared" si="0"/>
        <v>8.42</v>
      </c>
      <c r="I45" s="4" t="str">
        <f t="shared" si="1"/>
        <v>BOOST</v>
      </c>
      <c r="J45">
        <f t="shared" si="43"/>
        <v>2</v>
      </c>
      <c r="K45">
        <f t="shared" si="2"/>
        <v>6</v>
      </c>
      <c r="L45" s="4">
        <f t="shared" si="3"/>
        <v>8.9073634204275542</v>
      </c>
      <c r="M45" s="4">
        <f t="shared" si="4"/>
        <v>8.6457142283286874</v>
      </c>
      <c r="N45" s="387">
        <f t="shared" si="5"/>
        <v>1</v>
      </c>
      <c r="O45" s="387">
        <f t="shared" si="58"/>
        <v>0.30601453604141771</v>
      </c>
      <c r="P45" s="4">
        <f t="shared" si="6"/>
        <v>2.4062523259744601</v>
      </c>
      <c r="Q45" s="387">
        <f t="shared" si="7"/>
        <v>8.9344069356388918</v>
      </c>
      <c r="R45" s="387">
        <f t="shared" si="8"/>
        <v>0.49802371215670876</v>
      </c>
      <c r="S45" s="387">
        <f t="shared" si="45"/>
        <v>9.5720764583268503E-2</v>
      </c>
      <c r="T45" s="387">
        <f t="shared" si="46"/>
        <v>0.59374447673997732</v>
      </c>
      <c r="U45" s="4">
        <f t="shared" si="9"/>
        <v>4.0108660830155971</v>
      </c>
      <c r="V45" s="387">
        <f t="shared" si="10"/>
        <v>0.11260932715119416</v>
      </c>
      <c r="W45" s="387">
        <f t="shared" si="47"/>
        <v>0.11260932715119416</v>
      </c>
      <c r="X45" s="387">
        <f t="shared" si="11"/>
        <v>0.69462521406975886</v>
      </c>
      <c r="Y45" s="387">
        <f t="shared" si="12"/>
        <v>9.650083760429167E-4</v>
      </c>
      <c r="Z45" s="605">
        <f t="shared" si="48"/>
        <v>9.650083760429167E-4</v>
      </c>
      <c r="AA45" s="387">
        <f t="shared" si="13"/>
        <v>8.9344069356388918</v>
      </c>
      <c r="AB45" s="387">
        <f t="shared" si="14"/>
        <v>0.45499467556207629</v>
      </c>
      <c r="AC45" s="387">
        <f t="shared" si="15"/>
        <v>0</v>
      </c>
      <c r="AD45">
        <f t="shared" si="16"/>
        <v>0</v>
      </c>
      <c r="AE45" s="387">
        <f t="shared" si="17"/>
        <v>0.50054361115445456</v>
      </c>
      <c r="AF45" s="387">
        <f t="shared" si="18"/>
        <v>0</v>
      </c>
      <c r="AG45" s="387">
        <f t="shared" si="19"/>
        <v>0</v>
      </c>
      <c r="AH45" s="387">
        <f t="shared" si="20"/>
        <v>0</v>
      </c>
      <c r="AI45" s="387">
        <f t="shared" si="21"/>
        <v>0</v>
      </c>
      <c r="AJ45" s="387">
        <f t="shared" si="22"/>
        <v>4.9423871024819253</v>
      </c>
      <c r="AK45" s="387">
        <f t="shared" si="23"/>
        <v>4.6411661514481388E-2</v>
      </c>
      <c r="AL45" s="387">
        <f t="shared" si="24"/>
        <v>7.7776979552514003E-2</v>
      </c>
      <c r="AM45">
        <f t="shared" si="25"/>
        <v>0</v>
      </c>
      <c r="AN45" s="387">
        <f t="shared" si="26"/>
        <v>0.12535220185955553</v>
      </c>
      <c r="AO45" s="387">
        <f t="shared" si="27"/>
        <v>7.4428782752919354</v>
      </c>
      <c r="AP45" s="387">
        <f t="shared" si="28"/>
        <v>0.10525323033954405</v>
      </c>
      <c r="AQ45" s="387">
        <f t="shared" si="29"/>
        <v>0.1596199524940618</v>
      </c>
      <c r="AR45" s="387">
        <f t="shared" si="30"/>
        <v>0.27056883154343431</v>
      </c>
      <c r="AS45" s="387">
        <f t="shared" si="31"/>
        <v>0.45499467556207629</v>
      </c>
      <c r="AT45" s="387">
        <f t="shared" si="32"/>
        <v>0</v>
      </c>
      <c r="AU45" s="387">
        <f t="shared" si="33"/>
        <v>8.8703999999999991E-2</v>
      </c>
      <c r="AV45" s="387">
        <f t="shared" si="34"/>
        <v>0.19541752216623742</v>
      </c>
      <c r="AW45" s="387">
        <f t="shared" si="35"/>
        <v>0</v>
      </c>
      <c r="AX45" s="387">
        <f t="shared" si="36"/>
        <v>3.6000000000000004E-2</v>
      </c>
      <c r="AY45" s="387">
        <f t="shared" si="37"/>
        <v>0.118272</v>
      </c>
      <c r="AZ45" s="387">
        <f t="shared" si="38"/>
        <v>7.3471999999999996E-2</v>
      </c>
      <c r="BA45" s="387">
        <f t="shared" si="56"/>
        <v>0.15427200000000002</v>
      </c>
      <c r="BB45" s="387">
        <f t="shared" si="57"/>
        <v>2.0421769789908959</v>
      </c>
      <c r="BC45">
        <f t="shared" si="39"/>
        <v>72</v>
      </c>
      <c r="BD45" s="606">
        <f t="shared" si="50"/>
        <v>0.97241873399305434</v>
      </c>
      <c r="BE45" s="616">
        <f t="shared" si="40"/>
        <v>10.702810092977778</v>
      </c>
      <c r="BF45" s="616">
        <f t="shared" si="41"/>
        <v>13.528441577171716</v>
      </c>
      <c r="BG45" s="9"/>
      <c r="BH45" s="4">
        <f t="shared" si="51"/>
        <v>97.241873399305433</v>
      </c>
      <c r="BI45" s="387">
        <f t="shared" si="52"/>
        <v>0.59374447673997732</v>
      </c>
      <c r="BJ45" s="387">
        <f t="shared" si="53"/>
        <v>0.98516864455744446</v>
      </c>
      <c r="BK45" s="387">
        <f t="shared" si="54"/>
        <v>2.9272319999999998E-2</v>
      </c>
      <c r="BL45" s="387">
        <f t="shared" si="55"/>
        <v>0.19541752216623742</v>
      </c>
      <c r="BQ45">
        <v>9.9979859999999992</v>
      </c>
      <c r="BR45">
        <v>5.4960000000000004</v>
      </c>
      <c r="BS45">
        <v>5.1097890000000001</v>
      </c>
      <c r="BT45">
        <v>93.599771362833366</v>
      </c>
      <c r="BU45">
        <v>1920.3056923499939</v>
      </c>
    </row>
    <row r="46" spans="1:73" x14ac:dyDescent="0.2">
      <c r="A46" s="77" t="s">
        <v>239</v>
      </c>
      <c r="B46" s="5">
        <f>Vsd_Q1</f>
        <v>0.8</v>
      </c>
      <c r="C46" s="488" t="s">
        <v>0</v>
      </c>
      <c r="G46">
        <v>37</v>
      </c>
      <c r="H46" s="612">
        <f t="shared" si="0"/>
        <v>8.5150000000000006</v>
      </c>
      <c r="I46" s="4" t="str">
        <f t="shared" si="1"/>
        <v>BOOST</v>
      </c>
      <c r="J46">
        <f t="shared" si="43"/>
        <v>2</v>
      </c>
      <c r="K46">
        <f t="shared" si="2"/>
        <v>6</v>
      </c>
      <c r="L46" s="4">
        <f t="shared" si="3"/>
        <v>8.8079859072225481</v>
      </c>
      <c r="M46" s="4">
        <f t="shared" si="4"/>
        <v>8.5465812728373507</v>
      </c>
      <c r="N46" s="387">
        <f t="shared" si="5"/>
        <v>1</v>
      </c>
      <c r="O46" s="387">
        <f t="shared" si="58"/>
        <v>0.29796490450876145</v>
      </c>
      <c r="P46" s="4">
        <f t="shared" si="6"/>
        <v>2.370290727663297</v>
      </c>
      <c r="Q46" s="387">
        <f t="shared" si="7"/>
        <v>8.8345235064660699</v>
      </c>
      <c r="R46" s="387">
        <f t="shared" si="8"/>
        <v>0.48651952195775544</v>
      </c>
      <c r="S46" s="387">
        <f t="shared" si="45"/>
        <v>9.2456838282165832E-2</v>
      </c>
      <c r="T46" s="387">
        <f t="shared" si="46"/>
        <v>0.57897636023992127</v>
      </c>
      <c r="U46" s="4">
        <f t="shared" si="9"/>
        <v>3.9342345573229771</v>
      </c>
      <c r="V46" s="387">
        <f t="shared" si="10"/>
        <v>0.10834741086424025</v>
      </c>
      <c r="W46" s="387">
        <f t="shared" si="47"/>
        <v>0.10834741086424025</v>
      </c>
      <c r="X46" s="387">
        <f t="shared" si="11"/>
        <v>0.68424399483703924</v>
      </c>
      <c r="Y46" s="387">
        <f t="shared" si="12"/>
        <v>9.3637968894110034E-4</v>
      </c>
      <c r="Z46" s="605">
        <f t="shared" si="48"/>
        <v>9.3637968894110034E-4</v>
      </c>
      <c r="AA46" s="387">
        <f t="shared" si="13"/>
        <v>8.8345235064660699</v>
      </c>
      <c r="AB46" s="387">
        <f t="shared" si="14"/>
        <v>0.44487819184191879</v>
      </c>
      <c r="AC46" s="387">
        <f t="shared" si="15"/>
        <v>0</v>
      </c>
      <c r="AD46">
        <f t="shared" si="16"/>
        <v>0</v>
      </c>
      <c r="AE46" s="387">
        <f t="shared" si="17"/>
        <v>0.48832743730931166</v>
      </c>
      <c r="AF46" s="387">
        <f t="shared" si="18"/>
        <v>0</v>
      </c>
      <c r="AG46" s="387">
        <f t="shared" si="19"/>
        <v>0</v>
      </c>
      <c r="AH46" s="387">
        <f t="shared" si="20"/>
        <v>0</v>
      </c>
      <c r="AI46" s="387">
        <f t="shared" si="21"/>
        <v>0</v>
      </c>
      <c r="AJ46" s="387">
        <f t="shared" si="22"/>
        <v>4.8224272833859541</v>
      </c>
      <c r="AK46" s="387">
        <f t="shared" si="23"/>
        <v>4.4186029316735945E-2</v>
      </c>
      <c r="AL46" s="387">
        <f t="shared" si="24"/>
        <v>7.6909238735427821E-2</v>
      </c>
      <c r="AM46">
        <f t="shared" si="25"/>
        <v>0</v>
      </c>
      <c r="AN46" s="387">
        <f t="shared" si="26"/>
        <v>0.12217495326551596</v>
      </c>
      <c r="AO46" s="387">
        <f t="shared" si="27"/>
        <v>7.4022294400238842</v>
      </c>
      <c r="AP46" s="387">
        <f t="shared" si="28"/>
        <v>0.10410670129723698</v>
      </c>
      <c r="AQ46" s="387">
        <f t="shared" si="29"/>
        <v>0.15783910745742807</v>
      </c>
      <c r="AR46" s="387">
        <f t="shared" si="30"/>
        <v>0.26751584723473382</v>
      </c>
      <c r="AS46" s="387">
        <f t="shared" si="31"/>
        <v>0.44487819184191879</v>
      </c>
      <c r="AT46" s="387">
        <f t="shared" si="32"/>
        <v>0</v>
      </c>
      <c r="AU46" s="387">
        <f t="shared" si="33"/>
        <v>8.8703999999999991E-2</v>
      </c>
      <c r="AV46" s="387">
        <f t="shared" si="34"/>
        <v>0.18604643922836187</v>
      </c>
      <c r="AW46" s="387">
        <f t="shared" si="35"/>
        <v>0</v>
      </c>
      <c r="AX46" s="387">
        <f t="shared" si="36"/>
        <v>3.6000000000000004E-2</v>
      </c>
      <c r="AY46" s="387">
        <f t="shared" si="37"/>
        <v>0.118272</v>
      </c>
      <c r="AZ46" s="387">
        <f t="shared" si="38"/>
        <v>7.3471999999999996E-2</v>
      </c>
      <c r="BA46" s="387">
        <f t="shared" si="56"/>
        <v>0.15427200000000002</v>
      </c>
      <c r="BB46" s="387">
        <f t="shared" si="57"/>
        <v>1.9953008278310258</v>
      </c>
      <c r="BC46">
        <f t="shared" si="39"/>
        <v>72</v>
      </c>
      <c r="BD46" s="606">
        <f t="shared" si="50"/>
        <v>0.97303476294429014</v>
      </c>
      <c r="BE46" s="616">
        <f t="shared" si="40"/>
        <v>10.543947663275798</v>
      </c>
      <c r="BF46" s="616">
        <f t="shared" si="41"/>
        <v>13.375792361736691</v>
      </c>
      <c r="BG46" s="9"/>
      <c r="BH46" s="4">
        <f t="shared" si="51"/>
        <v>97.303476294429018</v>
      </c>
      <c r="BI46" s="387">
        <f t="shared" si="52"/>
        <v>0.57897636023992127</v>
      </c>
      <c r="BJ46" s="387">
        <f t="shared" si="53"/>
        <v>0.96672223780956135</v>
      </c>
      <c r="BK46" s="387">
        <f t="shared" si="54"/>
        <v>2.9272319999999998E-2</v>
      </c>
      <c r="BL46" s="387">
        <f t="shared" si="55"/>
        <v>0.18604643922836187</v>
      </c>
      <c r="BQ46">
        <v>9.9978999999999996</v>
      </c>
      <c r="BR46">
        <v>6.1950000000000003</v>
      </c>
      <c r="BS46">
        <v>5.109191</v>
      </c>
      <c r="BT46">
        <v>93.156651672159526</v>
      </c>
      <c r="BU46">
        <v>2325.1351758999972</v>
      </c>
    </row>
    <row r="47" spans="1:73" ht="15.75" x14ac:dyDescent="0.3">
      <c r="A47" s="489" t="s">
        <v>684</v>
      </c>
      <c r="B47" s="5">
        <f>ThetaJA_Q1</f>
        <v>50</v>
      </c>
      <c r="C47" s="484" t="s">
        <v>241</v>
      </c>
      <c r="D47" s="21" t="s">
        <v>107</v>
      </c>
      <c r="G47">
        <v>38</v>
      </c>
      <c r="H47" s="612">
        <f t="shared" si="0"/>
        <v>8.61</v>
      </c>
      <c r="I47" s="4" t="str">
        <f t="shared" si="1"/>
        <v>BOOST</v>
      </c>
      <c r="J47">
        <f t="shared" si="43"/>
        <v>2</v>
      </c>
      <c r="K47">
        <f t="shared" si="2"/>
        <v>6</v>
      </c>
      <c r="L47" s="4">
        <f t="shared" si="3"/>
        <v>8.7108013937282234</v>
      </c>
      <c r="M47" s="4">
        <f t="shared" si="4"/>
        <v>8.4497310103153858</v>
      </c>
      <c r="N47" s="387">
        <f t="shared" si="5"/>
        <v>1</v>
      </c>
      <c r="O47" s="387">
        <f t="shared" si="58"/>
        <v>0.28991822429906555</v>
      </c>
      <c r="P47" s="4">
        <f t="shared" si="6"/>
        <v>2.3328663868403483</v>
      </c>
      <c r="Q47" s="387">
        <f t="shared" si="7"/>
        <v>8.7367947814143125</v>
      </c>
      <c r="R47" s="387">
        <f t="shared" si="8"/>
        <v>0.47540804985514701</v>
      </c>
      <c r="S47" s="387">
        <f t="shared" si="45"/>
        <v>8.9128041070643829E-2</v>
      </c>
      <c r="T47" s="387">
        <f t="shared" si="46"/>
        <v>0.56453609092579082</v>
      </c>
      <c r="U47" s="4">
        <f t="shared" si="9"/>
        <v>3.857920934063821</v>
      </c>
      <c r="V47" s="387">
        <f t="shared" si="10"/>
        <v>0.10418487753441506</v>
      </c>
      <c r="W47" s="387">
        <f t="shared" si="47"/>
        <v>0.10418487753441506</v>
      </c>
      <c r="X47" s="387">
        <f t="shared" si="11"/>
        <v>0.67344051821285245</v>
      </c>
      <c r="Y47" s="387">
        <f t="shared" si="12"/>
        <v>9.0704426314159052E-4</v>
      </c>
      <c r="Z47" s="605">
        <f t="shared" si="48"/>
        <v>9.0704426314159052E-4</v>
      </c>
      <c r="AA47" s="387">
        <f t="shared" si="13"/>
        <v>8.7367947814143125</v>
      </c>
      <c r="AB47" s="387">
        <f t="shared" si="14"/>
        <v>0.43509002339952574</v>
      </c>
      <c r="AC47" s="387">
        <f t="shared" si="15"/>
        <v>0</v>
      </c>
      <c r="AD47">
        <f t="shared" si="16"/>
        <v>0</v>
      </c>
      <c r="AE47" s="387">
        <f t="shared" si="17"/>
        <v>0.47655925925130821</v>
      </c>
      <c r="AF47" s="387">
        <f t="shared" si="18"/>
        <v>0</v>
      </c>
      <c r="AG47" s="387">
        <f t="shared" si="19"/>
        <v>0</v>
      </c>
      <c r="AH47" s="387">
        <f t="shared" si="20"/>
        <v>0</v>
      </c>
      <c r="AI47" s="387">
        <f t="shared" si="21"/>
        <v>0</v>
      </c>
      <c r="AJ47" s="387">
        <f t="shared" si="22"/>
        <v>4.7042445744807386</v>
      </c>
      <c r="AK47" s="387">
        <f t="shared" si="23"/>
        <v>4.2046842331409783E-2</v>
      </c>
      <c r="AL47" s="387">
        <f t="shared" si="24"/>
        <v>7.6060646670402771E-2</v>
      </c>
      <c r="AM47">
        <f t="shared" si="25"/>
        <v>0</v>
      </c>
      <c r="AN47" s="387">
        <f t="shared" si="26"/>
        <v>0.11910912149213507</v>
      </c>
      <c r="AO47" s="387">
        <f t="shared" si="27"/>
        <v>7.3621780769020315</v>
      </c>
      <c r="AP47" s="387">
        <f t="shared" si="28"/>
        <v>0.1029831654684321</v>
      </c>
      <c r="AQ47" s="387">
        <f t="shared" si="29"/>
        <v>0.15609756097560978</v>
      </c>
      <c r="AR47" s="387">
        <f t="shared" si="30"/>
        <v>0.2645291360008411</v>
      </c>
      <c r="AS47" s="387">
        <f t="shared" si="31"/>
        <v>0.43509002339952574</v>
      </c>
      <c r="AT47" s="387">
        <f t="shared" si="32"/>
        <v>0</v>
      </c>
      <c r="AU47" s="387">
        <f t="shared" si="33"/>
        <v>8.8703999999999991E-2</v>
      </c>
      <c r="AV47" s="387">
        <f t="shared" si="34"/>
        <v>0.17703933613225173</v>
      </c>
      <c r="AW47" s="387">
        <f t="shared" si="35"/>
        <v>0</v>
      </c>
      <c r="AX47" s="387">
        <f t="shared" si="36"/>
        <v>3.6000000000000004E-2</v>
      </c>
      <c r="AY47" s="387">
        <f t="shared" si="37"/>
        <v>0.118272</v>
      </c>
      <c r="AZ47" s="387">
        <f t="shared" si="38"/>
        <v>7.3471999999999996E-2</v>
      </c>
      <c r="BA47" s="387">
        <f t="shared" si="56"/>
        <v>0.15427200000000002</v>
      </c>
      <c r="BB47" s="387">
        <f t="shared" si="57"/>
        <v>1.9498408655998836</v>
      </c>
      <c r="BC47">
        <f t="shared" si="39"/>
        <v>72</v>
      </c>
      <c r="BD47" s="606">
        <f t="shared" si="50"/>
        <v>0.97363292682206548</v>
      </c>
      <c r="BE47" s="616">
        <f t="shared" si="40"/>
        <v>10.390656074606753</v>
      </c>
      <c r="BF47" s="616">
        <f t="shared" si="41"/>
        <v>13.226456800042055</v>
      </c>
      <c r="BG47" s="9"/>
      <c r="BH47" s="4">
        <f t="shared" si="51"/>
        <v>97.363292682206549</v>
      </c>
      <c r="BI47" s="387">
        <f t="shared" si="52"/>
        <v>0.56453609092579082</v>
      </c>
      <c r="BJ47" s="387">
        <f t="shared" si="53"/>
        <v>0.94890151674428436</v>
      </c>
      <c r="BK47" s="387">
        <f t="shared" si="54"/>
        <v>2.9272319999999998E-2</v>
      </c>
      <c r="BL47" s="387">
        <f t="shared" si="55"/>
        <v>0.17703933613225173</v>
      </c>
      <c r="BQ47">
        <v>9.9976269999999996</v>
      </c>
      <c r="BR47">
        <v>6.9470000000000001</v>
      </c>
      <c r="BS47">
        <v>5.1086669999999996</v>
      </c>
      <c r="BT47">
        <v>92.656807634751772</v>
      </c>
      <c r="BU47">
        <v>2812.6290012010018</v>
      </c>
    </row>
    <row r="48" spans="1:73" x14ac:dyDescent="0.2">
      <c r="A48" s="24" t="s">
        <v>773</v>
      </c>
      <c r="B48" s="15" t="s">
        <v>115</v>
      </c>
      <c r="C48" s="24" t="s">
        <v>80</v>
      </c>
      <c r="D48" s="17" t="s">
        <v>111</v>
      </c>
      <c r="G48">
        <v>39</v>
      </c>
      <c r="H48" s="612">
        <f t="shared" si="0"/>
        <v>8.7050000000000001</v>
      </c>
      <c r="I48" s="4" t="str">
        <f t="shared" si="1"/>
        <v>BOOST</v>
      </c>
      <c r="J48">
        <f t="shared" si="43"/>
        <v>2</v>
      </c>
      <c r="K48">
        <f t="shared" si="2"/>
        <v>6</v>
      </c>
      <c r="L48" s="4">
        <f t="shared" si="3"/>
        <v>8.6157380815623199</v>
      </c>
      <c r="M48" s="4">
        <f t="shared" si="4"/>
        <v>8.3550843824506487</v>
      </c>
      <c r="N48" s="387">
        <f t="shared" si="5"/>
        <v>1</v>
      </c>
      <c r="O48" s="387">
        <f t="shared" si="58"/>
        <v>0.28187439822838434</v>
      </c>
      <c r="P48" s="4">
        <f t="shared" si="6"/>
        <v>2.2939804296962856</v>
      </c>
      <c r="Q48" s="387">
        <f t="shared" si="7"/>
        <v>8.6411498969216449</v>
      </c>
      <c r="R48" s="387">
        <f t="shared" si="8"/>
        <v>0.46467127328638669</v>
      </c>
      <c r="S48" s="387">
        <f t="shared" si="45"/>
        <v>8.5742234920510765E-2</v>
      </c>
      <c r="T48" s="387">
        <f t="shared" si="46"/>
        <v>0.55041350820689749</v>
      </c>
      <c r="U48" s="4">
        <f t="shared" si="9"/>
        <v>3.7818824725356466</v>
      </c>
      <c r="V48" s="387">
        <f t="shared" si="10"/>
        <v>0.10011844525250635</v>
      </c>
      <c r="W48" s="387">
        <f t="shared" si="47"/>
        <v>0.10011844525250635</v>
      </c>
      <c r="X48" s="387">
        <f t="shared" si="11"/>
        <v>0.66221510930044192</v>
      </c>
      <c r="Y48" s="387">
        <f t="shared" si="12"/>
        <v>8.770577019715925E-4</v>
      </c>
      <c r="Z48" s="605">
        <f t="shared" si="48"/>
        <v>8.770577019715925E-4</v>
      </c>
      <c r="AA48" s="387">
        <f t="shared" si="13"/>
        <v>8.6411498969216449</v>
      </c>
      <c r="AB48" s="387">
        <f t="shared" si="14"/>
        <v>0.4256159877840931</v>
      </c>
      <c r="AC48" s="387">
        <f t="shared" si="15"/>
        <v>0</v>
      </c>
      <c r="AD48">
        <f t="shared" si="16"/>
        <v>0</v>
      </c>
      <c r="AE48" s="387">
        <f t="shared" si="17"/>
        <v>0.46521672278440579</v>
      </c>
      <c r="AF48" s="387">
        <f t="shared" si="18"/>
        <v>0</v>
      </c>
      <c r="AG48" s="387">
        <f t="shared" si="19"/>
        <v>0</v>
      </c>
      <c r="AH48" s="387">
        <f t="shared" si="20"/>
        <v>0</v>
      </c>
      <c r="AI48" s="387">
        <f t="shared" si="21"/>
        <v>0</v>
      </c>
      <c r="AJ48" s="387">
        <f t="shared" si="22"/>
        <v>4.5877458905948885</v>
      </c>
      <c r="AK48" s="387">
        <f t="shared" si="23"/>
        <v>3.9990083477673542E-2</v>
      </c>
      <c r="AL48" s="387">
        <f t="shared" si="24"/>
        <v>7.523057643103595E-2</v>
      </c>
      <c r="AM48">
        <f t="shared" si="25"/>
        <v>0</v>
      </c>
      <c r="AN48" s="387">
        <f t="shared" si="26"/>
        <v>0.1161496265611255</v>
      </c>
      <c r="AO48" s="387">
        <f t="shared" si="27"/>
        <v>7.3227084596069147</v>
      </c>
      <c r="AP48" s="387">
        <f t="shared" si="28"/>
        <v>0.10188191245035748</v>
      </c>
      <c r="AQ48" s="387">
        <f t="shared" si="29"/>
        <v>0.1543940264215968</v>
      </c>
      <c r="AR48" s="387">
        <f t="shared" si="30"/>
        <v>0.26160653366378939</v>
      </c>
      <c r="AS48" s="387">
        <f t="shared" si="31"/>
        <v>0.4256159877840931</v>
      </c>
      <c r="AT48" s="387">
        <f t="shared" si="32"/>
        <v>0</v>
      </c>
      <c r="AU48" s="387">
        <f t="shared" si="33"/>
        <v>8.8703999999999991E-2</v>
      </c>
      <c r="AV48" s="387">
        <f t="shared" si="34"/>
        <v>0.16837929885336228</v>
      </c>
      <c r="AW48" s="387">
        <f t="shared" si="35"/>
        <v>0</v>
      </c>
      <c r="AX48" s="387">
        <f t="shared" si="36"/>
        <v>3.6000000000000004E-2</v>
      </c>
      <c r="AY48" s="387">
        <f t="shared" si="37"/>
        <v>0.118272</v>
      </c>
      <c r="AZ48" s="387">
        <f t="shared" si="38"/>
        <v>7.3471999999999996E-2</v>
      </c>
      <c r="BA48" s="387">
        <f t="shared" si="56"/>
        <v>0.15427200000000002</v>
      </c>
      <c r="BB48" s="387">
        <f t="shared" si="57"/>
        <v>1.9057371930240583</v>
      </c>
      <c r="BC48">
        <f t="shared" si="39"/>
        <v>72</v>
      </c>
      <c r="BD48" s="606">
        <f t="shared" si="50"/>
        <v>0.97421394785567561</v>
      </c>
      <c r="BE48" s="616">
        <f t="shared" si="40"/>
        <v>10.242681328056275</v>
      </c>
      <c r="BF48" s="616">
        <f t="shared" si="41"/>
        <v>13.080326683189469</v>
      </c>
      <c r="BG48" s="9"/>
      <c r="BH48" s="4">
        <f t="shared" si="51"/>
        <v>97.421394785567557</v>
      </c>
      <c r="BI48" s="387">
        <f t="shared" si="52"/>
        <v>0.55041350820689749</v>
      </c>
      <c r="BJ48" s="387">
        <f t="shared" si="53"/>
        <v>0.93167688300932072</v>
      </c>
      <c r="BK48" s="387">
        <f t="shared" si="54"/>
        <v>2.9272319999999998E-2</v>
      </c>
      <c r="BL48" s="387">
        <f t="shared" si="55"/>
        <v>0.16837929885336228</v>
      </c>
      <c r="BQ48">
        <v>9.9975280000000009</v>
      </c>
      <c r="BR48">
        <v>7.7530000000000001</v>
      </c>
      <c r="BS48">
        <v>5.10853</v>
      </c>
      <c r="BT48">
        <v>92.034336419785248</v>
      </c>
      <c r="BU48">
        <v>3427.976173640001</v>
      </c>
    </row>
    <row r="49" spans="1:73" x14ac:dyDescent="0.2">
      <c r="A49" s="23" t="s">
        <v>72</v>
      </c>
      <c r="B49" s="5">
        <f>Rdson2*1000</f>
        <v>5.7</v>
      </c>
      <c r="C49" s="485" t="s">
        <v>678</v>
      </c>
      <c r="D49" s="483" t="s">
        <v>774</v>
      </c>
      <c r="G49">
        <v>40</v>
      </c>
      <c r="H49" s="612">
        <f t="shared" si="0"/>
        <v>8.8000000000000007</v>
      </c>
      <c r="I49" s="4" t="str">
        <f t="shared" si="1"/>
        <v>BOOST</v>
      </c>
      <c r="J49">
        <f t="shared" si="43"/>
        <v>2</v>
      </c>
      <c r="K49">
        <f t="shared" si="2"/>
        <v>6</v>
      </c>
      <c r="L49" s="4">
        <f t="shared" si="3"/>
        <v>8.5227272727272716</v>
      </c>
      <c r="M49" s="4">
        <f t="shared" si="4"/>
        <v>8.2625659857700224</v>
      </c>
      <c r="N49" s="387">
        <f t="shared" si="5"/>
        <v>1</v>
      </c>
      <c r="O49" s="387">
        <f t="shared" si="58"/>
        <v>0.27383333333333321</v>
      </c>
      <c r="P49" s="4">
        <f t="shared" si="6"/>
        <v>2.2536339332487101</v>
      </c>
      <c r="Q49" s="387">
        <f t="shared" si="7"/>
        <v>8.5475212190852972</v>
      </c>
      <c r="R49" s="387">
        <f t="shared" si="8"/>
        <v>0.45429222300141936</v>
      </c>
      <c r="S49" s="387">
        <f t="shared" si="45"/>
        <v>8.2307498534866422E-2</v>
      </c>
      <c r="T49" s="387">
        <f t="shared" si="46"/>
        <v>0.53659972153628577</v>
      </c>
      <c r="U49" s="4">
        <f t="shared" si="9"/>
        <v>3.7060756706158169</v>
      </c>
      <c r="V49" s="387">
        <f t="shared" si="10"/>
        <v>9.6144978134313344E-2</v>
      </c>
      <c r="W49" s="387">
        <f t="shared" si="47"/>
        <v>9.6144978134313344E-2</v>
      </c>
      <c r="X49" s="387">
        <f t="shared" si="11"/>
        <v>0.65056807900800895</v>
      </c>
      <c r="Y49" s="387">
        <f t="shared" si="12"/>
        <v>8.464776508483419E-4</v>
      </c>
      <c r="Z49" s="605">
        <f t="shared" si="48"/>
        <v>8.464776508483419E-4</v>
      </c>
      <c r="AA49" s="387">
        <f t="shared" si="13"/>
        <v>8.5475212190852972</v>
      </c>
      <c r="AB49" s="387">
        <f t="shared" si="14"/>
        <v>0.41644267824706643</v>
      </c>
      <c r="AC49" s="387">
        <f t="shared" si="15"/>
        <v>0</v>
      </c>
      <c r="AD49">
        <f t="shared" si="16"/>
        <v>0</v>
      </c>
      <c r="AE49" s="387">
        <f t="shared" si="17"/>
        <v>0.45427890284112593</v>
      </c>
      <c r="AF49" s="387">
        <f t="shared" si="18"/>
        <v>0</v>
      </c>
      <c r="AG49" s="387">
        <f t="shared" si="19"/>
        <v>0</v>
      </c>
      <c r="AH49" s="387">
        <f t="shared" si="20"/>
        <v>0</v>
      </c>
      <c r="AI49" s="387">
        <f t="shared" si="21"/>
        <v>0</v>
      </c>
      <c r="AJ49" s="387">
        <f t="shared" si="22"/>
        <v>4.4728398045265392</v>
      </c>
      <c r="AK49" s="387">
        <f t="shared" si="23"/>
        <v>3.8011962242218318E-2</v>
      </c>
      <c r="AL49" s="387">
        <f t="shared" si="24"/>
        <v>7.4418428162746339E-2</v>
      </c>
      <c r="AM49">
        <f t="shared" si="25"/>
        <v>0</v>
      </c>
      <c r="AN49" s="387">
        <f t="shared" si="26"/>
        <v>0.11329167820381283</v>
      </c>
      <c r="AO49" s="387">
        <f t="shared" si="27"/>
        <v>7.2838055351413935</v>
      </c>
      <c r="AP49" s="387">
        <f t="shared" si="28"/>
        <v>0.10080226384013717</v>
      </c>
      <c r="AQ49" s="387">
        <f t="shared" si="29"/>
        <v>0.15272727272727271</v>
      </c>
      <c r="AR49" s="387">
        <f t="shared" si="30"/>
        <v>0.25874597252542608</v>
      </c>
      <c r="AS49" s="387">
        <f t="shared" si="31"/>
        <v>0.41644267824706643</v>
      </c>
      <c r="AT49" s="387">
        <f t="shared" si="32"/>
        <v>0</v>
      </c>
      <c r="AU49" s="387">
        <f t="shared" si="33"/>
        <v>8.8703999999999991E-2</v>
      </c>
      <c r="AV49" s="387">
        <f t="shared" si="34"/>
        <v>0.16005036733565606</v>
      </c>
      <c r="AW49" s="387">
        <f t="shared" si="35"/>
        <v>0</v>
      </c>
      <c r="AX49" s="387">
        <f t="shared" si="36"/>
        <v>3.6000000000000004E-2</v>
      </c>
      <c r="AY49" s="387">
        <f t="shared" si="37"/>
        <v>0.118272</v>
      </c>
      <c r="AZ49" s="387">
        <f t="shared" si="38"/>
        <v>7.3471999999999996E-2</v>
      </c>
      <c r="BA49" s="387">
        <f t="shared" si="56"/>
        <v>0.15427200000000002</v>
      </c>
      <c r="BB49" s="387">
        <f t="shared" si="57"/>
        <v>1.8629340982274682</v>
      </c>
      <c r="BC49">
        <f t="shared" si="39"/>
        <v>72</v>
      </c>
      <c r="BD49" s="606">
        <f t="shared" si="50"/>
        <v>0.97477849856668264</v>
      </c>
      <c r="BE49" s="616">
        <f t="shared" si="40"/>
        <v>10.099783910190641</v>
      </c>
      <c r="BF49" s="616">
        <f t="shared" si="41"/>
        <v>12.937298626271303</v>
      </c>
      <c r="BG49" s="9"/>
      <c r="BH49" s="4">
        <f t="shared" si="51"/>
        <v>97.477849856668257</v>
      </c>
      <c r="BI49" s="387">
        <f t="shared" si="52"/>
        <v>0.53659972153628577</v>
      </c>
      <c r="BJ49" s="387">
        <f t="shared" si="53"/>
        <v>0.91502055357036483</v>
      </c>
      <c r="BK49" s="387">
        <f t="shared" si="54"/>
        <v>2.9272319999999998E-2</v>
      </c>
      <c r="BL49" s="387">
        <f t="shared" si="55"/>
        <v>0.16005036733565606</v>
      </c>
      <c r="BQ49">
        <v>9.9970090000000003</v>
      </c>
      <c r="BR49">
        <v>8.6120000000000001</v>
      </c>
      <c r="BS49">
        <v>5.1085419999999999</v>
      </c>
      <c r="BT49">
        <v>91.346378256658895</v>
      </c>
      <c r="BU49">
        <v>4167.8065612820019</v>
      </c>
    </row>
    <row r="50" spans="1:73" x14ac:dyDescent="0.2">
      <c r="A50" s="23" t="s">
        <v>84</v>
      </c>
      <c r="B50" s="5">
        <f>RdsonBotTc*1000000</f>
        <v>4000</v>
      </c>
      <c r="C50" s="483" t="s">
        <v>85</v>
      </c>
      <c r="D50" s="21" t="s">
        <v>108</v>
      </c>
      <c r="G50">
        <v>41</v>
      </c>
      <c r="H50" s="612">
        <f t="shared" si="0"/>
        <v>8.8949999999999996</v>
      </c>
      <c r="I50" s="4" t="str">
        <f t="shared" si="1"/>
        <v>BOOST</v>
      </c>
      <c r="J50">
        <f t="shared" si="43"/>
        <v>2</v>
      </c>
      <c r="K50">
        <f t="shared" si="2"/>
        <v>6</v>
      </c>
      <c r="L50" s="4">
        <f t="shared" si="3"/>
        <v>8.4317032040472188</v>
      </c>
      <c r="M50" s="4">
        <f t="shared" si="4"/>
        <v>8.1721038605568381</v>
      </c>
      <c r="N50" s="387">
        <f t="shared" si="5"/>
        <v>1</v>
      </c>
      <c r="O50" s="387">
        <f t="shared" si="58"/>
        <v>0.26579494064443199</v>
      </c>
      <c r="P50" s="4">
        <f t="shared" si="6"/>
        <v>2.2118279279968358</v>
      </c>
      <c r="Q50" s="387">
        <f t="shared" si="7"/>
        <v>8.4558441813771044</v>
      </c>
      <c r="R50" s="387">
        <f t="shared" si="8"/>
        <v>0.44425491084856222</v>
      </c>
      <c r="S50" s="387">
        <f t="shared" si="45"/>
        <v>7.8832117535031221E-2</v>
      </c>
      <c r="T50" s="387">
        <f t="shared" si="46"/>
        <v>0.52308702838359344</v>
      </c>
      <c r="U50" s="4">
        <f t="shared" si="9"/>
        <v>3.6304560412765929</v>
      </c>
      <c r="V50" s="387">
        <f t="shared" si="10"/>
        <v>9.2261477473491976E-2</v>
      </c>
      <c r="W50" s="387">
        <f t="shared" si="47"/>
        <v>9.2261477473491976E-2</v>
      </c>
      <c r="X50" s="387">
        <f t="shared" si="11"/>
        <v>0.63849972481505268</v>
      </c>
      <c r="Y50" s="387">
        <f t="shared" si="12"/>
        <v>8.1536379717779604E-4</v>
      </c>
      <c r="Z50" s="605">
        <f t="shared" si="48"/>
        <v>8.1536379717779604E-4</v>
      </c>
      <c r="AA50" s="387">
        <f t="shared" si="13"/>
        <v>8.4558441813771044</v>
      </c>
      <c r="AB50" s="387">
        <f t="shared" si="14"/>
        <v>0.40755741467245554</v>
      </c>
      <c r="AC50" s="387">
        <f t="shared" si="15"/>
        <v>0</v>
      </c>
      <c r="AD50">
        <f t="shared" si="16"/>
        <v>0</v>
      </c>
      <c r="AE50" s="387">
        <f t="shared" si="17"/>
        <v>0.44372619482992137</v>
      </c>
      <c r="AF50" s="387">
        <f t="shared" si="18"/>
        <v>0</v>
      </c>
      <c r="AG50" s="387">
        <f t="shared" si="19"/>
        <v>0</v>
      </c>
      <c r="AH50" s="387">
        <f t="shared" si="20"/>
        <v>0</v>
      </c>
      <c r="AI50" s="387">
        <f t="shared" si="21"/>
        <v>0</v>
      </c>
      <c r="AJ50" s="387">
        <f t="shared" si="22"/>
        <v>4.3594362029257354</v>
      </c>
      <c r="AK50" s="387">
        <f t="shared" si="23"/>
        <v>3.6108899614021146E-2</v>
      </c>
      <c r="AL50" s="387">
        <f t="shared" si="24"/>
        <v>7.3623627637118383E-2</v>
      </c>
      <c r="AM50">
        <f t="shared" si="25"/>
        <v>0</v>
      </c>
      <c r="AN50" s="387">
        <f t="shared" si="26"/>
        <v>0.11053075604600493</v>
      </c>
      <c r="AO50" s="387">
        <f t="shared" si="27"/>
        <v>7.245454907205584</v>
      </c>
      <c r="AP50" s="387">
        <f t="shared" si="28"/>
        <v>9.9743571943464004E-2</v>
      </c>
      <c r="AQ50" s="387">
        <f t="shared" si="29"/>
        <v>0.15109612141652617</v>
      </c>
      <c r="AR50" s="387">
        <f t="shared" si="30"/>
        <v>0.25594547657118666</v>
      </c>
      <c r="AS50" s="387">
        <f t="shared" si="31"/>
        <v>0.40755741467245554</v>
      </c>
      <c r="AT50" s="387">
        <f t="shared" si="32"/>
        <v>0</v>
      </c>
      <c r="AU50" s="387">
        <f t="shared" si="33"/>
        <v>8.8703999999999991E-2</v>
      </c>
      <c r="AV50" s="387">
        <f t="shared" si="34"/>
        <v>0.15203747205903642</v>
      </c>
      <c r="AW50" s="387">
        <f t="shared" si="35"/>
        <v>0</v>
      </c>
      <c r="AX50" s="387">
        <f t="shared" si="36"/>
        <v>3.6000000000000004E-2</v>
      </c>
      <c r="AY50" s="387">
        <f t="shared" si="37"/>
        <v>0.118272</v>
      </c>
      <c r="AZ50" s="387">
        <f t="shared" si="38"/>
        <v>7.3471999999999996E-2</v>
      </c>
      <c r="BA50" s="387">
        <f t="shared" si="56"/>
        <v>0.15427200000000002</v>
      </c>
      <c r="BB50" s="387">
        <f t="shared" si="57"/>
        <v>1.8213797691604126</v>
      </c>
      <c r="BC50">
        <f t="shared" si="39"/>
        <v>72</v>
      </c>
      <c r="BD50" s="606">
        <f t="shared" si="50"/>
        <v>0.97532720500678971</v>
      </c>
      <c r="BE50" s="616">
        <f t="shared" si="40"/>
        <v>9.961737802300247</v>
      </c>
      <c r="BF50" s="616">
        <f t="shared" si="41"/>
        <v>12.797273828559334</v>
      </c>
      <c r="BG50" s="9"/>
      <c r="BH50" s="4">
        <f t="shared" si="51"/>
        <v>97.532720500678977</v>
      </c>
      <c r="BI50" s="387">
        <f t="shared" si="52"/>
        <v>0.52308702838359344</v>
      </c>
      <c r="BJ50" s="387">
        <f t="shared" si="53"/>
        <v>0.89890642744711291</v>
      </c>
      <c r="BK50" s="387">
        <f t="shared" si="54"/>
        <v>2.9272319999999998E-2</v>
      </c>
      <c r="BL50" s="387">
        <f t="shared" si="55"/>
        <v>0.15203747205903642</v>
      </c>
      <c r="BQ50">
        <v>9.9969590000000004</v>
      </c>
      <c r="BR50">
        <v>9.5229999999999997</v>
      </c>
      <c r="BS50">
        <v>5.1087540000000002</v>
      </c>
      <c r="BT50">
        <v>90.547826191651922</v>
      </c>
      <c r="BU50">
        <v>5078.5816240809982</v>
      </c>
    </row>
    <row r="51" spans="1:73" x14ac:dyDescent="0.2">
      <c r="A51" s="23" t="s">
        <v>71</v>
      </c>
      <c r="B51" s="5">
        <f>Qg_Q2*1000000000</f>
        <v>11</v>
      </c>
      <c r="C51" s="483" t="s">
        <v>69</v>
      </c>
      <c r="D51" s="21" t="s">
        <v>103</v>
      </c>
      <c r="G51">
        <v>42</v>
      </c>
      <c r="H51" s="612">
        <f t="shared" si="0"/>
        <v>8.99</v>
      </c>
      <c r="I51" s="4" t="str">
        <f t="shared" si="1"/>
        <v>BOOST</v>
      </c>
      <c r="J51">
        <f t="shared" si="43"/>
        <v>2</v>
      </c>
      <c r="K51">
        <f t="shared" si="2"/>
        <v>6</v>
      </c>
      <c r="L51" s="4">
        <f t="shared" si="3"/>
        <v>8.3426028921023363</v>
      </c>
      <c r="M51" s="4">
        <f t="shared" si="4"/>
        <v>8.0836292943652701</v>
      </c>
      <c r="N51" s="387">
        <f t="shared" si="5"/>
        <v>1</v>
      </c>
      <c r="O51" s="387">
        <f t="shared" si="58"/>
        <v>0.25775913497390007</v>
      </c>
      <c r="P51" s="4">
        <f t="shared" si="6"/>
        <v>2.1685634004060286</v>
      </c>
      <c r="Q51" s="387">
        <f t="shared" si="7"/>
        <v>8.3660571328700577</v>
      </c>
      <c r="R51" s="387">
        <f t="shared" si="8"/>
        <v>0.43454426335469004</v>
      </c>
      <c r="S51" s="387">
        <f t="shared" si="45"/>
        <v>7.5324573986227647E-2</v>
      </c>
      <c r="T51" s="387">
        <f t="shared" si="46"/>
        <v>0.5098688373409177</v>
      </c>
      <c r="U51" s="4">
        <f t="shared" si="9"/>
        <v>3.5549778682510289</v>
      </c>
      <c r="V51" s="387">
        <f t="shared" si="10"/>
        <v>8.846507350628241E-2</v>
      </c>
      <c r="W51" s="387">
        <f t="shared" si="47"/>
        <v>8.846507350628241E-2</v>
      </c>
      <c r="X51" s="387">
        <f t="shared" si="11"/>
        <v>0.6260103314895954</v>
      </c>
      <c r="Y51" s="387">
        <f t="shared" si="12"/>
        <v>7.8377787026342625E-4</v>
      </c>
      <c r="Z51" s="605">
        <f t="shared" si="48"/>
        <v>7.8377787026342625E-4</v>
      </c>
      <c r="AA51" s="387">
        <f t="shared" si="13"/>
        <v>8.3660571328700577</v>
      </c>
      <c r="AB51" s="387">
        <f t="shared" si="14"/>
        <v>0.39894819811754206</v>
      </c>
      <c r="AC51" s="387">
        <f t="shared" si="15"/>
        <v>0</v>
      </c>
      <c r="AD51">
        <f t="shared" si="16"/>
        <v>0</v>
      </c>
      <c r="AE51" s="387">
        <f t="shared" si="17"/>
        <v>0.43354021568972317</v>
      </c>
      <c r="AF51" s="387">
        <f t="shared" si="18"/>
        <v>0</v>
      </c>
      <c r="AG51" s="387">
        <f t="shared" si="19"/>
        <v>0</v>
      </c>
      <c r="AH51" s="387">
        <f t="shared" si="20"/>
        <v>0</v>
      </c>
      <c r="AI51" s="387">
        <f t="shared" si="21"/>
        <v>0</v>
      </c>
      <c r="AJ51" s="387">
        <f t="shared" si="22"/>
        <v>4.2474459290709472</v>
      </c>
      <c r="AK51" s="387">
        <f t="shared" si="23"/>
        <v>3.4277514148724583E-2</v>
      </c>
      <c r="AL51" s="387">
        <f t="shared" si="24"/>
        <v>7.2845624897905234E-2</v>
      </c>
      <c r="AM51">
        <f t="shared" si="25"/>
        <v>0</v>
      </c>
      <c r="AN51" s="387">
        <f t="shared" si="26"/>
        <v>0.10786259134683164</v>
      </c>
      <c r="AO51" s="387">
        <f t="shared" si="27"/>
        <v>7.2076428206497996</v>
      </c>
      <c r="AP51" s="387">
        <f t="shared" si="28"/>
        <v>9.8705218557122748E-2</v>
      </c>
      <c r="AQ51" s="387">
        <f t="shared" si="29"/>
        <v>0.14949944382647387</v>
      </c>
      <c r="AR51" s="387">
        <f t="shared" si="30"/>
        <v>0.25320315697327678</v>
      </c>
      <c r="AS51" s="387">
        <f t="shared" si="31"/>
        <v>0.39894819811754206</v>
      </c>
      <c r="AT51" s="387">
        <f t="shared" si="32"/>
        <v>0</v>
      </c>
      <c r="AU51" s="387">
        <f t="shared" si="33"/>
        <v>8.8703999999999991E-2</v>
      </c>
      <c r="AV51" s="387">
        <f t="shared" si="34"/>
        <v>0.1443263753630509</v>
      </c>
      <c r="AW51" s="387">
        <f t="shared" si="35"/>
        <v>0</v>
      </c>
      <c r="AX51" s="387">
        <f t="shared" si="36"/>
        <v>3.6000000000000004E-2</v>
      </c>
      <c r="AY51" s="387">
        <f t="shared" si="37"/>
        <v>0.118272</v>
      </c>
      <c r="AZ51" s="387">
        <f t="shared" si="38"/>
        <v>7.3471999999999996E-2</v>
      </c>
      <c r="BA51" s="387">
        <f t="shared" si="56"/>
        <v>0.15427200000000002</v>
      </c>
      <c r="BB51" s="387">
        <f t="shared" si="57"/>
        <v>1.7810260280903456</v>
      </c>
      <c r="BC51">
        <f t="shared" si="39"/>
        <v>72</v>
      </c>
      <c r="BD51" s="606">
        <f t="shared" si="50"/>
        <v>0.97586064976363618</v>
      </c>
      <c r="BE51" s="616">
        <f t="shared" si="40"/>
        <v>9.8283295673415818</v>
      </c>
      <c r="BF51" s="616">
        <f t="shared" si="41"/>
        <v>12.66015784866384</v>
      </c>
      <c r="BG51" s="9"/>
      <c r="BH51" s="4">
        <f t="shared" si="51"/>
        <v>97.586064976363616</v>
      </c>
      <c r="BI51" s="387">
        <f t="shared" si="52"/>
        <v>0.5098688373409177</v>
      </c>
      <c r="BJ51" s="387">
        <f t="shared" si="53"/>
        <v>0.88330996400983164</v>
      </c>
      <c r="BK51" s="387">
        <f t="shared" si="54"/>
        <v>2.9272319999999998E-2</v>
      </c>
      <c r="BL51" s="387">
        <f t="shared" si="55"/>
        <v>0.1443263753630509</v>
      </c>
      <c r="BQ51">
        <v>9.9964639999999996</v>
      </c>
      <c r="BR51">
        <v>10.493</v>
      </c>
      <c r="BS51">
        <v>5.1092279999999999</v>
      </c>
      <c r="BT51">
        <v>89.626660259106615</v>
      </c>
      <c r="BU51">
        <v>6204.9221585439973</v>
      </c>
    </row>
    <row r="52" spans="1:73" x14ac:dyDescent="0.2">
      <c r="A52" s="23" t="s">
        <v>95</v>
      </c>
      <c r="B52" s="5">
        <f>Rgate2</f>
        <v>1.5</v>
      </c>
      <c r="C52" s="487" t="s">
        <v>120</v>
      </c>
      <c r="D52" s="21" t="s">
        <v>104</v>
      </c>
      <c r="G52">
        <v>43</v>
      </c>
      <c r="H52" s="612">
        <f t="shared" si="0"/>
        <v>9.0850000000000009</v>
      </c>
      <c r="I52" s="4" t="str">
        <f t="shared" si="1"/>
        <v>BOOST</v>
      </c>
      <c r="J52">
        <f t="shared" si="43"/>
        <v>2</v>
      </c>
      <c r="K52">
        <f t="shared" si="2"/>
        <v>6</v>
      </c>
      <c r="L52" s="4">
        <f t="shared" si="3"/>
        <v>8.2553659878921302</v>
      </c>
      <c r="M52" s="4">
        <f t="shared" si="4"/>
        <v>7.9970766389584567</v>
      </c>
      <c r="N52" s="387">
        <f t="shared" si="5"/>
        <v>1</v>
      </c>
      <c r="O52" s="387">
        <f t="shared" si="58"/>
        <v>0.24972583471684182</v>
      </c>
      <c r="P52" s="4">
        <f t="shared" si="6"/>
        <v>2.1238412952348216</v>
      </c>
      <c r="Q52" s="387">
        <f t="shared" si="7"/>
        <v>8.2781011962078761</v>
      </c>
      <c r="R52" s="387">
        <f t="shared" si="8"/>
        <v>0.42514606057018728</v>
      </c>
      <c r="S52" s="387">
        <f t="shared" si="45"/>
        <v>7.1793535207895304E-2</v>
      </c>
      <c r="T52" s="387">
        <f t="shared" si="46"/>
        <v>0.49693959577808255</v>
      </c>
      <c r="U52" s="4">
        <f t="shared" si="9"/>
        <v>3.4795939364678827</v>
      </c>
      <c r="V52" s="387">
        <f t="shared" si="10"/>
        <v>8.4753017738928391E-2</v>
      </c>
      <c r="W52" s="387">
        <f t="shared" si="47"/>
        <v>8.4753017738928391E-2</v>
      </c>
      <c r="X52" s="387">
        <f t="shared" si="11"/>
        <v>0.61310017175993392</v>
      </c>
      <c r="Y52" s="387">
        <f t="shared" si="12"/>
        <v>7.5178364122412101E-4</v>
      </c>
      <c r="Z52" s="605">
        <f t="shared" si="48"/>
        <v>7.5178364122412101E-4</v>
      </c>
      <c r="AA52" s="387">
        <f t="shared" si="13"/>
        <v>8.2781011962078761</v>
      </c>
      <c r="AB52" s="387">
        <f t="shared" si="14"/>
        <v>0.39060366866355212</v>
      </c>
      <c r="AC52" s="387">
        <f t="shared" si="15"/>
        <v>0</v>
      </c>
      <c r="AD52">
        <f t="shared" si="16"/>
        <v>0</v>
      </c>
      <c r="AE52" s="387">
        <f t="shared" si="17"/>
        <v>0.42370371365994097</v>
      </c>
      <c r="AF52" s="387">
        <f t="shared" si="18"/>
        <v>0</v>
      </c>
      <c r="AG52" s="387">
        <f t="shared" si="19"/>
        <v>0</v>
      </c>
      <c r="AH52" s="387">
        <f t="shared" si="20"/>
        <v>0</v>
      </c>
      <c r="AI52" s="387">
        <f t="shared" si="21"/>
        <v>0</v>
      </c>
      <c r="AJ52" s="387">
        <f t="shared" si="22"/>
        <v>4.1367804075672998</v>
      </c>
      <c r="AK52" s="387">
        <f t="shared" si="23"/>
        <v>3.2514609066822082E-2</v>
      </c>
      <c r="AL52" s="387">
        <f t="shared" si="24"/>
        <v>7.2083892991983256E-2</v>
      </c>
      <c r="AM52">
        <f t="shared" si="25"/>
        <v>0</v>
      </c>
      <c r="AN52" s="387">
        <f t="shared" si="26"/>
        <v>0.10528315015251183</v>
      </c>
      <c r="AO52" s="387">
        <f t="shared" si="27"/>
        <v>7.1703561469585022</v>
      </c>
      <c r="AP52" s="387">
        <f t="shared" si="28"/>
        <v>9.7686613821028598E-2</v>
      </c>
      <c r="AQ52" s="387">
        <f t="shared" si="29"/>
        <v>0.14793615850302699</v>
      </c>
      <c r="AR52" s="387">
        <f t="shared" si="30"/>
        <v>0.25051720787224324</v>
      </c>
      <c r="AS52" s="387">
        <f t="shared" si="31"/>
        <v>0.39060366866355212</v>
      </c>
      <c r="AT52" s="387">
        <f t="shared" si="32"/>
        <v>0</v>
      </c>
      <c r="AU52" s="387">
        <f t="shared" si="33"/>
        <v>8.8703999999999991E-2</v>
      </c>
      <c r="AV52" s="387">
        <f t="shared" si="34"/>
        <v>0.13690361712346141</v>
      </c>
      <c r="AW52" s="387">
        <f t="shared" si="35"/>
        <v>0</v>
      </c>
      <c r="AX52" s="387">
        <f t="shared" si="36"/>
        <v>3.6000000000000004E-2</v>
      </c>
      <c r="AY52" s="387">
        <f t="shared" si="37"/>
        <v>0.118272</v>
      </c>
      <c r="AZ52" s="387">
        <f t="shared" si="38"/>
        <v>7.3471999999999996E-2</v>
      </c>
      <c r="BA52" s="387">
        <f t="shared" si="56"/>
        <v>0.15427200000000002</v>
      </c>
      <c r="BB52" s="387">
        <f t="shared" si="57"/>
        <v>1.7418280859663924</v>
      </c>
      <c r="BC52">
        <f t="shared" si="39"/>
        <v>72</v>
      </c>
      <c r="BD52" s="606">
        <f t="shared" si="50"/>
        <v>0.97637937475680958</v>
      </c>
      <c r="BE52" s="616">
        <f t="shared" si="40"/>
        <v>9.6993575076255922</v>
      </c>
      <c r="BF52" s="616">
        <f t="shared" si="41"/>
        <v>12.525860393612161</v>
      </c>
      <c r="BG52" s="9"/>
      <c r="BH52" s="4">
        <f t="shared" si="51"/>
        <v>97.637937475680957</v>
      </c>
      <c r="BI52" s="387">
        <f t="shared" si="52"/>
        <v>0.49693959577808255</v>
      </c>
      <c r="BJ52" s="387">
        <f t="shared" si="53"/>
        <v>0.86820807168469616</v>
      </c>
      <c r="BK52" s="387">
        <f t="shared" si="54"/>
        <v>2.9272319999999998E-2</v>
      </c>
      <c r="BL52" s="387">
        <f t="shared" si="55"/>
        <v>0.13690361712346141</v>
      </c>
      <c r="BQ52">
        <v>9.9959819999999997</v>
      </c>
      <c r="BR52">
        <v>11.519</v>
      </c>
      <c r="BS52">
        <v>5.1101260000000002</v>
      </c>
      <c r="BT52">
        <v>88.591390420220321</v>
      </c>
      <c r="BU52">
        <v>7580.3207309739973</v>
      </c>
    </row>
    <row r="53" spans="1:73" x14ac:dyDescent="0.2">
      <c r="A53" s="23" t="s">
        <v>76</v>
      </c>
      <c r="B53" s="5">
        <f>Vsd_Q2</f>
        <v>0.8</v>
      </c>
      <c r="C53" s="483" t="s">
        <v>0</v>
      </c>
      <c r="D53" s="21" t="s">
        <v>109</v>
      </c>
      <c r="G53">
        <v>44</v>
      </c>
      <c r="H53" s="612">
        <f t="shared" si="0"/>
        <v>9.18</v>
      </c>
      <c r="I53" s="4" t="str">
        <f t="shared" si="1"/>
        <v>BOOST</v>
      </c>
      <c r="J53">
        <f t="shared" si="43"/>
        <v>2</v>
      </c>
      <c r="K53">
        <f t="shared" si="2"/>
        <v>6</v>
      </c>
      <c r="L53" s="4">
        <f t="shared" si="3"/>
        <v>8.169934640522877</v>
      </c>
      <c r="M53" s="4">
        <f t="shared" si="4"/>
        <v>7.912383139604164</v>
      </c>
      <c r="N53" s="387">
        <f t="shared" si="5"/>
        <v>1</v>
      </c>
      <c r="O53" s="387">
        <f t="shared" si="58"/>
        <v>0.24169496166484114</v>
      </c>
      <c r="P53" s="4">
        <f t="shared" si="6"/>
        <v>2.0776625177158898</v>
      </c>
      <c r="Q53" s="387">
        <f t="shared" si="7"/>
        <v>8.1919201346128734</v>
      </c>
      <c r="R53" s="387">
        <f t="shared" si="8"/>
        <v>0.41604687970337445</v>
      </c>
      <c r="S53" s="387">
        <f t="shared" si="45"/>
        <v>6.8247841807338117E-2</v>
      </c>
      <c r="T53" s="387">
        <f t="shared" si="46"/>
        <v>0.48429472151071257</v>
      </c>
      <c r="U53" s="4">
        <f t="shared" si="9"/>
        <v>3.4042552320188499</v>
      </c>
      <c r="V53" s="387">
        <f t="shared" si="10"/>
        <v>8.1122675793093998E-2</v>
      </c>
      <c r="W53" s="387">
        <f t="shared" si="47"/>
        <v>8.1122675793093998E-2</v>
      </c>
      <c r="X53" s="387">
        <f t="shared" si="11"/>
        <v>0.59976950694423237</v>
      </c>
      <c r="Y53" s="387">
        <f t="shared" si="12"/>
        <v>7.194469229202553E-4</v>
      </c>
      <c r="Z53" s="605">
        <f t="shared" si="48"/>
        <v>7.194469229202553E-4</v>
      </c>
      <c r="AA53" s="387">
        <f t="shared" si="13"/>
        <v>8.1919201346128734</v>
      </c>
      <c r="AB53" s="387">
        <f t="shared" si="14"/>
        <v>0.38251306630369208</v>
      </c>
      <c r="AC53" s="387">
        <f t="shared" si="15"/>
        <v>0</v>
      </c>
      <c r="AD53">
        <f t="shared" si="16"/>
        <v>0</v>
      </c>
      <c r="AE53" s="387">
        <f t="shared" si="17"/>
        <v>0.41420048588799097</v>
      </c>
      <c r="AF53" s="387">
        <f t="shared" si="18"/>
        <v>0</v>
      </c>
      <c r="AG53" s="387">
        <f t="shared" si="19"/>
        <v>0</v>
      </c>
      <c r="AH53" s="387">
        <f t="shared" si="20"/>
        <v>0</v>
      </c>
      <c r="AI53" s="387">
        <f t="shared" si="21"/>
        <v>0</v>
      </c>
      <c r="AJ53" s="387">
        <f t="shared" si="22"/>
        <v>4.0273512451771722</v>
      </c>
      <c r="AK53" s="387">
        <f t="shared" si="23"/>
        <v>3.0817160298857227E-2</v>
      </c>
      <c r="AL53" s="387">
        <f t="shared" si="24"/>
        <v>7.1337926779103278E-2</v>
      </c>
      <c r="AM53">
        <f t="shared" si="25"/>
        <v>0</v>
      </c>
      <c r="AN53" s="387">
        <f t="shared" si="26"/>
        <v>0.10278861773991831</v>
      </c>
      <c r="AO53" s="387">
        <f t="shared" si="27"/>
        <v>7.1335823707198944</v>
      </c>
      <c r="AP53" s="387">
        <f t="shared" si="28"/>
        <v>9.6687195135706769E-2</v>
      </c>
      <c r="AQ53" s="387">
        <f t="shared" si="29"/>
        <v>0.14640522875816997</v>
      </c>
      <c r="AR53" s="387">
        <f t="shared" si="30"/>
        <v>0.24788590241756431</v>
      </c>
      <c r="AS53" s="387">
        <f t="shared" si="31"/>
        <v>0.38251306630369208</v>
      </c>
      <c r="AT53" s="387">
        <f t="shared" si="32"/>
        <v>0</v>
      </c>
      <c r="AU53" s="387">
        <f t="shared" si="33"/>
        <v>8.8703999999999991E-2</v>
      </c>
      <c r="AV53" s="387">
        <f t="shared" si="34"/>
        <v>0.12975646441624097</v>
      </c>
      <c r="AW53" s="387">
        <f t="shared" si="35"/>
        <v>0</v>
      </c>
      <c r="AX53" s="387">
        <f t="shared" si="36"/>
        <v>3.6000000000000004E-2</v>
      </c>
      <c r="AY53" s="387">
        <f t="shared" si="37"/>
        <v>0.118272</v>
      </c>
      <c r="AZ53" s="387">
        <f t="shared" si="38"/>
        <v>7.3471999999999996E-2</v>
      </c>
      <c r="BA53" s="387">
        <f t="shared" si="56"/>
        <v>0.15427200000000002</v>
      </c>
      <c r="BB53" s="387">
        <f t="shared" si="57"/>
        <v>1.7037443146884412</v>
      </c>
      <c r="BC53">
        <f t="shared" si="39"/>
        <v>72</v>
      </c>
      <c r="BD53" s="606">
        <f t="shared" si="50"/>
        <v>0.97688388384429881</v>
      </c>
      <c r="BE53" s="616">
        <f t="shared" si="40"/>
        <v>9.574630886995914</v>
      </c>
      <c r="BF53" s="616">
        <f t="shared" si="41"/>
        <v>12.394295120878215</v>
      </c>
      <c r="BG53" s="9"/>
      <c r="BH53" s="4">
        <f t="shared" si="51"/>
        <v>97.688388384429885</v>
      </c>
      <c r="BI53" s="387">
        <f t="shared" si="52"/>
        <v>0.48429472151071257</v>
      </c>
      <c r="BJ53" s="387">
        <f t="shared" si="53"/>
        <v>0.85357900604547365</v>
      </c>
      <c r="BK53" s="387">
        <f t="shared" si="54"/>
        <v>2.9272319999999998E-2</v>
      </c>
      <c r="BL53" s="387">
        <f t="shared" si="55"/>
        <v>0.12975646441624097</v>
      </c>
      <c r="BQ53">
        <v>9.9955739999999995</v>
      </c>
      <c r="BR53">
        <v>12.605</v>
      </c>
      <c r="BS53">
        <v>5.1111979999999999</v>
      </c>
      <c r="BT53">
        <v>87.386508098290477</v>
      </c>
      <c r="BU53">
        <v>9299.4335961019988</v>
      </c>
    </row>
    <row r="54" spans="1:73" x14ac:dyDescent="0.2">
      <c r="A54" s="23" t="s">
        <v>77</v>
      </c>
      <c r="B54" s="5">
        <f>Qrr_Q2*1000000000</f>
        <v>62.999999999999993</v>
      </c>
      <c r="C54" s="483" t="s">
        <v>69</v>
      </c>
      <c r="D54" s="21" t="s">
        <v>114</v>
      </c>
      <c r="G54">
        <v>45</v>
      </c>
      <c r="H54" s="612">
        <f t="shared" si="0"/>
        <v>9.2750000000000004</v>
      </c>
      <c r="I54" s="4" t="str">
        <f t="shared" si="1"/>
        <v>BOOST</v>
      </c>
      <c r="J54">
        <f t="shared" si="43"/>
        <v>2</v>
      </c>
      <c r="K54">
        <f t="shared" si="2"/>
        <v>6</v>
      </c>
      <c r="L54" s="4">
        <f t="shared" si="3"/>
        <v>8.0862533692722369</v>
      </c>
      <c r="M54" s="4">
        <f t="shared" si="4"/>
        <v>7.8294887757582892</v>
      </c>
      <c r="N54" s="387">
        <f t="shared" si="5"/>
        <v>1</v>
      </c>
      <c r="O54" s="387">
        <f t="shared" si="58"/>
        <v>0.23366644083107491</v>
      </c>
      <c r="P54" s="4">
        <f t="shared" si="6"/>
        <v>2.0300279356016029</v>
      </c>
      <c r="Q54" s="387">
        <f t="shared" si="7"/>
        <v>8.1074602272851255</v>
      </c>
      <c r="R54" s="387">
        <f t="shared" si="8"/>
        <v>0.40723404311720468</v>
      </c>
      <c r="S54" s="387">
        <f t="shared" si="45"/>
        <v>6.4696494867011192E-2</v>
      </c>
      <c r="T54" s="387">
        <f t="shared" si="46"/>
        <v>0.47193053798421586</v>
      </c>
      <c r="U54" s="4">
        <f t="shared" si="9"/>
        <v>3.3289106053444488</v>
      </c>
      <c r="V54" s="387">
        <f t="shared" si="10"/>
        <v>7.7571520728623208E-2</v>
      </c>
      <c r="W54" s="387">
        <f t="shared" si="47"/>
        <v>7.7571520728623208E-2</v>
      </c>
      <c r="X54" s="387">
        <f t="shared" si="11"/>
        <v>0.58601858754102287</v>
      </c>
      <c r="Y54" s="387">
        <f t="shared" si="12"/>
        <v>6.8683556988715104E-4</v>
      </c>
      <c r="Z54" s="605">
        <f t="shared" si="48"/>
        <v>6.8683556988715104E-4</v>
      </c>
      <c r="AA54" s="387">
        <f t="shared" si="13"/>
        <v>8.1074602272851255</v>
      </c>
      <c r="AB54" s="387">
        <f t="shared" si="14"/>
        <v>0.37466619462095807</v>
      </c>
      <c r="AC54" s="387">
        <f t="shared" si="15"/>
        <v>0</v>
      </c>
      <c r="AD54">
        <f t="shared" si="16"/>
        <v>0</v>
      </c>
      <c r="AE54" s="387">
        <f t="shared" si="17"/>
        <v>0.40501530309578865</v>
      </c>
      <c r="AF54" s="387">
        <f t="shared" si="18"/>
        <v>0</v>
      </c>
      <c r="AG54" s="387">
        <f t="shared" si="19"/>
        <v>0</v>
      </c>
      <c r="AH54" s="387">
        <f t="shared" si="20"/>
        <v>0</v>
      </c>
      <c r="AI54" s="387">
        <f t="shared" si="21"/>
        <v>0</v>
      </c>
      <c r="AJ54" s="387">
        <f t="shared" si="22"/>
        <v>3.919069800947939</v>
      </c>
      <c r="AK54" s="387">
        <f t="shared" si="23"/>
        <v>2.9182305398934023E-2</v>
      </c>
      <c r="AL54" s="387">
        <f t="shared" si="24"/>
        <v>7.0607241814789001E-2</v>
      </c>
      <c r="AM54">
        <f t="shared" si="25"/>
        <v>0</v>
      </c>
      <c r="AN54" s="387">
        <f t="shared" si="26"/>
        <v>0.10037538423719204</v>
      </c>
      <c r="AO54" s="387">
        <f t="shared" si="27"/>
        <v>7.097309577037489</v>
      </c>
      <c r="AP54" s="387">
        <f t="shared" si="28"/>
        <v>9.5706426141385317E-2</v>
      </c>
      <c r="AQ54" s="387">
        <f t="shared" si="29"/>
        <v>0.1449056603773585</v>
      </c>
      <c r="AR54" s="387">
        <f t="shared" si="30"/>
        <v>0.24530758904939937</v>
      </c>
      <c r="AS54" s="387">
        <f t="shared" si="31"/>
        <v>0.37466619462095807</v>
      </c>
      <c r="AT54" s="387">
        <f t="shared" si="32"/>
        <v>0</v>
      </c>
      <c r="AU54" s="387">
        <f t="shared" si="33"/>
        <v>8.8703999999999991E-2</v>
      </c>
      <c r="AV54" s="387">
        <f t="shared" si="34"/>
        <v>0.12287286483761695</v>
      </c>
      <c r="AW54" s="387">
        <f t="shared" si="35"/>
        <v>0</v>
      </c>
      <c r="AX54" s="387">
        <f t="shared" si="36"/>
        <v>3.6000000000000004E-2</v>
      </c>
      <c r="AY54" s="387">
        <f t="shared" si="37"/>
        <v>0.118272</v>
      </c>
      <c r="AZ54" s="387">
        <f t="shared" si="38"/>
        <v>7.3471999999999996E-2</v>
      </c>
      <c r="BA54" s="387">
        <f t="shared" si="56"/>
        <v>0.15427200000000002</v>
      </c>
      <c r="BB54" s="387">
        <f t="shared" si="57"/>
        <v>1.666736035502723</v>
      </c>
      <c r="BC54">
        <f t="shared" si="39"/>
        <v>72</v>
      </c>
      <c r="BD54" s="606">
        <f t="shared" si="50"/>
        <v>0.97737464525780726</v>
      </c>
      <c r="BE54" s="616">
        <f t="shared" si="40"/>
        <v>9.4539692118596008</v>
      </c>
      <c r="BF54" s="616">
        <f t="shared" si="41"/>
        <v>12.265379452469968</v>
      </c>
      <c r="BG54" s="9"/>
      <c r="BH54" s="4">
        <f t="shared" si="51"/>
        <v>97.737464525780723</v>
      </c>
      <c r="BI54" s="387">
        <f t="shared" si="52"/>
        <v>0.47193053798421586</v>
      </c>
      <c r="BJ54" s="387">
        <f t="shared" si="53"/>
        <v>0.83940227638237996</v>
      </c>
      <c r="BK54" s="387">
        <f t="shared" si="54"/>
        <v>2.9272319999999998E-2</v>
      </c>
      <c r="BL54" s="387">
        <f t="shared" si="55"/>
        <v>0.12287286483761695</v>
      </c>
      <c r="BQ54">
        <v>9.9949670000000008</v>
      </c>
      <c r="BR54">
        <v>13.75</v>
      </c>
      <c r="BS54">
        <v>5.1122329999999998</v>
      </c>
      <c r="BT54">
        <v>85.985113444924963</v>
      </c>
      <c r="BU54">
        <v>11457.230537720005</v>
      </c>
    </row>
    <row r="55" spans="1:73" x14ac:dyDescent="0.2">
      <c r="A55" s="23" t="s">
        <v>78</v>
      </c>
      <c r="B55" s="5">
        <f>Trr_Q2*1000000000</f>
        <v>40</v>
      </c>
      <c r="C55" s="483" t="s">
        <v>79</v>
      </c>
      <c r="D55" s="76" t="s">
        <v>110</v>
      </c>
      <c r="G55">
        <v>46</v>
      </c>
      <c r="H55" s="612">
        <f t="shared" si="0"/>
        <v>9.370000000000001</v>
      </c>
      <c r="I55" s="4" t="str">
        <f t="shared" si="1"/>
        <v>BOOST</v>
      </c>
      <c r="J55">
        <f t="shared" si="43"/>
        <v>2</v>
      </c>
      <c r="K55">
        <f t="shared" si="2"/>
        <v>6</v>
      </c>
      <c r="L55" s="4">
        <f t="shared" si="3"/>
        <v>8.0042689434364984</v>
      </c>
      <c r="M55" s="4">
        <f t="shared" si="4"/>
        <v>7.7483361122529564</v>
      </c>
      <c r="N55" s="387">
        <f t="shared" si="5"/>
        <v>1</v>
      </c>
      <c r="O55" s="387">
        <f t="shared" si="58"/>
        <v>0.22564020028612297</v>
      </c>
      <c r="P55" s="4">
        <f t="shared" si="6"/>
        <v>1.9809383810838437</v>
      </c>
      <c r="Q55" s="387">
        <f t="shared" si="7"/>
        <v>8.0246701525981514</v>
      </c>
      <c r="R55" s="387">
        <f t="shared" si="8"/>
        <v>0.39869557030370922</v>
      </c>
      <c r="S55" s="387">
        <f t="shared" si="45"/>
        <v>6.1148642205867888E-2</v>
      </c>
      <c r="T55" s="387">
        <f t="shared" si="46"/>
        <v>0.45984421250957713</v>
      </c>
      <c r="U55" s="4">
        <f t="shared" si="9"/>
        <v>3.2535063899609162</v>
      </c>
      <c r="V55" s="387">
        <f t="shared" si="10"/>
        <v>7.4097126806615593E-2</v>
      </c>
      <c r="W55" s="387">
        <f t="shared" si="47"/>
        <v>7.4097126806615593E-2</v>
      </c>
      <c r="X55" s="387">
        <f t="shared" si="11"/>
        <v>0.57184765378340929</v>
      </c>
      <c r="Y55" s="387">
        <f t="shared" si="12"/>
        <v>6.5401947827517992E-4</v>
      </c>
      <c r="Z55" s="605">
        <f t="shared" si="48"/>
        <v>6.5401947827517992E-4</v>
      </c>
      <c r="AA55" s="387">
        <f t="shared" si="13"/>
        <v>8.0246701525981514</v>
      </c>
      <c r="AB55" s="387">
        <f t="shared" si="14"/>
        <v>0.36705338703059798</v>
      </c>
      <c r="AC55" s="387">
        <f t="shared" si="15"/>
        <v>0</v>
      </c>
      <c r="AD55">
        <f t="shared" si="16"/>
        <v>0</v>
      </c>
      <c r="AE55" s="387">
        <f t="shared" si="17"/>
        <v>0.39613384061352463</v>
      </c>
      <c r="AF55" s="387">
        <f t="shared" si="18"/>
        <v>0</v>
      </c>
      <c r="AG55" s="387">
        <f t="shared" si="19"/>
        <v>0</v>
      </c>
      <c r="AH55" s="387">
        <f t="shared" si="20"/>
        <v>0</v>
      </c>
      <c r="AI55" s="387">
        <f t="shared" si="21"/>
        <v>0</v>
      </c>
      <c r="AJ55" s="387">
        <f t="shared" si="22"/>
        <v>3.811846717461004</v>
      </c>
      <c r="AK55" s="387">
        <f t="shared" si="23"/>
        <v>2.7607333255094641E-2</v>
      </c>
      <c r="AL55" s="387">
        <f t="shared" si="24"/>
        <v>6.989137330119187E-2</v>
      </c>
      <c r="AM55">
        <f t="shared" si="25"/>
        <v>0</v>
      </c>
      <c r="AN55" s="387">
        <f t="shared" si="26"/>
        <v>9.8040031319682988E-2</v>
      </c>
      <c r="AO55" s="387">
        <f t="shared" si="27"/>
        <v>7.0615264398415594</v>
      </c>
      <c r="AP55" s="387">
        <f t="shared" si="28"/>
        <v>9.4743795755104679E-2</v>
      </c>
      <c r="AQ55" s="387">
        <f t="shared" si="29"/>
        <v>0.14343649946638207</v>
      </c>
      <c r="AR55" s="387">
        <f t="shared" si="30"/>
        <v>0.2427806880050129</v>
      </c>
      <c r="AS55" s="387">
        <f t="shared" si="31"/>
        <v>0.36705338703059798</v>
      </c>
      <c r="AT55" s="387">
        <f t="shared" si="32"/>
        <v>0</v>
      </c>
      <c r="AU55" s="387">
        <f t="shared" si="33"/>
        <v>8.8703999999999991E-2</v>
      </c>
      <c r="AV55" s="387">
        <f t="shared" si="34"/>
        <v>0.11624140317934585</v>
      </c>
      <c r="AW55" s="387">
        <f t="shared" si="35"/>
        <v>0</v>
      </c>
      <c r="AX55" s="387">
        <f t="shared" si="36"/>
        <v>3.6000000000000004E-2</v>
      </c>
      <c r="AY55" s="387">
        <f t="shared" si="37"/>
        <v>0.118272</v>
      </c>
      <c r="AZ55" s="387">
        <f t="shared" si="38"/>
        <v>7.3471999999999996E-2</v>
      </c>
      <c r="BA55" s="387">
        <f t="shared" si="56"/>
        <v>0.15427200000000002</v>
      </c>
      <c r="BB55" s="387">
        <f t="shared" si="57"/>
        <v>1.6307673219120342</v>
      </c>
      <c r="BC55">
        <f t="shared" si="39"/>
        <v>72</v>
      </c>
      <c r="BD55" s="606">
        <f t="shared" si="50"/>
        <v>0.97785209388376526</v>
      </c>
      <c r="BE55" s="616">
        <f t="shared" si="40"/>
        <v>9.3372015659841487</v>
      </c>
      <c r="BF55" s="616">
        <f t="shared" si="41"/>
        <v>12.139034400250646</v>
      </c>
      <c r="BG55" s="9"/>
      <c r="BH55" s="4">
        <f t="shared" si="51"/>
        <v>97.785209388376529</v>
      </c>
      <c r="BI55" s="387">
        <f t="shared" si="52"/>
        <v>0.45984421250957713</v>
      </c>
      <c r="BJ55" s="387">
        <f t="shared" si="53"/>
        <v>0.82565855993822057</v>
      </c>
      <c r="BK55" s="387">
        <f t="shared" si="54"/>
        <v>2.9272319999999998E-2</v>
      </c>
      <c r="BL55" s="387">
        <f t="shared" si="55"/>
        <v>0.11624140317934585</v>
      </c>
      <c r="BQ55">
        <v>9.9943860000000004</v>
      </c>
      <c r="BR55">
        <v>14.954000000000001</v>
      </c>
      <c r="BS55">
        <v>5.1130310000000003</v>
      </c>
      <c r="BT55">
        <v>84.352650264578628</v>
      </c>
      <c r="BU55">
        <v>14183.318533699994</v>
      </c>
    </row>
    <row r="56" spans="1:73" ht="15.75" x14ac:dyDescent="0.3">
      <c r="A56" s="489" t="s">
        <v>683</v>
      </c>
      <c r="B56" s="5">
        <f>ThetaJA_Q2</f>
        <v>50</v>
      </c>
      <c r="C56" s="484" t="s">
        <v>241</v>
      </c>
      <c r="D56" s="76" t="s">
        <v>107</v>
      </c>
      <c r="E56" s="2"/>
      <c r="G56">
        <v>47</v>
      </c>
      <c r="H56" s="612">
        <f t="shared" si="0"/>
        <v>9.4649999999999999</v>
      </c>
      <c r="I56" s="4" t="str">
        <f t="shared" si="1"/>
        <v>BOOST</v>
      </c>
      <c r="J56">
        <f t="shared" si="43"/>
        <v>2</v>
      </c>
      <c r="K56">
        <f t="shared" si="2"/>
        <v>6</v>
      </c>
      <c r="L56" s="4">
        <f t="shared" si="3"/>
        <v>7.9239302694136295</v>
      </c>
      <c r="M56" s="4">
        <f t="shared" si="4"/>
        <v>7.6688701601838813</v>
      </c>
      <c r="N56" s="387">
        <f t="shared" si="5"/>
        <v>1</v>
      </c>
      <c r="O56" s="387">
        <f t="shared" si="58"/>
        <v>0.2176161710037175</v>
      </c>
      <c r="P56" s="4">
        <f t="shared" si="6"/>
        <v>1.9303946525970321</v>
      </c>
      <c r="Q56" s="387">
        <f t="shared" si="7"/>
        <v>7.9435008785438859</v>
      </c>
      <c r="R56" s="387">
        <f t="shared" si="8"/>
        <v>0.39042013348965043</v>
      </c>
      <c r="S56" s="387">
        <f t="shared" si="45"/>
        <v>5.7613563623506885E-2</v>
      </c>
      <c r="T56" s="387">
        <f t="shared" si="46"/>
        <v>0.44803369711315733</v>
      </c>
      <c r="U56" s="4">
        <f t="shared" si="9"/>
        <v>3.1779859673127642</v>
      </c>
      <c r="V56" s="387">
        <f t="shared" si="10"/>
        <v>7.0697163659057927E-2</v>
      </c>
      <c r="W56" s="387">
        <f t="shared" si="47"/>
        <v>7.0697163659057927E-2</v>
      </c>
      <c r="X56" s="387">
        <f t="shared" si="11"/>
        <v>0.55725693615955529</v>
      </c>
      <c r="Y56" s="387">
        <f t="shared" si="12"/>
        <v>6.2107058579586943E-4</v>
      </c>
      <c r="Z56" s="605">
        <f t="shared" si="48"/>
        <v>6.2107058579586943E-4</v>
      </c>
      <c r="AA56" s="387">
        <f t="shared" si="13"/>
        <v>7.9435008785438859</v>
      </c>
      <c r="AB56" s="387">
        <f t="shared" si="14"/>
        <v>0.35966547538233667</v>
      </c>
      <c r="AC56" s="387">
        <f t="shared" si="15"/>
        <v>0</v>
      </c>
      <c r="AD56">
        <f t="shared" si="16"/>
        <v>0</v>
      </c>
      <c r="AE56" s="387">
        <f t="shared" si="17"/>
        <v>0.38754261516519767</v>
      </c>
      <c r="AF56" s="387">
        <f t="shared" si="18"/>
        <v>0</v>
      </c>
      <c r="AG56" s="387">
        <f t="shared" si="19"/>
        <v>0</v>
      </c>
      <c r="AH56" s="387">
        <f t="shared" si="20"/>
        <v>0</v>
      </c>
      <c r="AI56" s="387">
        <f t="shared" si="21"/>
        <v>0</v>
      </c>
      <c r="AJ56" s="387">
        <f t="shared" si="22"/>
        <v>3.7055914033031723</v>
      </c>
      <c r="AK56" s="387">
        <f t="shared" si="23"/>
        <v>2.6089674531645311E-2</v>
      </c>
      <c r="AL56" s="387">
        <f t="shared" si="24"/>
        <v>6.9189875101127091E-2</v>
      </c>
      <c r="AM56">
        <f t="shared" si="25"/>
        <v>0</v>
      </c>
      <c r="AN56" s="387">
        <f t="shared" si="26"/>
        <v>9.5779319889327391E-2</v>
      </c>
      <c r="AO56" s="387">
        <f t="shared" si="27"/>
        <v>7.0262222110600172</v>
      </c>
      <c r="AP56" s="387">
        <f t="shared" si="28"/>
        <v>9.379881726246693E-2</v>
      </c>
      <c r="AQ56" s="387">
        <f t="shared" si="29"/>
        <v>0.14199683042789227</v>
      </c>
      <c r="AR56" s="387">
        <f t="shared" si="30"/>
        <v>0.24030368803465105</v>
      </c>
      <c r="AS56" s="387">
        <f t="shared" si="31"/>
        <v>0.35966547538233667</v>
      </c>
      <c r="AT56" s="387">
        <f t="shared" si="32"/>
        <v>0</v>
      </c>
      <c r="AU56" s="387">
        <f t="shared" si="33"/>
        <v>8.8703999999999991E-2</v>
      </c>
      <c r="AV56" s="387">
        <f t="shared" si="34"/>
        <v>0.10985126118587499</v>
      </c>
      <c r="AW56" s="387">
        <f t="shared" si="35"/>
        <v>0</v>
      </c>
      <c r="AX56" s="387">
        <f t="shared" si="36"/>
        <v>3.6000000000000004E-2</v>
      </c>
      <c r="AY56" s="387">
        <f t="shared" si="37"/>
        <v>0.118272</v>
      </c>
      <c r="AZ56" s="387">
        <f t="shared" si="38"/>
        <v>7.3471999999999996E-2</v>
      </c>
      <c r="BA56" s="387">
        <f t="shared" si="56"/>
        <v>0.15427200000000002</v>
      </c>
      <c r="BB56" s="387">
        <f t="shared" si="57"/>
        <v>1.595804815633062</v>
      </c>
      <c r="BC56">
        <f t="shared" si="39"/>
        <v>72</v>
      </c>
      <c r="BD56" s="606">
        <f t="shared" si="50"/>
        <v>0.97831663340552144</v>
      </c>
      <c r="BE56" s="616">
        <f t="shared" si="40"/>
        <v>9.2241659944663681</v>
      </c>
      <c r="BF56" s="616">
        <f t="shared" si="41"/>
        <v>12.015184401732553</v>
      </c>
      <c r="BG56" s="9"/>
      <c r="BH56" s="4">
        <f t="shared" si="51"/>
        <v>97.83166334055214</v>
      </c>
      <c r="BI56" s="387">
        <f t="shared" si="52"/>
        <v>0.44803369711315733</v>
      </c>
      <c r="BJ56" s="387">
        <f t="shared" si="53"/>
        <v>0.81232962308917611</v>
      </c>
      <c r="BK56" s="387">
        <f t="shared" si="54"/>
        <v>2.9272319999999998E-2</v>
      </c>
      <c r="BL56" s="387">
        <f t="shared" si="55"/>
        <v>0.10985126118587499</v>
      </c>
      <c r="BR56" s="18"/>
      <c r="BS56" s="19"/>
    </row>
    <row r="57" spans="1:73" x14ac:dyDescent="0.2">
      <c r="A57" s="24" t="s">
        <v>279</v>
      </c>
      <c r="B57" s="15" t="s">
        <v>115</v>
      </c>
      <c r="C57" s="24" t="s">
        <v>80</v>
      </c>
      <c r="D57" s="24" t="s">
        <v>249</v>
      </c>
      <c r="G57">
        <v>48</v>
      </c>
      <c r="H57" s="612">
        <f t="shared" si="0"/>
        <v>9.5599999999999987</v>
      </c>
      <c r="I57" s="4" t="str">
        <f t="shared" si="1"/>
        <v>BOOST</v>
      </c>
      <c r="J57">
        <f t="shared" si="43"/>
        <v>2</v>
      </c>
      <c r="K57">
        <f t="shared" si="2"/>
        <v>6</v>
      </c>
      <c r="L57" s="4">
        <f t="shared" si="3"/>
        <v>7.8451882845188301</v>
      </c>
      <c r="M57" s="4">
        <f t="shared" si="4"/>
        <v>7.5910382467619577</v>
      </c>
      <c r="N57" s="387">
        <f t="shared" si="5"/>
        <v>1</v>
      </c>
      <c r="O57" s="387">
        <f t="shared" si="58"/>
        <v>0.20959428671573788</v>
      </c>
      <c r="P57" s="4">
        <f t="shared" si="6"/>
        <v>1.8783975165125455</v>
      </c>
      <c r="Q57" s="387">
        <f t="shared" si="7"/>
        <v>7.8639055599230216</v>
      </c>
      <c r="R57" s="387">
        <f t="shared" si="8"/>
        <v>0.38239701656067354</v>
      </c>
      <c r="S57" s="387">
        <f t="shared" si="45"/>
        <v>5.4100655021944236E-2</v>
      </c>
      <c r="T57" s="387">
        <f t="shared" si="46"/>
        <v>0.43649767158261776</v>
      </c>
      <c r="U57" s="4">
        <f t="shared" si="9"/>
        <v>3.1022892661064838</v>
      </c>
      <c r="V57" s="387">
        <f t="shared" si="10"/>
        <v>6.7369390834196546E-2</v>
      </c>
      <c r="W57" s="387">
        <f t="shared" si="47"/>
        <v>6.7369390834196546E-2</v>
      </c>
      <c r="X57" s="387">
        <f t="shared" si="11"/>
        <v>0.54224665590182131</v>
      </c>
      <c r="Y57" s="387">
        <f t="shared" si="12"/>
        <v>5.8806287167341648E-4</v>
      </c>
      <c r="Z57" s="605">
        <f t="shared" si="48"/>
        <v>5.8806287167341648E-4</v>
      </c>
      <c r="AA57" s="387">
        <f t="shared" si="13"/>
        <v>7.8639055599230216</v>
      </c>
      <c r="AB57" s="387">
        <f t="shared" si="14"/>
        <v>0.35249376073571281</v>
      </c>
      <c r="AC57" s="387">
        <f t="shared" si="15"/>
        <v>0</v>
      </c>
      <c r="AD57">
        <f t="shared" si="16"/>
        <v>0</v>
      </c>
      <c r="AE57" s="387">
        <f t="shared" si="17"/>
        <v>0.37922892685724885</v>
      </c>
      <c r="AF57" s="387">
        <f t="shared" si="18"/>
        <v>0</v>
      </c>
      <c r="AG57" s="387">
        <f t="shared" si="19"/>
        <v>0</v>
      </c>
      <c r="AH57" s="387">
        <f t="shared" si="20"/>
        <v>0</v>
      </c>
      <c r="AI57" s="387">
        <f t="shared" si="21"/>
        <v>0</v>
      </c>
      <c r="AJ57" s="387">
        <f t="shared" si="22"/>
        <v>3.6002114546365798</v>
      </c>
      <c r="AK57" s="387">
        <f t="shared" si="23"/>
        <v>2.4626892784383229E-2</v>
      </c>
      <c r="AL57" s="387">
        <f t="shared" si="24"/>
        <v>6.8502318810896246E-2</v>
      </c>
      <c r="AM57">
        <f t="shared" si="25"/>
        <v>0</v>
      </c>
      <c r="AN57" s="387">
        <f t="shared" si="26"/>
        <v>9.3590178654357911E-2</v>
      </c>
      <c r="AO57" s="387">
        <f t="shared" si="27"/>
        <v>6.9913867106098326</v>
      </c>
      <c r="AP57" s="387">
        <f t="shared" si="28"/>
        <v>9.2871027460854363E-2</v>
      </c>
      <c r="AQ57" s="387">
        <f t="shared" si="29"/>
        <v>0.14058577405857745</v>
      </c>
      <c r="AR57" s="387">
        <f t="shared" si="30"/>
        <v>0.23787514331280343</v>
      </c>
      <c r="AS57" s="387">
        <f t="shared" si="31"/>
        <v>0.35249376073571281</v>
      </c>
      <c r="AT57" s="387">
        <f t="shared" si="32"/>
        <v>0</v>
      </c>
      <c r="AU57" s="387">
        <f t="shared" si="33"/>
        <v>8.8703999999999991E-2</v>
      </c>
      <c r="AV57" s="387">
        <f t="shared" si="34"/>
        <v>0.1036921801447715</v>
      </c>
      <c r="AW57" s="387">
        <f t="shared" si="35"/>
        <v>0</v>
      </c>
      <c r="AX57" s="387">
        <f t="shared" si="36"/>
        <v>3.6000000000000004E-2</v>
      </c>
      <c r="AY57" s="387">
        <f t="shared" si="37"/>
        <v>0.118272</v>
      </c>
      <c r="AZ57" s="387">
        <f t="shared" si="38"/>
        <v>7.3471999999999996E-2</v>
      </c>
      <c r="BA57" s="387">
        <f t="shared" si="56"/>
        <v>0.15427200000000002</v>
      </c>
      <c r="BB57" s="387">
        <f t="shared" si="57"/>
        <v>1.5618175542576693</v>
      </c>
      <c r="BC57">
        <f t="shared" si="39"/>
        <v>72</v>
      </c>
      <c r="BD57" s="606">
        <f t="shared" si="50"/>
        <v>0.97876863832101879</v>
      </c>
      <c r="BE57" s="616">
        <f t="shared" si="40"/>
        <v>9.1147089327178943</v>
      </c>
      <c r="BF57" s="616">
        <f t="shared" si="41"/>
        <v>11.893757165640171</v>
      </c>
      <c r="BG57" s="9"/>
      <c r="BH57" s="4">
        <f t="shared" si="51"/>
        <v>97.876863832101876</v>
      </c>
      <c r="BI57" s="387">
        <f t="shared" si="52"/>
        <v>0.43649767158261776</v>
      </c>
      <c r="BJ57" s="387">
        <f t="shared" si="53"/>
        <v>0.79939824882441024</v>
      </c>
      <c r="BK57" s="387">
        <f t="shared" si="54"/>
        <v>2.9272319999999998E-2</v>
      </c>
      <c r="BL57" s="387">
        <f t="shared" si="55"/>
        <v>0.1036921801447715</v>
      </c>
      <c r="BR57" s="18"/>
      <c r="BS57" s="19"/>
    </row>
    <row r="58" spans="1:73" x14ac:dyDescent="0.2">
      <c r="A58" s="23" t="s">
        <v>231</v>
      </c>
      <c r="B58" s="73">
        <f>VfdSky_Q2</f>
        <v>0</v>
      </c>
      <c r="C58" s="483" t="s">
        <v>0</v>
      </c>
      <c r="D58" s="76" t="s">
        <v>234</v>
      </c>
      <c r="G58">
        <v>49</v>
      </c>
      <c r="H58" s="612">
        <f t="shared" si="0"/>
        <v>9.6550000000000011</v>
      </c>
      <c r="I58" s="4" t="str">
        <f t="shared" si="1"/>
        <v>BOOST</v>
      </c>
      <c r="J58">
        <f t="shared" si="43"/>
        <v>2</v>
      </c>
      <c r="K58">
        <f t="shared" si="2"/>
        <v>6</v>
      </c>
      <c r="L58" s="4">
        <f t="shared" si="3"/>
        <v>7.7679958570688754</v>
      </c>
      <c r="M58" s="4">
        <f t="shared" si="4"/>
        <v>7.5147898934573485</v>
      </c>
      <c r="N58" s="387">
        <f t="shared" si="5"/>
        <v>1</v>
      </c>
      <c r="O58" s="387">
        <f t="shared" si="58"/>
        <v>0.20157448377581119</v>
      </c>
      <c r="P58" s="4">
        <f t="shared" si="6"/>
        <v>1.8249477087321073</v>
      </c>
      <c r="Q58" s="387">
        <f t="shared" si="7"/>
        <v>7.7858394418161332</v>
      </c>
      <c r="R58" s="387">
        <f t="shared" si="8"/>
        <v>0.37461607702141975</v>
      </c>
      <c r="S58" s="387">
        <f t="shared" si="45"/>
        <v>5.0619411283185756E-2</v>
      </c>
      <c r="T58" s="387">
        <f t="shared" si="46"/>
        <v>0.4252354883046055</v>
      </c>
      <c r="U58" s="4">
        <f t="shared" si="9"/>
        <v>3.0263521815992429</v>
      </c>
      <c r="V58" s="387">
        <f t="shared" si="10"/>
        <v>6.4111652689493481E-2</v>
      </c>
      <c r="W58" s="387">
        <f t="shared" si="47"/>
        <v>6.4111652689493481E-2</v>
      </c>
      <c r="X58" s="387">
        <f t="shared" si="11"/>
        <v>0.52681702544673648</v>
      </c>
      <c r="Y58" s="387">
        <f t="shared" si="12"/>
        <v>5.5507235660109478E-4</v>
      </c>
      <c r="Z58" s="605">
        <f t="shared" si="48"/>
        <v>5.5507235660109478E-4</v>
      </c>
      <c r="AA58" s="387">
        <f t="shared" si="13"/>
        <v>7.7858394418161332</v>
      </c>
      <c r="AB58" s="387">
        <f t="shared" si="14"/>
        <v>0.34552998613831659</v>
      </c>
      <c r="AC58" s="387">
        <f t="shared" si="15"/>
        <v>0</v>
      </c>
      <c r="AD58">
        <f t="shared" si="16"/>
        <v>0</v>
      </c>
      <c r="AE58" s="387">
        <f t="shared" si="17"/>
        <v>0.37118080588045299</v>
      </c>
      <c r="AF58" s="387">
        <f t="shared" si="18"/>
        <v>0</v>
      </c>
      <c r="AG58" s="387">
        <f t="shared" si="19"/>
        <v>0</v>
      </c>
      <c r="AH58" s="387">
        <f t="shared" si="20"/>
        <v>0</v>
      </c>
      <c r="AI58" s="387">
        <f t="shared" si="21"/>
        <v>0</v>
      </c>
      <c r="AJ58" s="387">
        <f t="shared" si="22"/>
        <v>3.4956120008530389</v>
      </c>
      <c r="AK58" s="387">
        <f t="shared" si="23"/>
        <v>2.3216676194964793E-2</v>
      </c>
      <c r="AL58" s="387">
        <f t="shared" si="24"/>
        <v>6.782829288784753E-2</v>
      </c>
      <c r="AM58">
        <f t="shared" si="25"/>
        <v>0</v>
      </c>
      <c r="AN58" s="387">
        <f t="shared" si="26"/>
        <v>9.1469693534099089E-2</v>
      </c>
      <c r="AO58" s="387">
        <f t="shared" si="27"/>
        <v>6.9570103171715916</v>
      </c>
      <c r="AP58" s="387">
        <f t="shared" si="28"/>
        <v>9.1959985851140735E-2</v>
      </c>
      <c r="AQ58" s="387">
        <f t="shared" si="29"/>
        <v>0.13920248575867425</v>
      </c>
      <c r="AR58" s="387">
        <f t="shared" si="30"/>
        <v>0.23549367053184328</v>
      </c>
      <c r="AS58" s="387">
        <f t="shared" si="31"/>
        <v>0.34552998613831659</v>
      </c>
      <c r="AT58" s="387">
        <f t="shared" si="32"/>
        <v>0</v>
      </c>
      <c r="AU58" s="387">
        <f t="shared" si="33"/>
        <v>8.8703999999999991E-2</v>
      </c>
      <c r="AV58" s="387">
        <f t="shared" si="34"/>
        <v>9.775442608406229E-2</v>
      </c>
      <c r="AW58" s="387">
        <f t="shared" si="35"/>
        <v>0</v>
      </c>
      <c r="AX58" s="387">
        <f t="shared" si="36"/>
        <v>3.6000000000000004E-2</v>
      </c>
      <c r="AY58" s="387">
        <f t="shared" si="37"/>
        <v>0.118272</v>
      </c>
      <c r="AZ58" s="387">
        <f t="shared" si="38"/>
        <v>7.3471999999999996E-2</v>
      </c>
      <c r="BA58" s="387">
        <f t="shared" si="56"/>
        <v>0.15427200000000002</v>
      </c>
      <c r="BB58" s="387">
        <f t="shared" si="57"/>
        <v>1.5287768093811576</v>
      </c>
      <c r="BC58">
        <f t="shared" si="39"/>
        <v>72</v>
      </c>
      <c r="BD58" s="606">
        <f t="shared" si="50"/>
        <v>0.97920845584927363</v>
      </c>
      <c r="BE58" s="616">
        <f t="shared" si="40"/>
        <v>9.008684676704954</v>
      </c>
      <c r="BF58" s="616">
        <f t="shared" si="41"/>
        <v>11.774683526592163</v>
      </c>
      <c r="BG58" s="9"/>
      <c r="BH58" s="4">
        <f t="shared" si="51"/>
        <v>97.920845584927363</v>
      </c>
      <c r="BI58" s="387">
        <f t="shared" si="52"/>
        <v>0.4252354883046055</v>
      </c>
      <c r="BJ58" s="387">
        <f t="shared" si="53"/>
        <v>0.78684816994639528</v>
      </c>
      <c r="BK58" s="387">
        <f t="shared" si="54"/>
        <v>2.9272319999999998E-2</v>
      </c>
      <c r="BL58" s="387">
        <f t="shared" si="55"/>
        <v>9.775442608406229E-2</v>
      </c>
      <c r="BR58" s="18"/>
      <c r="BS58" s="19"/>
    </row>
    <row r="59" spans="1:73" x14ac:dyDescent="0.2">
      <c r="A59" s="23" t="s">
        <v>232</v>
      </c>
      <c r="B59" s="73">
        <f>QrrSky_Q2*1000000000</f>
        <v>0</v>
      </c>
      <c r="C59" s="483" t="s">
        <v>69</v>
      </c>
      <c r="D59" s="76" t="s">
        <v>235</v>
      </c>
      <c r="G59">
        <v>50</v>
      </c>
      <c r="H59" s="612">
        <f t="shared" si="0"/>
        <v>9.75</v>
      </c>
      <c r="I59" s="4" t="str">
        <f t="shared" si="1"/>
        <v>BOOST</v>
      </c>
      <c r="J59">
        <f t="shared" si="43"/>
        <v>2</v>
      </c>
      <c r="K59">
        <f t="shared" si="2"/>
        <v>6</v>
      </c>
      <c r="L59" s="4">
        <f t="shared" si="3"/>
        <v>7.6923076923076925</v>
      </c>
      <c r="M59" s="4">
        <f t="shared" si="4"/>
        <v>7.4400767018216678</v>
      </c>
      <c r="N59" s="387">
        <f t="shared" si="5"/>
        <v>1</v>
      </c>
      <c r="O59" s="387">
        <f t="shared" si="58"/>
        <v>0.19355670103092776</v>
      </c>
      <c r="P59" s="4">
        <f t="shared" si="6"/>
        <v>1.7700459361870846</v>
      </c>
      <c r="Q59" s="387">
        <f t="shared" si="7"/>
        <v>7.7092597689069429</v>
      </c>
      <c r="R59" s="387">
        <f t="shared" si="8"/>
        <v>0.36706771073602629</v>
      </c>
      <c r="S59" s="387">
        <f t="shared" si="45"/>
        <v>4.7179407760686541E-2</v>
      </c>
      <c r="T59" s="387">
        <f t="shared" si="46"/>
        <v>0.41424711849671281</v>
      </c>
      <c r="U59" s="4">
        <f t="shared" si="9"/>
        <v>2.9501058965595637</v>
      </c>
      <c r="V59" s="387">
        <f t="shared" si="10"/>
        <v>6.092187360640855E-2</v>
      </c>
      <c r="W59" s="387">
        <f t="shared" si="47"/>
        <v>6.092187360640855E-2</v>
      </c>
      <c r="X59" s="387">
        <f t="shared" si="11"/>
        <v>0.51096824886780823</v>
      </c>
      <c r="Y59" s="387">
        <f t="shared" si="12"/>
        <v>5.2217710270206883E-4</v>
      </c>
      <c r="Z59" s="605">
        <f t="shared" si="48"/>
        <v>5.2217710270206883E-4</v>
      </c>
      <c r="AA59" s="387">
        <f t="shared" si="13"/>
        <v>7.7092597689069429</v>
      </c>
      <c r="AB59" s="387">
        <f t="shared" si="14"/>
        <v>0.33876631125157669</v>
      </c>
      <c r="AC59" s="387">
        <f t="shared" si="15"/>
        <v>0</v>
      </c>
      <c r="AD59">
        <f t="shared" si="16"/>
        <v>0</v>
      </c>
      <c r="AE59" s="387">
        <f t="shared" si="17"/>
        <v>0.36338696348706129</v>
      </c>
      <c r="AF59" s="387">
        <f t="shared" si="18"/>
        <v>0</v>
      </c>
      <c r="AG59" s="387">
        <f t="shared" si="19"/>
        <v>0</v>
      </c>
      <c r="AH59" s="387">
        <f t="shared" si="20"/>
        <v>0</v>
      </c>
      <c r="AI59" s="387">
        <f t="shared" si="21"/>
        <v>0</v>
      </c>
      <c r="AJ59" s="387">
        <f t="shared" si="22"/>
        <v>3.3916949555164488</v>
      </c>
      <c r="AK59" s="387">
        <f t="shared" si="23"/>
        <v>2.185682987542388E-2</v>
      </c>
      <c r="AL59" s="387">
        <f t="shared" si="24"/>
        <v>6.7167401828940293E-2</v>
      </c>
      <c r="AM59">
        <f t="shared" si="25"/>
        <v>0</v>
      </c>
      <c r="AN59" s="387">
        <f t="shared" si="26"/>
        <v>8.9415097820636183E-2</v>
      </c>
      <c r="AO59" s="387">
        <f t="shared" si="27"/>
        <v>6.9230839597112643</v>
      </c>
      <c r="AP59" s="387">
        <f t="shared" si="28"/>
        <v>9.106527387510166E-2</v>
      </c>
      <c r="AQ59" s="387">
        <f t="shared" si="29"/>
        <v>0.13784615384615387</v>
      </c>
      <c r="AR59" s="387">
        <f t="shared" si="30"/>
        <v>0.23315794616600827</v>
      </c>
      <c r="AS59" s="387">
        <f t="shared" si="31"/>
        <v>0.33876631125157669</v>
      </c>
      <c r="AT59" s="387">
        <f t="shared" si="32"/>
        <v>0</v>
      </c>
      <c r="AU59" s="387">
        <f t="shared" si="33"/>
        <v>8.8703999999999991E-2</v>
      </c>
      <c r="AV59" s="387">
        <f t="shared" si="34"/>
        <v>9.2028757370205813E-2</v>
      </c>
      <c r="AW59" s="387">
        <f t="shared" si="35"/>
        <v>0</v>
      </c>
      <c r="AX59" s="387">
        <f t="shared" si="36"/>
        <v>3.6000000000000004E-2</v>
      </c>
      <c r="AY59" s="387">
        <f t="shared" si="37"/>
        <v>0.118272</v>
      </c>
      <c r="AZ59" s="387">
        <f t="shared" si="38"/>
        <v>7.3471999999999996E-2</v>
      </c>
      <c r="BA59" s="387">
        <f t="shared" si="56"/>
        <v>0.15427200000000002</v>
      </c>
      <c r="BB59" s="387">
        <f t="shared" si="57"/>
        <v>1.496655934049735</v>
      </c>
      <c r="BC59">
        <f t="shared" si="39"/>
        <v>72</v>
      </c>
      <c r="BD59" s="606">
        <f t="shared" si="50"/>
        <v>0.97963640773815985</v>
      </c>
      <c r="BE59" s="616">
        <f t="shared" si="40"/>
        <v>8.9059548910318078</v>
      </c>
      <c r="BF59" s="616">
        <f t="shared" si="41"/>
        <v>11.657897308300413</v>
      </c>
      <c r="BG59" s="9"/>
      <c r="BH59" s="4">
        <f t="shared" si="51"/>
        <v>97.963640773815982</v>
      </c>
      <c r="BI59" s="387">
        <f t="shared" si="52"/>
        <v>0.41424711849671281</v>
      </c>
      <c r="BJ59" s="387">
        <f t="shared" si="53"/>
        <v>0.77466400747370578</v>
      </c>
      <c r="BK59" s="387">
        <f t="shared" si="54"/>
        <v>2.9272319999999998E-2</v>
      </c>
      <c r="BL59" s="387">
        <f t="shared" si="55"/>
        <v>9.2028757370205813E-2</v>
      </c>
      <c r="BR59" s="18"/>
      <c r="BS59" s="19"/>
    </row>
    <row r="60" spans="1:73" x14ac:dyDescent="0.2">
      <c r="A60" s="23" t="s">
        <v>233</v>
      </c>
      <c r="B60" s="73">
        <f>Ireverse</f>
        <v>0</v>
      </c>
      <c r="C60" s="483" t="s">
        <v>68</v>
      </c>
      <c r="D60" s="76" t="s">
        <v>236</v>
      </c>
      <c r="E60" s="2"/>
      <c r="G60">
        <v>51</v>
      </c>
      <c r="H60" s="612">
        <f t="shared" si="0"/>
        <v>9.8449999999999989</v>
      </c>
      <c r="I60" s="4" t="str">
        <f t="shared" si="1"/>
        <v>BOOST</v>
      </c>
      <c r="J60">
        <f t="shared" si="43"/>
        <v>2</v>
      </c>
      <c r="K60">
        <f t="shared" si="2"/>
        <v>6</v>
      </c>
      <c r="L60" s="4">
        <f t="shared" si="3"/>
        <v>7.6180802437785688</v>
      </c>
      <c r="M60" s="4">
        <f t="shared" si="4"/>
        <v>7.3668522464256165</v>
      </c>
      <c r="N60" s="387">
        <f t="shared" si="5"/>
        <v>1</v>
      </c>
      <c r="O60" s="387">
        <f t="shared" si="58"/>
        <v>0.18554087970052754</v>
      </c>
      <c r="P60" s="4">
        <f t="shared" si="6"/>
        <v>1.7136928782501342</v>
      </c>
      <c r="Q60" s="387">
        <f t="shared" si="7"/>
        <v>7.6341257002617162</v>
      </c>
      <c r="R60" s="387">
        <f t="shared" si="8"/>
        <v>0.35974281921754114</v>
      </c>
      <c r="S60" s="387">
        <f t="shared" si="45"/>
        <v>4.3790280218402075E-2</v>
      </c>
      <c r="T60" s="387">
        <f t="shared" si="46"/>
        <v>0.40353309943594323</v>
      </c>
      <c r="U60" s="4">
        <f t="shared" si="9"/>
        <v>2.8734760806735768</v>
      </c>
      <c r="V60" s="387">
        <f t="shared" si="10"/>
        <v>5.7798053503422271E-2</v>
      </c>
      <c r="W60" s="387">
        <f t="shared" si="47"/>
        <v>5.7798053503422271E-2</v>
      </c>
      <c r="X60" s="387">
        <f t="shared" si="11"/>
        <v>0.4947005222830298</v>
      </c>
      <c r="Y60" s="387">
        <f t="shared" si="12"/>
        <v>4.8945721349420495E-4</v>
      </c>
      <c r="Z60" s="605">
        <f t="shared" si="48"/>
        <v>4.8945721349420495E-4</v>
      </c>
      <c r="AA60" s="387">
        <f t="shared" si="13"/>
        <v>7.6341257002617162</v>
      </c>
      <c r="AB60" s="387">
        <f t="shared" si="14"/>
        <v>0.3321952886821597</v>
      </c>
      <c r="AC60" s="387">
        <f t="shared" si="15"/>
        <v>0</v>
      </c>
      <c r="AD60">
        <f t="shared" si="16"/>
        <v>0</v>
      </c>
      <c r="AE60" s="387">
        <f t="shared" si="17"/>
        <v>0.35583674685093297</v>
      </c>
      <c r="AF60" s="387">
        <f t="shared" si="18"/>
        <v>0</v>
      </c>
      <c r="AG60" s="387">
        <f t="shared" si="19"/>
        <v>0</v>
      </c>
      <c r="AH60" s="387">
        <f t="shared" si="20"/>
        <v>0</v>
      </c>
      <c r="AI60" s="387">
        <f t="shared" si="21"/>
        <v>0</v>
      </c>
      <c r="AJ60" s="387">
        <f t="shared" si="22"/>
        <v>3.2883581488057683</v>
      </c>
      <c r="AK60" s="387">
        <f t="shared" si="23"/>
        <v>2.0545268698152871E-2</v>
      </c>
      <c r="AL60" s="387">
        <f t="shared" si="24"/>
        <v>6.6519265396868255E-2</v>
      </c>
      <c r="AM60">
        <f t="shared" si="25"/>
        <v>0</v>
      </c>
      <c r="AN60" s="387">
        <f t="shared" si="26"/>
        <v>8.7423763035454544E-2</v>
      </c>
      <c r="AO60" s="387">
        <f t="shared" si="27"/>
        <v>6.8895991097145224</v>
      </c>
      <c r="AP60" s="387">
        <f t="shared" si="28"/>
        <v>9.0186494195900357E-2</v>
      </c>
      <c r="AQ60" s="387">
        <f t="shared" si="29"/>
        <v>0.13651599796851197</v>
      </c>
      <c r="AR60" s="387">
        <f t="shared" si="30"/>
        <v>0.23086670389457525</v>
      </c>
      <c r="AS60" s="387">
        <f t="shared" si="31"/>
        <v>0.3321952886821597</v>
      </c>
      <c r="AT60" s="387">
        <f t="shared" si="32"/>
        <v>0</v>
      </c>
      <c r="AU60" s="387">
        <f t="shared" si="33"/>
        <v>8.8703999999999991E-2</v>
      </c>
      <c r="AV60" s="387">
        <f t="shared" si="34"/>
        <v>8.6506394518538407E-2</v>
      </c>
      <c r="AW60" s="387">
        <f t="shared" si="35"/>
        <v>0</v>
      </c>
      <c r="AX60" s="387">
        <f t="shared" si="36"/>
        <v>3.6000000000000004E-2</v>
      </c>
      <c r="AY60" s="387">
        <f t="shared" si="37"/>
        <v>0.118272</v>
      </c>
      <c r="AZ60" s="387">
        <f t="shared" si="38"/>
        <v>7.3471999999999996E-2</v>
      </c>
      <c r="BA60" s="387">
        <f t="shared" si="56"/>
        <v>0.15427200000000002</v>
      </c>
      <c r="BB60" s="387">
        <f t="shared" si="57"/>
        <v>1.4654302184523607</v>
      </c>
      <c r="BC60">
        <f t="shared" si="39"/>
        <v>72</v>
      </c>
      <c r="BD60" s="606">
        <f t="shared" si="50"/>
        <v>0.98005279198536177</v>
      </c>
      <c r="BE60" s="616">
        <f t="shared" si="40"/>
        <v>8.806388151772726</v>
      </c>
      <c r="BF60" s="616">
        <f t="shared" si="41"/>
        <v>11.543335194728762</v>
      </c>
      <c r="BG60" s="9"/>
      <c r="BH60" s="4">
        <f t="shared" si="51"/>
        <v>98.005279198536172</v>
      </c>
      <c r="BI60" s="387">
        <f t="shared" si="52"/>
        <v>0.40353309943594323</v>
      </c>
      <c r="BJ60" s="387">
        <f t="shared" si="53"/>
        <v>0.76283121378096286</v>
      </c>
      <c r="BK60" s="387">
        <f t="shared" si="54"/>
        <v>2.9272319999999998E-2</v>
      </c>
      <c r="BL60" s="387">
        <f t="shared" si="55"/>
        <v>8.6506394518538407E-2</v>
      </c>
      <c r="BR60" s="18"/>
      <c r="BS60" s="19"/>
    </row>
    <row r="61" spans="1:73" x14ac:dyDescent="0.2">
      <c r="A61" s="24" t="s">
        <v>121</v>
      </c>
      <c r="B61" s="15" t="s">
        <v>115</v>
      </c>
      <c r="C61" s="24" t="s">
        <v>80</v>
      </c>
      <c r="D61" s="24" t="s">
        <v>249</v>
      </c>
      <c r="G61">
        <v>52</v>
      </c>
      <c r="H61" s="612">
        <f t="shared" si="0"/>
        <v>9.9400000000000013</v>
      </c>
      <c r="I61" s="4" t="str">
        <f t="shared" si="1"/>
        <v>BOOST</v>
      </c>
      <c r="J61">
        <f t="shared" si="43"/>
        <v>2</v>
      </c>
      <c r="K61">
        <f t="shared" si="2"/>
        <v>6</v>
      </c>
      <c r="L61" s="4">
        <f t="shared" si="3"/>
        <v>7.5452716297786715</v>
      </c>
      <c r="M61" s="4">
        <f t="shared" si="4"/>
        <v>7.2950719743963539</v>
      </c>
      <c r="N61" s="387">
        <f t="shared" si="5"/>
        <v>1</v>
      </c>
      <c r="O61" s="387">
        <f t="shared" si="58"/>
        <v>0.17752696326255465</v>
      </c>
      <c r="P61" s="4">
        <f t="shared" si="6"/>
        <v>1.6558891880650881</v>
      </c>
      <c r="Q61" s="387">
        <f t="shared" si="7"/>
        <v>7.5603982291987855</v>
      </c>
      <c r="R61" s="387">
        <f t="shared" si="8"/>
        <v>0.35263277925638875</v>
      </c>
      <c r="S61" s="387">
        <f t="shared" si="45"/>
        <v>4.0461703021268391E-2</v>
      </c>
      <c r="T61" s="387">
        <f t="shared" si="46"/>
        <v>0.39309448227765714</v>
      </c>
      <c r="U61" s="4">
        <f t="shared" si="9"/>
        <v>2.7963819385995823</v>
      </c>
      <c r="V61" s="387">
        <f t="shared" si="10"/>
        <v>5.473826362568171E-2</v>
      </c>
      <c r="W61" s="387">
        <f t="shared" si="47"/>
        <v>5.473826362568171E-2</v>
      </c>
      <c r="X61" s="387">
        <f t="shared" si="11"/>
        <v>0.47801403423878475</v>
      </c>
      <c r="Y61" s="387">
        <f t="shared" si="12"/>
        <v>4.569948338584762E-4</v>
      </c>
      <c r="Z61" s="605">
        <f t="shared" si="48"/>
        <v>4.569948338584762E-4</v>
      </c>
      <c r="AA61" s="387">
        <f t="shared" si="13"/>
        <v>7.5603982291987855</v>
      </c>
      <c r="AB61" s="387">
        <f t="shared" si="14"/>
        <v>0.32580984188921114</v>
      </c>
      <c r="AC61" s="387">
        <f t="shared" si="15"/>
        <v>0</v>
      </c>
      <c r="AD61">
        <f t="shared" si="16"/>
        <v>0</v>
      </c>
      <c r="AE61" s="387">
        <f t="shared" si="17"/>
        <v>0.34852009745886842</v>
      </c>
      <c r="AF61" s="387">
        <f t="shared" si="18"/>
        <v>0</v>
      </c>
      <c r="AG61" s="387">
        <f t="shared" si="19"/>
        <v>0</v>
      </c>
      <c r="AH61" s="387">
        <f t="shared" si="20"/>
        <v>0</v>
      </c>
      <c r="AI61" s="387">
        <f t="shared" si="21"/>
        <v>0</v>
      </c>
      <c r="AJ61" s="387">
        <f t="shared" si="22"/>
        <v>3.1854943110217144</v>
      </c>
      <c r="AK61" s="387">
        <f t="shared" si="23"/>
        <v>1.9280010610548244E-2</v>
      </c>
      <c r="AL61" s="387">
        <f t="shared" si="24"/>
        <v>6.5883517890560142E-2</v>
      </c>
      <c r="AM61">
        <f t="shared" si="25"/>
        <v>0</v>
      </c>
      <c r="AN61" s="387">
        <f t="shared" si="26"/>
        <v>8.549319042481239E-2</v>
      </c>
      <c r="AO61" s="387">
        <f t="shared" si="27"/>
        <v>6.8565477741003473</v>
      </c>
      <c r="AP61" s="387">
        <f t="shared" si="28"/>
        <v>8.9323270019188813E-2</v>
      </c>
      <c r="AQ61" s="387">
        <f t="shared" si="29"/>
        <v>0.13521126760563382</v>
      </c>
      <c r="AR61" s="387">
        <f t="shared" si="30"/>
        <v>0.22861873217390549</v>
      </c>
      <c r="AS61" s="387">
        <f t="shared" si="31"/>
        <v>0.32580984188921114</v>
      </c>
      <c r="AT61" s="387">
        <f t="shared" si="32"/>
        <v>0</v>
      </c>
      <c r="AU61" s="387">
        <f t="shared" si="33"/>
        <v>8.8703999999999991E-2</v>
      </c>
      <c r="AV61" s="387">
        <f t="shared" si="34"/>
        <v>8.1178992044413659E-2</v>
      </c>
      <c r="AW61" s="387">
        <f t="shared" si="35"/>
        <v>0</v>
      </c>
      <c r="AX61" s="387">
        <f t="shared" si="36"/>
        <v>3.6000000000000004E-2</v>
      </c>
      <c r="AY61" s="387">
        <f t="shared" si="37"/>
        <v>0.118272</v>
      </c>
      <c r="AZ61" s="387">
        <f t="shared" si="38"/>
        <v>7.3471999999999996E-2</v>
      </c>
      <c r="BA61" s="387">
        <f t="shared" si="56"/>
        <v>0.15427200000000002</v>
      </c>
      <c r="BB61" s="387">
        <f t="shared" si="57"/>
        <v>1.4350767528391972</v>
      </c>
      <c r="BC61">
        <f t="shared" si="39"/>
        <v>72</v>
      </c>
      <c r="BD61" s="606">
        <f t="shared" si="50"/>
        <v>0.98045788448387905</v>
      </c>
      <c r="BE61" s="616">
        <f t="shared" si="40"/>
        <v>8.7098595212406185</v>
      </c>
      <c r="BF61" s="616">
        <f t="shared" si="41"/>
        <v>11.430936608695275</v>
      </c>
      <c r="BG61" s="9"/>
      <c r="BH61" s="4">
        <f t="shared" si="51"/>
        <v>98.04578844838791</v>
      </c>
      <c r="BI61" s="387">
        <f t="shared" si="52"/>
        <v>0.39309448227765714</v>
      </c>
      <c r="BJ61" s="387">
        <f t="shared" si="53"/>
        <v>0.75133602005758637</v>
      </c>
      <c r="BK61" s="387">
        <f t="shared" si="54"/>
        <v>2.9272319999999998E-2</v>
      </c>
      <c r="BL61" s="387">
        <f t="shared" si="55"/>
        <v>8.1178992044413659E-2</v>
      </c>
      <c r="BR61" s="18"/>
      <c r="BS61" s="19"/>
    </row>
    <row r="62" spans="1:73" ht="15.75" x14ac:dyDescent="0.3">
      <c r="A62" s="489" t="s">
        <v>682</v>
      </c>
      <c r="B62" s="74">
        <v>30</v>
      </c>
      <c r="C62" s="484" t="s">
        <v>241</v>
      </c>
      <c r="D62" s="76" t="s">
        <v>107</v>
      </c>
      <c r="G62">
        <v>53</v>
      </c>
      <c r="H62" s="612">
        <f t="shared" si="0"/>
        <v>10.035</v>
      </c>
      <c r="I62" s="4" t="str">
        <f t="shared" si="1"/>
        <v>BOOST</v>
      </c>
      <c r="J62">
        <f t="shared" si="43"/>
        <v>2</v>
      </c>
      <c r="K62">
        <f t="shared" si="2"/>
        <v>6</v>
      </c>
      <c r="L62" s="4">
        <f t="shared" si="3"/>
        <v>7.4738415545590433</v>
      </c>
      <c r="M62" s="4">
        <f t="shared" si="4"/>
        <v>7.2246931110814661</v>
      </c>
      <c r="N62" s="387">
        <f t="shared" si="5"/>
        <v>1</v>
      </c>
      <c r="O62" s="387">
        <f t="shared" si="58"/>
        <v>0.16951489734601907</v>
      </c>
      <c r="P62" s="4">
        <f t="shared" si="6"/>
        <v>1.5966354938005962</v>
      </c>
      <c r="Q62" s="387">
        <f t="shared" si="7"/>
        <v>7.4880401079093364</v>
      </c>
      <c r="R62" s="387">
        <f t="shared" si="8"/>
        <v>0.34572941469737978</v>
      </c>
      <c r="S62" s="387">
        <f t="shared" si="45"/>
        <v>3.7203365344105392E-2</v>
      </c>
      <c r="T62" s="387">
        <f t="shared" si="46"/>
        <v>0.38293278004148518</v>
      </c>
      <c r="U62" s="4">
        <f t="shared" si="9"/>
        <v>2.7187350680426761</v>
      </c>
      <c r="V62" s="387">
        <f t="shared" si="10"/>
        <v>5.1740642591435099E-2</v>
      </c>
      <c r="W62" s="387">
        <f t="shared" si="47"/>
        <v>5.1740642591435099E-2</v>
      </c>
      <c r="X62" s="387">
        <f t="shared" si="11"/>
        <v>0.46090896607174264</v>
      </c>
      <c r="Y62" s="387">
        <f t="shared" si="12"/>
        <v>4.2487415001064561E-4</v>
      </c>
      <c r="Z62" s="605">
        <f t="shared" si="48"/>
        <v>4.2487415001064561E-4</v>
      </c>
      <c r="AA62" s="387">
        <f t="shared" si="13"/>
        <v>7.4880401079093364</v>
      </c>
      <c r="AB62" s="387">
        <f t="shared" si="14"/>
        <v>0.31960324454865552</v>
      </c>
      <c r="AC62" s="387">
        <f t="shared" si="15"/>
        <v>0</v>
      </c>
      <c r="AD62">
        <f t="shared" si="16"/>
        <v>0</v>
      </c>
      <c r="AE62" s="387">
        <f t="shared" si="17"/>
        <v>0.3414275127171727</v>
      </c>
      <c r="AF62" s="387">
        <f t="shared" si="18"/>
        <v>0</v>
      </c>
      <c r="AG62" s="387">
        <f t="shared" si="19"/>
        <v>0</v>
      </c>
      <c r="AH62" s="387">
        <f t="shared" si="20"/>
        <v>0</v>
      </c>
      <c r="AI62" s="387">
        <f t="shared" si="21"/>
        <v>0</v>
      </c>
      <c r="AJ62" s="387">
        <f t="shared" si="22"/>
        <v>3.0829898677676337</v>
      </c>
      <c r="AK62" s="387">
        <f t="shared" si="23"/>
        <v>1.8059170397039994E-2</v>
      </c>
      <c r="AL62" s="387">
        <f t="shared" si="24"/>
        <v>6.5259807457116875E-2</v>
      </c>
      <c r="AM62">
        <f t="shared" si="25"/>
        <v>0</v>
      </c>
      <c r="AN62" s="387">
        <f t="shared" si="26"/>
        <v>8.3621003042700787E-2</v>
      </c>
      <c r="AO62" s="387">
        <f t="shared" si="27"/>
        <v>6.8239224887817258</v>
      </c>
      <c r="AP62" s="387">
        <f t="shared" si="28"/>
        <v>8.847524445251187E-2</v>
      </c>
      <c r="AQ62" s="387">
        <f t="shared" si="29"/>
        <v>0.13393124065769807</v>
      </c>
      <c r="AR62" s="387">
        <f t="shared" si="30"/>
        <v>0.22641287194878268</v>
      </c>
      <c r="AS62" s="387">
        <f t="shared" si="31"/>
        <v>0.31960324454865552</v>
      </c>
      <c r="AT62" s="387">
        <f t="shared" si="32"/>
        <v>0</v>
      </c>
      <c r="AU62" s="387">
        <f t="shared" si="33"/>
        <v>8.8703999999999991E-2</v>
      </c>
      <c r="AV62" s="387">
        <f t="shared" si="34"/>
        <v>7.6038612198063141E-2</v>
      </c>
      <c r="AW62" s="387">
        <f t="shared" si="35"/>
        <v>0</v>
      </c>
      <c r="AX62" s="387">
        <f t="shared" si="36"/>
        <v>3.6000000000000004E-2</v>
      </c>
      <c r="AY62" s="387">
        <f t="shared" si="37"/>
        <v>0.118272</v>
      </c>
      <c r="AZ62" s="387">
        <f t="shared" si="38"/>
        <v>7.3471999999999996E-2</v>
      </c>
      <c r="BA62" s="387">
        <f t="shared" si="56"/>
        <v>0.15427200000000002</v>
      </c>
      <c r="BB62" s="387">
        <f t="shared" si="57"/>
        <v>1.4055742966896503</v>
      </c>
      <c r="BC62">
        <f t="shared" si="39"/>
        <v>72</v>
      </c>
      <c r="BD62" s="606">
        <f t="shared" si="50"/>
        <v>0.98085194060319425</v>
      </c>
      <c r="BE62" s="616">
        <f t="shared" si="40"/>
        <v>8.6162501521350379</v>
      </c>
      <c r="BF62" s="616">
        <f t="shared" si="41"/>
        <v>11.320643597439133</v>
      </c>
      <c r="BG62" s="9"/>
      <c r="BH62" s="4">
        <f t="shared" si="51"/>
        <v>98.085194060319424</v>
      </c>
      <c r="BI62" s="387">
        <f t="shared" si="52"/>
        <v>0.38293278004148518</v>
      </c>
      <c r="BJ62" s="387">
        <f t="shared" si="53"/>
        <v>0.74016538770865614</v>
      </c>
      <c r="BK62" s="387">
        <f t="shared" si="54"/>
        <v>2.9272319999999998E-2</v>
      </c>
      <c r="BL62" s="387">
        <f t="shared" si="55"/>
        <v>7.6038612198063141E-2</v>
      </c>
      <c r="BR62" s="18"/>
      <c r="BS62" s="19"/>
    </row>
    <row r="63" spans="1:73" x14ac:dyDescent="0.2">
      <c r="A63" s="23" t="s">
        <v>122</v>
      </c>
      <c r="B63" s="74">
        <v>2</v>
      </c>
      <c r="C63" s="484" t="s">
        <v>241</v>
      </c>
      <c r="D63" s="21" t="s">
        <v>107</v>
      </c>
      <c r="G63">
        <v>54</v>
      </c>
      <c r="H63" s="612">
        <f t="shared" si="0"/>
        <v>10.130000000000001</v>
      </c>
      <c r="I63" s="4" t="str">
        <f t="shared" si="1"/>
        <v>BOOST</v>
      </c>
      <c r="J63">
        <f t="shared" si="43"/>
        <v>2</v>
      </c>
      <c r="K63">
        <f t="shared" si="2"/>
        <v>6</v>
      </c>
      <c r="L63" s="4">
        <f t="shared" si="3"/>
        <v>7.4037512339585385</v>
      </c>
      <c r="M63" s="4">
        <f t="shared" si="4"/>
        <v>7.1556745714049086</v>
      </c>
      <c r="N63" s="387">
        <f t="shared" si="5"/>
        <v>1</v>
      </c>
      <c r="O63" s="387">
        <f t="shared" si="58"/>
        <v>0.16150462962962964</v>
      </c>
      <c r="P63" s="4">
        <f t="shared" si="6"/>
        <v>1.5359323998325163</v>
      </c>
      <c r="Q63" s="387">
        <f t="shared" si="7"/>
        <v>7.4170157765155471</v>
      </c>
      <c r="R63" s="387">
        <f t="shared" si="8"/>
        <v>0.33902497019215083</v>
      </c>
      <c r="S63" s="387">
        <f t="shared" si="45"/>
        <v>3.4024945120007491E-2</v>
      </c>
      <c r="T63" s="387">
        <f t="shared" si="46"/>
        <v>0.37304991531215831</v>
      </c>
      <c r="U63" s="4">
        <f t="shared" si="9"/>
        <v>2.6404380772092906</v>
      </c>
      <c r="V63" s="387">
        <f t="shared" si="10"/>
        <v>4.8803392677036865E-2</v>
      </c>
      <c r="W63" s="387">
        <f t="shared" si="47"/>
        <v>4.8803392677036865E-2</v>
      </c>
      <c r="X63" s="387">
        <f t="shared" si="11"/>
        <v>0.44338549225018564</v>
      </c>
      <c r="Y63" s="387">
        <f t="shared" si="12"/>
        <v>3.9318138947587889E-4</v>
      </c>
      <c r="Z63" s="605">
        <f t="shared" si="48"/>
        <v>3.9318138947587889E-4</v>
      </c>
      <c r="AA63" s="387">
        <f t="shared" si="13"/>
        <v>7.4170157765155471</v>
      </c>
      <c r="AB63" s="387">
        <f t="shared" si="14"/>
        <v>0.31356910126575904</v>
      </c>
      <c r="AC63" s="387">
        <f t="shared" si="15"/>
        <v>0</v>
      </c>
      <c r="AD63">
        <f t="shared" si="16"/>
        <v>0</v>
      </c>
      <c r="AE63" s="387">
        <f t="shared" si="17"/>
        <v>0.33455001048927341</v>
      </c>
      <c r="AF63" s="387">
        <f t="shared" si="18"/>
        <v>0</v>
      </c>
      <c r="AG63" s="387">
        <f t="shared" si="19"/>
        <v>0</v>
      </c>
      <c r="AH63" s="387">
        <f t="shared" si="20"/>
        <v>0</v>
      </c>
      <c r="AI63" s="387">
        <f t="shared" si="21"/>
        <v>0</v>
      </c>
      <c r="AJ63" s="387">
        <f t="shared" si="22"/>
        <v>2.9807234952191171</v>
      </c>
      <c r="AK63" s="387">
        <f t="shared" si="23"/>
        <v>1.688095385440741E-2</v>
      </c>
      <c r="AL63" s="387">
        <f t="shared" si="24"/>
        <v>6.4647795442464753E-2</v>
      </c>
      <c r="AM63">
        <f t="shared" si="25"/>
        <v>0</v>
      </c>
      <c r="AN63" s="387">
        <f t="shared" si="26"/>
        <v>8.1804938374825775E-2</v>
      </c>
      <c r="AO63" s="387">
        <f t="shared" si="27"/>
        <v>6.7917163128423779</v>
      </c>
      <c r="AP63" s="387">
        <f t="shared" si="28"/>
        <v>8.7642079900845604E-2</v>
      </c>
      <c r="AQ63" s="387">
        <f t="shared" si="29"/>
        <v>0.13267522211253702</v>
      </c>
      <c r="AR63" s="387">
        <f t="shared" si="30"/>
        <v>0.22424801449416329</v>
      </c>
      <c r="AS63" s="387">
        <f t="shared" si="31"/>
        <v>0.31356910126575904</v>
      </c>
      <c r="AT63" s="387">
        <f t="shared" si="32"/>
        <v>0</v>
      </c>
      <c r="AU63" s="387">
        <f t="shared" si="33"/>
        <v>8.8703999999999991E-2</v>
      </c>
      <c r="AV63" s="387">
        <f t="shared" si="34"/>
        <v>7.1077700439610161E-2</v>
      </c>
      <c r="AW63" s="387">
        <f t="shared" si="35"/>
        <v>0</v>
      </c>
      <c r="AX63" s="387">
        <f t="shared" si="36"/>
        <v>3.6000000000000004E-2</v>
      </c>
      <c r="AY63" s="387">
        <f t="shared" si="37"/>
        <v>0.118272</v>
      </c>
      <c r="AZ63" s="387">
        <f t="shared" si="38"/>
        <v>7.3471999999999996E-2</v>
      </c>
      <c r="BA63" s="387">
        <f t="shared" si="56"/>
        <v>0.15427200000000002</v>
      </c>
      <c r="BB63" s="387">
        <f t="shared" si="57"/>
        <v>1.3769031531765434</v>
      </c>
      <c r="BC63">
        <f t="shared" si="39"/>
        <v>72</v>
      </c>
      <c r="BD63" s="606">
        <f t="shared" si="50"/>
        <v>0.98123519671711668</v>
      </c>
      <c r="BE63" s="616">
        <f t="shared" si="40"/>
        <v>8.5254469187412898</v>
      </c>
      <c r="BF63" s="616">
        <f t="shared" si="41"/>
        <v>11.212400724708164</v>
      </c>
      <c r="BG63" s="9"/>
      <c r="BH63" s="4">
        <f t="shared" si="51"/>
        <v>98.123519671711662</v>
      </c>
      <c r="BI63" s="387">
        <f t="shared" si="52"/>
        <v>0.37304991531215831</v>
      </c>
      <c r="BJ63" s="387">
        <f t="shared" si="53"/>
        <v>0.72930696335826251</v>
      </c>
      <c r="BK63" s="387">
        <f t="shared" si="54"/>
        <v>2.9272319999999998E-2</v>
      </c>
      <c r="BL63" s="387">
        <f t="shared" si="55"/>
        <v>7.1077700439610161E-2</v>
      </c>
      <c r="BR63" s="18"/>
      <c r="BS63" s="19"/>
    </row>
    <row r="64" spans="1:73" x14ac:dyDescent="0.2">
      <c r="A64" s="75"/>
      <c r="B64" s="30"/>
      <c r="G64">
        <v>55</v>
      </c>
      <c r="H64" s="612">
        <f t="shared" si="0"/>
        <v>10.225000000000001</v>
      </c>
      <c r="I64" s="4" t="str">
        <f t="shared" si="1"/>
        <v>BOOST</v>
      </c>
      <c r="J64">
        <f t="shared" si="43"/>
        <v>2</v>
      </c>
      <c r="K64">
        <f t="shared" si="2"/>
        <v>6</v>
      </c>
      <c r="L64" s="4">
        <f t="shared" si="3"/>
        <v>7.3349633251833737</v>
      </c>
      <c r="M64" s="4">
        <f t="shared" si="4"/>
        <v>7.087976876515512</v>
      </c>
      <c r="N64" s="387">
        <f t="shared" si="5"/>
        <v>1</v>
      </c>
      <c r="O64" s="387">
        <f t="shared" si="58"/>
        <v>0.15349610974610958</v>
      </c>
      <c r="P64" s="4">
        <f t="shared" si="6"/>
        <v>1.4737804878597918</v>
      </c>
      <c r="Q64" s="387">
        <f t="shared" si="7"/>
        <v>7.3472912962749852</v>
      </c>
      <c r="R64" s="387">
        <f t="shared" si="8"/>
        <v>0.33251208676955979</v>
      </c>
      <c r="S64" s="387">
        <f t="shared" si="45"/>
        <v>3.093608039151851E-2</v>
      </c>
      <c r="T64" s="387">
        <f t="shared" si="46"/>
        <v>0.36344816716107831</v>
      </c>
      <c r="U64" s="4">
        <f t="shared" si="9"/>
        <v>2.5613828944475783</v>
      </c>
      <c r="V64" s="387">
        <f t="shared" si="10"/>
        <v>4.5924776323780579E-2</v>
      </c>
      <c r="W64" s="387">
        <f t="shared" si="47"/>
        <v>4.5924776323780579E-2</v>
      </c>
      <c r="X64" s="387">
        <f t="shared" si="11"/>
        <v>0.42544378069613442</v>
      </c>
      <c r="Y64" s="387">
        <f t="shared" si="12"/>
        <v>3.6200482106604103E-4</v>
      </c>
      <c r="Z64" s="605">
        <f t="shared" si="48"/>
        <v>3.6200482106604103E-4</v>
      </c>
      <c r="AA64" s="387">
        <f t="shared" si="13"/>
        <v>7.3472912962749852</v>
      </c>
      <c r="AB64" s="387">
        <f t="shared" si="14"/>
        <v>0.30770132953621349</v>
      </c>
      <c r="AC64" s="387">
        <f t="shared" si="15"/>
        <v>0</v>
      </c>
      <c r="AD64">
        <f t="shared" si="16"/>
        <v>0</v>
      </c>
      <c r="AE64" s="387">
        <f t="shared" si="17"/>
        <v>0.32787909630846274</v>
      </c>
      <c r="AF64" s="387">
        <f t="shared" si="18"/>
        <v>0</v>
      </c>
      <c r="AG64" s="387">
        <f t="shared" si="19"/>
        <v>0</v>
      </c>
      <c r="AH64" s="387">
        <f t="shared" si="20"/>
        <v>0</v>
      </c>
      <c r="AI64" s="387">
        <f t="shared" si="21"/>
        <v>0</v>
      </c>
      <c r="AJ64" s="387">
        <f t="shared" si="22"/>
        <v>2.8785643670679684</v>
      </c>
      <c r="AK64" s="387">
        <f t="shared" si="23"/>
        <v>1.5743652349171487E-2</v>
      </c>
      <c r="AL64" s="387">
        <f t="shared" si="24"/>
        <v>6.4047155778207132E-2</v>
      </c>
      <c r="AM64">
        <f t="shared" si="25"/>
        <v>0</v>
      </c>
      <c r="AN64" s="387">
        <f t="shared" si="26"/>
        <v>8.0042841461179556E-2</v>
      </c>
      <c r="AO64" s="387">
        <f t="shared" si="27"/>
        <v>6.759922823299445</v>
      </c>
      <c r="AP64" s="387">
        <f t="shared" si="28"/>
        <v>8.6823457496233006E-2</v>
      </c>
      <c r="AQ64" s="387">
        <f t="shared" si="29"/>
        <v>0.13144254278728607</v>
      </c>
      <c r="AR64" s="387">
        <f t="shared" si="30"/>
        <v>0.2221230993790935</v>
      </c>
      <c r="AS64" s="387">
        <f t="shared" si="31"/>
        <v>0.30770132953621349</v>
      </c>
      <c r="AT64" s="387">
        <f t="shared" si="32"/>
        <v>0</v>
      </c>
      <c r="AU64" s="387">
        <f t="shared" si="33"/>
        <v>8.8703999999999991E-2</v>
      </c>
      <c r="AV64" s="387">
        <f t="shared" si="34"/>
        <v>6.6289062522827305E-2</v>
      </c>
      <c r="AW64" s="387">
        <f t="shared" si="35"/>
        <v>0</v>
      </c>
      <c r="AX64" s="387">
        <f t="shared" si="36"/>
        <v>3.6000000000000004E-2</v>
      </c>
      <c r="AY64" s="387">
        <f t="shared" si="37"/>
        <v>0.118272</v>
      </c>
      <c r="AZ64" s="387">
        <f t="shared" si="38"/>
        <v>7.3471999999999996E-2</v>
      </c>
      <c r="BA64" s="387">
        <f t="shared" si="56"/>
        <v>0.15427200000000002</v>
      </c>
      <c r="BB64" s="387">
        <f t="shared" si="57"/>
        <v>1.349045047977488</v>
      </c>
      <c r="BC64">
        <f t="shared" si="39"/>
        <v>72</v>
      </c>
      <c r="BD64" s="606">
        <f t="shared" si="50"/>
        <v>0.98160787168946673</v>
      </c>
      <c r="BE64" s="616">
        <f t="shared" si="40"/>
        <v>8.4373420730589768</v>
      </c>
      <c r="BF64" s="616">
        <f t="shared" si="41"/>
        <v>11.106154968954675</v>
      </c>
      <c r="BG64" s="9"/>
      <c r="BH64" s="4">
        <f t="shared" si="51"/>
        <v>98.160787168946669</v>
      </c>
      <c r="BI64" s="387">
        <f t="shared" si="52"/>
        <v>0.36344816716107831</v>
      </c>
      <c r="BJ64" s="387">
        <f t="shared" si="53"/>
        <v>0.71874903714873584</v>
      </c>
      <c r="BK64" s="387">
        <f t="shared" si="54"/>
        <v>2.9272319999999998E-2</v>
      </c>
      <c r="BL64" s="387">
        <f t="shared" si="55"/>
        <v>6.6289062522827305E-2</v>
      </c>
      <c r="BR64" s="18"/>
      <c r="BS64" s="19"/>
    </row>
    <row r="65" spans="1:71" x14ac:dyDescent="0.2">
      <c r="G65">
        <v>56</v>
      </c>
      <c r="H65" s="612">
        <f t="shared" si="0"/>
        <v>10.32</v>
      </c>
      <c r="I65" s="4" t="str">
        <f t="shared" si="1"/>
        <v>BOOST</v>
      </c>
      <c r="J65">
        <f t="shared" si="43"/>
        <v>2</v>
      </c>
      <c r="K65">
        <f t="shared" si="2"/>
        <v>6</v>
      </c>
      <c r="L65" s="4">
        <f t="shared" si="3"/>
        <v>7.2674418604651168</v>
      </c>
      <c r="M65" s="4">
        <f t="shared" si="4"/>
        <v>7.0215620753604346</v>
      </c>
      <c r="N65" s="387">
        <f t="shared" si="5"/>
        <v>1</v>
      </c>
      <c r="O65" s="387">
        <f t="shared" si="58"/>
        <v>0.14548928919182075</v>
      </c>
      <c r="P65" s="4">
        <f t="shared" si="6"/>
        <v>1.4101803179581032</v>
      </c>
      <c r="Q65" s="387">
        <f t="shared" si="7"/>
        <v>7.2788342866609064</v>
      </c>
      <c r="R65" s="387">
        <f t="shared" si="8"/>
        <v>0.32618377908062579</v>
      </c>
      <c r="S65" s="387">
        <f t="shared" si="45"/>
        <v>2.7946337654390935E-2</v>
      </c>
      <c r="T65" s="387">
        <f t="shared" si="46"/>
        <v>0.35413011673501671</v>
      </c>
      <c r="U65" s="4">
        <f t="shared" si="9"/>
        <v>2.4814486797361619</v>
      </c>
      <c r="V65" s="387">
        <f t="shared" si="10"/>
        <v>4.3103112851150385E-2</v>
      </c>
      <c r="W65" s="387">
        <f t="shared" si="47"/>
        <v>4.3103112851150385E-2</v>
      </c>
      <c r="X65" s="387">
        <f t="shared" si="11"/>
        <v>0.40708399308951149</v>
      </c>
      <c r="Y65" s="387">
        <f t="shared" si="12"/>
        <v>3.3143475485940288E-4</v>
      </c>
      <c r="Z65" s="605">
        <f t="shared" si="48"/>
        <v>3.3143475485940288E-4</v>
      </c>
      <c r="AA65" s="387">
        <f t="shared" si="13"/>
        <v>7.2788342866609064</v>
      </c>
      <c r="AB65" s="387">
        <f t="shared" si="14"/>
        <v>0.30199414286422122</v>
      </c>
      <c r="AC65" s="387">
        <f t="shared" si="15"/>
        <v>0</v>
      </c>
      <c r="AD65">
        <f t="shared" si="16"/>
        <v>0</v>
      </c>
      <c r="AE65" s="387">
        <f t="shared" si="17"/>
        <v>0.32140673303495754</v>
      </c>
      <c r="AF65" s="387">
        <f t="shared" si="18"/>
        <v>0</v>
      </c>
      <c r="AG65" s="387">
        <f t="shared" si="19"/>
        <v>0</v>
      </c>
      <c r="AH65" s="387">
        <f t="shared" si="20"/>
        <v>0</v>
      </c>
      <c r="AI65" s="387">
        <f t="shared" si="21"/>
        <v>0</v>
      </c>
      <c r="AJ65" s="387">
        <f t="shared" si="22"/>
        <v>2.7763700011715002</v>
      </c>
      <c r="AK65" s="387">
        <f t="shared" si="23"/>
        <v>1.4645637728469569E-2</v>
      </c>
      <c r="AL65" s="387">
        <f t="shared" si="24"/>
        <v>6.3457574402341857E-2</v>
      </c>
      <c r="AM65">
        <f t="shared" si="25"/>
        <v>0</v>
      </c>
      <c r="AN65" s="387">
        <f t="shared" si="26"/>
        <v>7.8332658478488207E-2</v>
      </c>
      <c r="AO65" s="387">
        <f t="shared" si="27"/>
        <v>6.7285361104229313</v>
      </c>
      <c r="AP65" s="387">
        <f t="shared" si="28"/>
        <v>8.6019076559604168E-2</v>
      </c>
      <c r="AQ65" s="387">
        <f t="shared" si="29"/>
        <v>0.13023255813953491</v>
      </c>
      <c r="AR65" s="387">
        <f t="shared" si="30"/>
        <v>0.22003711254513389</v>
      </c>
      <c r="AS65" s="387">
        <f t="shared" si="31"/>
        <v>0.30199414286422122</v>
      </c>
      <c r="AT65" s="387">
        <f t="shared" si="32"/>
        <v>0</v>
      </c>
      <c r="AU65" s="387">
        <f t="shared" si="33"/>
        <v>8.8703999999999991E-2</v>
      </c>
      <c r="AV65" s="387">
        <f t="shared" si="34"/>
        <v>6.1665843067240288E-2</v>
      </c>
      <c r="AW65" s="387">
        <f t="shared" si="35"/>
        <v>0</v>
      </c>
      <c r="AX65" s="387">
        <f t="shared" si="36"/>
        <v>3.6000000000000004E-2</v>
      </c>
      <c r="AY65" s="387">
        <f t="shared" si="37"/>
        <v>0.118272</v>
      </c>
      <c r="AZ65" s="387">
        <f t="shared" si="38"/>
        <v>7.3471999999999996E-2</v>
      </c>
      <c r="BA65" s="387">
        <f t="shared" si="56"/>
        <v>0.15427200000000002</v>
      </c>
      <c r="BB65" s="387">
        <f t="shared" si="57"/>
        <v>1.3219830114668463</v>
      </c>
      <c r="BC65">
        <f t="shared" si="39"/>
        <v>72</v>
      </c>
      <c r="BD65" s="606">
        <f t="shared" si="50"/>
        <v>0.9819701683291886</v>
      </c>
      <c r="BE65" s="616">
        <f t="shared" si="40"/>
        <v>8.3518329239244107</v>
      </c>
      <c r="BF65" s="616">
        <f t="shared" si="41"/>
        <v>11.001855627256694</v>
      </c>
      <c r="BG65" s="9"/>
      <c r="BH65" s="4">
        <f t="shared" si="51"/>
        <v>98.197016832918862</v>
      </c>
      <c r="BI65" s="387">
        <f t="shared" si="52"/>
        <v>0.35413011673501671</v>
      </c>
      <c r="BJ65" s="387">
        <f t="shared" si="53"/>
        <v>0.70848050405857965</v>
      </c>
      <c r="BK65" s="387">
        <f t="shared" si="54"/>
        <v>2.9272319999999998E-2</v>
      </c>
      <c r="BL65" s="387">
        <f t="shared" si="55"/>
        <v>6.1665843067240288E-2</v>
      </c>
      <c r="BR65" s="18"/>
      <c r="BS65" s="19"/>
    </row>
    <row r="66" spans="1:71" x14ac:dyDescent="0.2">
      <c r="A66" s="11" t="s">
        <v>81</v>
      </c>
      <c r="B66" s="31"/>
      <c r="C66" s="31"/>
      <c r="G66">
        <v>57</v>
      </c>
      <c r="H66" s="612">
        <f t="shared" si="0"/>
        <v>10.414999999999999</v>
      </c>
      <c r="I66" s="4" t="str">
        <f t="shared" si="1"/>
        <v>BOOST</v>
      </c>
      <c r="J66">
        <f t="shared" si="43"/>
        <v>2</v>
      </c>
      <c r="K66">
        <f t="shared" si="2"/>
        <v>6</v>
      </c>
      <c r="L66" s="4">
        <f t="shared" si="3"/>
        <v>7.201152184349497</v>
      </c>
      <c r="M66" s="4">
        <f t="shared" si="4"/>
        <v>6.956393670845074</v>
      </c>
      <c r="N66" s="387">
        <f t="shared" si="5"/>
        <v>1</v>
      </c>
      <c r="O66" s="387">
        <f t="shared" si="58"/>
        <v>0.13748412124135725</v>
      </c>
      <c r="P66" s="4">
        <f t="shared" si="6"/>
        <v>1.3451324295753093</v>
      </c>
      <c r="Q66" s="387">
        <f t="shared" si="7"/>
        <v>7.2116138660672062</v>
      </c>
      <c r="R66" s="387">
        <f t="shared" si="8"/>
        <v>0.32003341418729025</v>
      </c>
      <c r="S66" s="387">
        <f t="shared" si="45"/>
        <v>2.5065176689133641E-2</v>
      </c>
      <c r="T66" s="387">
        <f t="shared" si="46"/>
        <v>0.34509859087642392</v>
      </c>
      <c r="U66" s="4">
        <f t="shared" si="9"/>
        <v>2.4004992148152984</v>
      </c>
      <c r="V66" s="387">
        <f t="shared" si="10"/>
        <v>4.0336775362302048E-2</v>
      </c>
      <c r="W66" s="387">
        <f t="shared" si="47"/>
        <v>4.0336775362302048E-2</v>
      </c>
      <c r="X66" s="387">
        <f t="shared" si="11"/>
        <v>0.38830628515550009</v>
      </c>
      <c r="Y66" s="387">
        <f t="shared" si="12"/>
        <v>3.0156354218252915E-4</v>
      </c>
      <c r="Z66" s="605">
        <f t="shared" si="48"/>
        <v>3.0156354218252915E-4</v>
      </c>
      <c r="AA66" s="387">
        <f t="shared" si="13"/>
        <v>7.2116138660672062</v>
      </c>
      <c r="AB66" s="387">
        <f t="shared" si="14"/>
        <v>0.29644203495354093</v>
      </c>
      <c r="AC66" s="387">
        <f t="shared" si="15"/>
        <v>0</v>
      </c>
      <c r="AD66">
        <f t="shared" si="16"/>
        <v>0</v>
      </c>
      <c r="AE66" s="387">
        <f t="shared" si="17"/>
        <v>0.31512531274887012</v>
      </c>
      <c r="AF66" s="387">
        <f t="shared" si="18"/>
        <v>0</v>
      </c>
      <c r="AG66" s="387">
        <f t="shared" si="19"/>
        <v>0</v>
      </c>
      <c r="AH66" s="387">
        <f t="shared" si="20"/>
        <v>0</v>
      </c>
      <c r="AI66" s="387">
        <f t="shared" si="21"/>
        <v>0</v>
      </c>
      <c r="AJ66" s="387">
        <f t="shared" si="22"/>
        <v>2.6739835804514742</v>
      </c>
      <c r="AK66" s="387">
        <f t="shared" si="23"/>
        <v>1.3585357558195763E-2</v>
      </c>
      <c r="AL66" s="387">
        <f t="shared" si="24"/>
        <v>6.2878748711682003E-2</v>
      </c>
      <c r="AM66">
        <f t="shared" si="25"/>
        <v>0</v>
      </c>
      <c r="AN66" s="387">
        <f t="shared" si="26"/>
        <v>7.6672430747189074E-2</v>
      </c>
      <c r="AO66" s="387">
        <f t="shared" si="27"/>
        <v>6.6975507735834832</v>
      </c>
      <c r="AP66" s="387">
        <f t="shared" si="28"/>
        <v>8.5228654092984552E-2</v>
      </c>
      <c r="AQ66" s="387">
        <f t="shared" si="29"/>
        <v>0.129044647143543</v>
      </c>
      <c r="AR66" s="387">
        <f t="shared" si="30"/>
        <v>0.21798908449217352</v>
      </c>
      <c r="AS66" s="387">
        <f t="shared" si="31"/>
        <v>0.29644203495354093</v>
      </c>
      <c r="AT66" s="387">
        <f t="shared" si="32"/>
        <v>0</v>
      </c>
      <c r="AU66" s="387">
        <f t="shared" si="33"/>
        <v>8.8703999999999991E-2</v>
      </c>
      <c r="AV66" s="387">
        <f t="shared" si="34"/>
        <v>5.7201505508192689E-2</v>
      </c>
      <c r="AW66" s="387">
        <f t="shared" si="35"/>
        <v>0</v>
      </c>
      <c r="AX66" s="387">
        <f t="shared" si="36"/>
        <v>3.6000000000000004E-2</v>
      </c>
      <c r="AY66" s="387">
        <f t="shared" si="37"/>
        <v>0.118272</v>
      </c>
      <c r="AZ66" s="387">
        <f t="shared" si="38"/>
        <v>7.3471999999999996E-2</v>
      </c>
      <c r="BA66" s="387">
        <f t="shared" si="56"/>
        <v>0.15427200000000002</v>
      </c>
      <c r="BB66" s="387">
        <f t="shared" si="57"/>
        <v>1.2957012632773337</v>
      </c>
      <c r="BC66">
        <f t="shared" si="39"/>
        <v>72</v>
      </c>
      <c r="BD66" s="606">
        <f t="shared" si="50"/>
        <v>0.98232227482723455</v>
      </c>
      <c r="BE66" s="616">
        <f t="shared" si="40"/>
        <v>8.268821537359452</v>
      </c>
      <c r="BF66" s="616">
        <f t="shared" si="41"/>
        <v>10.899454224608677</v>
      </c>
      <c r="BG66" s="9"/>
      <c r="BH66" s="4">
        <f t="shared" si="51"/>
        <v>98.232227482723459</v>
      </c>
      <c r="BI66" s="387">
        <f t="shared" si="52"/>
        <v>0.34509859087642392</v>
      </c>
      <c r="BJ66" s="387">
        <f t="shared" si="53"/>
        <v>0.69849082798823281</v>
      </c>
      <c r="BK66" s="387">
        <f t="shared" si="54"/>
        <v>2.9272319999999998E-2</v>
      </c>
      <c r="BL66" s="387">
        <f t="shared" si="55"/>
        <v>5.7201505508192689E-2</v>
      </c>
      <c r="BR66" s="18"/>
      <c r="BS66" s="19"/>
    </row>
    <row r="67" spans="1:71" x14ac:dyDescent="0.2">
      <c r="A67" s="14" t="s">
        <v>59</v>
      </c>
      <c r="B67" s="15" t="s">
        <v>8</v>
      </c>
      <c r="C67" s="15" t="s">
        <v>80</v>
      </c>
      <c r="G67">
        <v>58</v>
      </c>
      <c r="H67" s="612">
        <f t="shared" si="0"/>
        <v>10.51</v>
      </c>
      <c r="I67" s="4" t="str">
        <f t="shared" si="1"/>
        <v>BOOST</v>
      </c>
      <c r="J67">
        <f t="shared" si="43"/>
        <v>2</v>
      </c>
      <c r="K67">
        <f t="shared" si="2"/>
        <v>6</v>
      </c>
      <c r="L67" s="4">
        <f t="shared" si="3"/>
        <v>7.1360608943862998</v>
      </c>
      <c r="M67" s="4">
        <f t="shared" si="4"/>
        <v>6.8924365502674174</v>
      </c>
      <c r="N67" s="387">
        <f t="shared" si="5"/>
        <v>1</v>
      </c>
      <c r="O67" s="387">
        <f t="shared" si="58"/>
        <v>0.12948056086679419</v>
      </c>
      <c r="P67" s="4">
        <f t="shared" si="6"/>
        <v>1.2786373424724067</v>
      </c>
      <c r="Q67" s="387">
        <f t="shared" si="7"/>
        <v>7.1456005959042006</v>
      </c>
      <c r="R67" s="387">
        <f t="shared" si="8"/>
        <v>0.31405469177571627</v>
      </c>
      <c r="S67" s="387">
        <f t="shared" si="45"/>
        <v>2.2301911252188271E-2</v>
      </c>
      <c r="T67" s="387">
        <f t="shared" si="46"/>
        <v>0.33635660302790454</v>
      </c>
      <c r="U67" s="4">
        <f t="shared" si="9"/>
        <v>2.3183796012577211</v>
      </c>
      <c r="V67" s="387">
        <f t="shared" si="10"/>
        <v>3.7624187828695366E-2</v>
      </c>
      <c r="W67" s="387">
        <f t="shared" si="47"/>
        <v>3.7624187828695366E-2</v>
      </c>
      <c r="X67" s="387">
        <f t="shared" si="11"/>
        <v>0.36911080693617587</v>
      </c>
      <c r="Y67" s="387">
        <f t="shared" si="12"/>
        <v>2.7248557559414981E-4</v>
      </c>
      <c r="Z67" s="605">
        <f t="shared" si="48"/>
        <v>2.7248557559414981E-4</v>
      </c>
      <c r="AA67" s="387">
        <f t="shared" si="13"/>
        <v>7.1456005959042006</v>
      </c>
      <c r="AB67" s="387">
        <f t="shared" si="14"/>
        <v>0.29103976489426286</v>
      </c>
      <c r="AC67" s="387">
        <f t="shared" si="15"/>
        <v>0</v>
      </c>
      <c r="AD67">
        <f t="shared" si="16"/>
        <v>0</v>
      </c>
      <c r="AE67" s="387">
        <f t="shared" si="17"/>
        <v>0.30902763069067174</v>
      </c>
      <c r="AF67" s="387">
        <f t="shared" si="18"/>
        <v>0</v>
      </c>
      <c r="AG67" s="387">
        <f t="shared" si="19"/>
        <v>0</v>
      </c>
      <c r="AH67" s="387">
        <f t="shared" si="20"/>
        <v>0</v>
      </c>
      <c r="AI67" s="387">
        <f t="shared" si="21"/>
        <v>0</v>
      </c>
      <c r="AJ67" s="387">
        <f t="shared" si="22"/>
        <v>2.571230574150674</v>
      </c>
      <c r="AK67" s="387">
        <f t="shared" si="23"/>
        <v>1.2561330664349691E-2</v>
      </c>
      <c r="AL67" s="387">
        <f t="shared" si="24"/>
        <v>6.2310387043974118E-2</v>
      </c>
      <c r="AM67">
        <f t="shared" si="25"/>
        <v>0</v>
      </c>
      <c r="AN67" s="387">
        <f t="shared" si="26"/>
        <v>7.5060289130630106E-2</v>
      </c>
      <c r="AO67" s="387">
        <f t="shared" si="27"/>
        <v>6.6669619176007942</v>
      </c>
      <c r="AP67" s="387">
        <f t="shared" si="28"/>
        <v>8.4451924300404588E-2</v>
      </c>
      <c r="AQ67" s="387">
        <f t="shared" si="29"/>
        <v>0.12787821122740251</v>
      </c>
      <c r="AR67" s="387">
        <f t="shared" si="30"/>
        <v>0.21597808856501485</v>
      </c>
      <c r="AS67" s="387">
        <f t="shared" si="31"/>
        <v>0.29103976489426286</v>
      </c>
      <c r="AT67" s="387">
        <f t="shared" si="32"/>
        <v>0</v>
      </c>
      <c r="AU67" s="387">
        <f t="shared" si="33"/>
        <v>8.8703999999999991E-2</v>
      </c>
      <c r="AV67" s="387">
        <f t="shared" si="34"/>
        <v>5.2889813323577645E-2</v>
      </c>
      <c r="AW67" s="387">
        <f t="shared" si="35"/>
        <v>0</v>
      </c>
      <c r="AX67" s="387">
        <f t="shared" si="36"/>
        <v>3.6000000000000004E-2</v>
      </c>
      <c r="AY67" s="387">
        <f t="shared" si="37"/>
        <v>0.118272</v>
      </c>
      <c r="AZ67" s="387">
        <f t="shared" si="38"/>
        <v>7.3471999999999996E-2</v>
      </c>
      <c r="BA67" s="387">
        <f t="shared" si="56"/>
        <v>0.15427200000000002</v>
      </c>
      <c r="BB67" s="387">
        <f t="shared" si="57"/>
        <v>1.2701850981420884</v>
      </c>
      <c r="BC67">
        <f t="shared" si="39"/>
        <v>72</v>
      </c>
      <c r="BD67" s="606">
        <f t="shared" si="50"/>
        <v>0.98266436618877462</v>
      </c>
      <c r="BE67" s="616">
        <f t="shared" si="40"/>
        <v>8.1882144565315045</v>
      </c>
      <c r="BF67" s="616">
        <f t="shared" si="41"/>
        <v>10.798904428250742</v>
      </c>
      <c r="BG67" s="9"/>
      <c r="BH67" s="4">
        <f t="shared" si="51"/>
        <v>98.266436618877464</v>
      </c>
      <c r="BI67" s="387">
        <f t="shared" si="52"/>
        <v>0.33635660302790454</v>
      </c>
      <c r="BJ67" s="387">
        <f t="shared" si="53"/>
        <v>0.68877000838631675</v>
      </c>
      <c r="BK67" s="387">
        <f t="shared" si="54"/>
        <v>2.9272319999999998E-2</v>
      </c>
      <c r="BL67" s="387">
        <f t="shared" si="55"/>
        <v>5.2889813323577645E-2</v>
      </c>
      <c r="BR67" s="18"/>
      <c r="BS67" s="19"/>
    </row>
    <row r="68" spans="1:71" x14ac:dyDescent="0.2">
      <c r="A68" s="32" t="s">
        <v>244</v>
      </c>
      <c r="B68" s="492" t="e">
        <f>#REF!</f>
        <v>#REF!</v>
      </c>
      <c r="C68" s="21" t="s">
        <v>19</v>
      </c>
      <c r="G68">
        <v>59</v>
      </c>
      <c r="H68" s="612">
        <f t="shared" si="0"/>
        <v>10.605</v>
      </c>
      <c r="I68" s="4" t="str">
        <f t="shared" si="1"/>
        <v>BOOST</v>
      </c>
      <c r="J68">
        <f t="shared" si="43"/>
        <v>2</v>
      </c>
      <c r="K68">
        <f t="shared" si="2"/>
        <v>6</v>
      </c>
      <c r="L68" s="4">
        <f t="shared" si="3"/>
        <v>7.0721357850070721</v>
      </c>
      <c r="M68" s="4">
        <f t="shared" si="4"/>
        <v>6.8296569197389951</v>
      </c>
      <c r="N68" s="387">
        <f t="shared" si="5"/>
        <v>1</v>
      </c>
      <c r="O68" s="387">
        <f t="shared" si="58"/>
        <v>0.121478564661298</v>
      </c>
      <c r="P68" s="4">
        <f t="shared" si="6"/>
        <v>1.2106955576134606</v>
      </c>
      <c r="Q68" s="387">
        <f t="shared" si="7"/>
        <v>7.0807664278673252</v>
      </c>
      <c r="R68" s="387">
        <f t="shared" si="8"/>
        <v>0.30824162568517105</v>
      </c>
      <c r="S68" s="387">
        <f t="shared" si="45"/>
        <v>1.966566483536145E-2</v>
      </c>
      <c r="T68" s="387">
        <f t="shared" si="46"/>
        <v>0.32790729052053252</v>
      </c>
      <c r="U68" s="4">
        <f t="shared" si="9"/>
        <v>2.2349120258113215</v>
      </c>
      <c r="V68" s="387">
        <f t="shared" si="10"/>
        <v>3.4963822341812459E-2</v>
      </c>
      <c r="W68" s="387">
        <f t="shared" si="47"/>
        <v>3.4963822341812459E-2</v>
      </c>
      <c r="X68" s="387">
        <f t="shared" si="11"/>
        <v>0.34949770304740779</v>
      </c>
      <c r="Y68" s="387">
        <f t="shared" si="12"/>
        <v>2.4429728887082806E-4</v>
      </c>
      <c r="Z68" s="605">
        <f t="shared" si="48"/>
        <v>2.4429728887082806E-4</v>
      </c>
      <c r="AA68" s="387">
        <f t="shared" si="13"/>
        <v>7.0807664278673252</v>
      </c>
      <c r="AB68" s="387">
        <f t="shared" si="14"/>
        <v>0.2857823432742741</v>
      </c>
      <c r="AC68" s="387">
        <f t="shared" si="15"/>
        <v>0</v>
      </c>
      <c r="AD68">
        <f t="shared" si="16"/>
        <v>0</v>
      </c>
      <c r="AE68" s="387">
        <f t="shared" si="17"/>
        <v>0.30310686107858359</v>
      </c>
      <c r="AF68" s="387">
        <f t="shared" si="18"/>
        <v>0</v>
      </c>
      <c r="AG68" s="387">
        <f t="shared" si="19"/>
        <v>0</v>
      </c>
      <c r="AH68" s="387">
        <f t="shared" si="20"/>
        <v>0</v>
      </c>
      <c r="AI68" s="387">
        <f t="shared" si="21"/>
        <v>0</v>
      </c>
      <c r="AJ68" s="387">
        <f t="shared" si="22"/>
        <v>2.4679144141413256</v>
      </c>
      <c r="AK68" s="387">
        <f t="shared" si="23"/>
        <v>1.1572142955500391E-2</v>
      </c>
      <c r="AL68" s="387">
        <f t="shared" si="24"/>
        <v>6.1752208187851772E-2</v>
      </c>
      <c r="AM68">
        <f t="shared" si="25"/>
        <v>0</v>
      </c>
      <c r="AN68" s="387">
        <f t="shared" si="26"/>
        <v>7.3494448796934925E-2</v>
      </c>
      <c r="AO68" s="387">
        <f t="shared" si="27"/>
        <v>6.6367651495654476</v>
      </c>
      <c r="AP68" s="387">
        <f t="shared" si="28"/>
        <v>8.3688638135924309E-2</v>
      </c>
      <c r="AQ68" s="387">
        <f t="shared" si="29"/>
        <v>0.12673267326732673</v>
      </c>
      <c r="AR68" s="387">
        <f t="shared" si="30"/>
        <v>0.2140032393345683</v>
      </c>
      <c r="AS68" s="387">
        <f t="shared" si="31"/>
        <v>0.2857823432742741</v>
      </c>
      <c r="AT68" s="387">
        <f t="shared" si="32"/>
        <v>0</v>
      </c>
      <c r="AU68" s="387">
        <f t="shared" si="33"/>
        <v>8.8703999999999991E-2</v>
      </c>
      <c r="AV68" s="387">
        <f t="shared" si="34"/>
        <v>4.872481244421218E-2</v>
      </c>
      <c r="AW68" s="387">
        <f t="shared" si="35"/>
        <v>0</v>
      </c>
      <c r="AX68" s="387">
        <f t="shared" si="36"/>
        <v>3.6000000000000004E-2</v>
      </c>
      <c r="AY68" s="387">
        <f t="shared" si="37"/>
        <v>0.118272</v>
      </c>
      <c r="AZ68" s="387">
        <f t="shared" si="38"/>
        <v>7.3471999999999996E-2</v>
      </c>
      <c r="BA68" s="387">
        <f t="shared" si="56"/>
        <v>0.15427200000000002</v>
      </c>
      <c r="BB68" s="387">
        <f t="shared" si="57"/>
        <v>1.2454207718055146</v>
      </c>
      <c r="BC68">
        <f t="shared" si="39"/>
        <v>72</v>
      </c>
      <c r="BD68" s="606">
        <f t="shared" si="50"/>
        <v>0.9829966056760655</v>
      </c>
      <c r="BE68" s="616">
        <f t="shared" si="40"/>
        <v>8.1099224398467449</v>
      </c>
      <c r="BF68" s="616">
        <f t="shared" si="41"/>
        <v>10.700161966728414</v>
      </c>
      <c r="BG68" s="9"/>
      <c r="BH68" s="4">
        <f t="shared" si="51"/>
        <v>98.299660567606551</v>
      </c>
      <c r="BI68" s="387">
        <f t="shared" si="52"/>
        <v>0.32790729052053252</v>
      </c>
      <c r="BJ68" s="387">
        <f t="shared" si="53"/>
        <v>0.67930854921008688</v>
      </c>
      <c r="BK68" s="387">
        <f t="shared" si="54"/>
        <v>2.9272319999999998E-2</v>
      </c>
      <c r="BL68" s="387">
        <f t="shared" si="55"/>
        <v>4.872481244421218E-2</v>
      </c>
      <c r="BR68" s="18"/>
      <c r="BS68" s="19"/>
    </row>
    <row r="69" spans="1:71" x14ac:dyDescent="0.2">
      <c r="A69" s="23" t="s">
        <v>82</v>
      </c>
      <c r="B69" s="492" t="e">
        <f>1-B68</f>
        <v>#REF!</v>
      </c>
      <c r="C69" s="21" t="s">
        <v>19</v>
      </c>
      <c r="G69">
        <v>60</v>
      </c>
      <c r="H69" s="612">
        <f t="shared" si="0"/>
        <v>10.7</v>
      </c>
      <c r="I69" s="4" t="str">
        <f t="shared" si="1"/>
        <v>BOOST</v>
      </c>
      <c r="J69">
        <f t="shared" si="43"/>
        <v>2</v>
      </c>
      <c r="K69">
        <f t="shared" si="2"/>
        <v>6</v>
      </c>
      <c r="L69" s="4">
        <f t="shared" si="3"/>
        <v>7.0093457943925248</v>
      </c>
      <c r="M69" s="4">
        <f t="shared" si="4"/>
        <v>6.7680222423266176</v>
      </c>
      <c r="N69" s="387">
        <f t="shared" si="5"/>
        <v>1</v>
      </c>
      <c r="O69" s="387">
        <f t="shared" si="58"/>
        <v>0.11347809076682316</v>
      </c>
      <c r="P69" s="4">
        <f t="shared" si="6"/>
        <v>1.1413075580076755</v>
      </c>
      <c r="Q69" s="387">
        <f t="shared" si="7"/>
        <v>7.0170846541755001</v>
      </c>
      <c r="R69" s="387">
        <f t="shared" si="8"/>
        <v>0.30258852665288549</v>
      </c>
      <c r="S69" s="387">
        <f t="shared" si="45"/>
        <v>1.7165320482711896E-2</v>
      </c>
      <c r="T69" s="387">
        <f t="shared" si="46"/>
        <v>0.3197538471355974</v>
      </c>
      <c r="U69" s="4">
        <f t="shared" si="9"/>
        <v>2.1498902470597958</v>
      </c>
      <c r="V69" s="387">
        <f t="shared" si="10"/>
        <v>3.2354196520819813E-2</v>
      </c>
      <c r="W69" s="387">
        <f t="shared" si="47"/>
        <v>3.2354196520819813E-2</v>
      </c>
      <c r="X69" s="387">
        <f t="shared" si="11"/>
        <v>0.32946711292194297</v>
      </c>
      <c r="Y69" s="387">
        <f t="shared" si="12"/>
        <v>2.1709715699424066E-4</v>
      </c>
      <c r="Z69" s="605">
        <f t="shared" si="48"/>
        <v>2.1709715699424066E-4</v>
      </c>
      <c r="AA69" s="387">
        <f t="shared" si="13"/>
        <v>7.0170846541755001</v>
      </c>
      <c r="AB69" s="387">
        <f t="shared" si="14"/>
        <v>0.28066501915003222</v>
      </c>
      <c r="AC69" s="387">
        <f t="shared" si="15"/>
        <v>0</v>
      </c>
      <c r="AD69">
        <f t="shared" si="16"/>
        <v>0</v>
      </c>
      <c r="AE69" s="387">
        <f t="shared" si="17"/>
        <v>0.29735653464832401</v>
      </c>
      <c r="AF69" s="387">
        <f t="shared" si="18"/>
        <v>0</v>
      </c>
      <c r="AG69" s="387">
        <f t="shared" si="19"/>
        <v>0</v>
      </c>
      <c r="AH69" s="387">
        <f t="shared" si="20"/>
        <v>0</v>
      </c>
      <c r="AI69" s="387">
        <f t="shared" si="21"/>
        <v>0</v>
      </c>
      <c r="AJ69" s="387">
        <f t="shared" si="22"/>
        <v>2.3638108734191596</v>
      </c>
      <c r="AK69" s="387">
        <f t="shared" si="23"/>
        <v>1.0616443506059836E-2</v>
      </c>
      <c r="AL69" s="387">
        <f t="shared" si="24"/>
        <v>6.1203940918894216E-2</v>
      </c>
      <c r="AM69">
        <f t="shared" si="25"/>
        <v>0</v>
      </c>
      <c r="AN69" s="387">
        <f t="shared" si="26"/>
        <v>7.1973204316469239E-2</v>
      </c>
      <c r="AO69" s="387">
        <f t="shared" si="27"/>
        <v>6.6069565761075379</v>
      </c>
      <c r="AP69" s="387">
        <f t="shared" si="28"/>
        <v>8.2938562877284225E-2</v>
      </c>
      <c r="AQ69" s="387">
        <f t="shared" si="29"/>
        <v>0.12560747663551405</v>
      </c>
      <c r="AR69" s="387">
        <f t="shared" si="30"/>
        <v>0.21206369106792347</v>
      </c>
      <c r="AS69" s="387">
        <f t="shared" si="31"/>
        <v>0.28066501915003222</v>
      </c>
      <c r="AT69" s="387">
        <f t="shared" si="32"/>
        <v>0</v>
      </c>
      <c r="AU69" s="387">
        <f t="shared" si="33"/>
        <v>8.8703999999999991E-2</v>
      </c>
      <c r="AV69" s="387">
        <f t="shared" si="34"/>
        <v>4.4700814762357204E-2</v>
      </c>
      <c r="AW69" s="387">
        <f t="shared" si="35"/>
        <v>0</v>
      </c>
      <c r="AX69" s="387">
        <f t="shared" si="36"/>
        <v>3.6000000000000004E-2</v>
      </c>
      <c r="AY69" s="387">
        <f t="shared" si="37"/>
        <v>0.118272</v>
      </c>
      <c r="AZ69" s="387">
        <f t="shared" si="38"/>
        <v>7.3471999999999996E-2</v>
      </c>
      <c r="BA69" s="387">
        <f t="shared" si="56"/>
        <v>0.15427200000000002</v>
      </c>
      <c r="BB69" s="387">
        <f t="shared" si="57"/>
        <v>1.2213953856084852</v>
      </c>
      <c r="BC69">
        <f t="shared" si="39"/>
        <v>72</v>
      </c>
      <c r="BD69" s="606">
        <f t="shared" si="50"/>
        <v>0.98331914627990613</v>
      </c>
      <c r="BE69" s="616">
        <f t="shared" si="40"/>
        <v>8.0338602158234611</v>
      </c>
      <c r="BF69" s="616">
        <f t="shared" si="41"/>
        <v>10.603184553396174</v>
      </c>
      <c r="BG69" s="9"/>
      <c r="BH69" s="4">
        <f t="shared" si="51"/>
        <v>98.331914627990614</v>
      </c>
      <c r="BI69" s="387">
        <f t="shared" si="52"/>
        <v>0.3197538471355974</v>
      </c>
      <c r="BJ69" s="387">
        <f t="shared" si="53"/>
        <v>0.67009743003271671</v>
      </c>
      <c r="BK69" s="387">
        <f t="shared" si="54"/>
        <v>2.9272319999999998E-2</v>
      </c>
      <c r="BL69" s="387">
        <f t="shared" si="55"/>
        <v>4.4700814762357204E-2</v>
      </c>
      <c r="BR69" s="18"/>
      <c r="BS69" s="19"/>
    </row>
    <row r="70" spans="1:71" x14ac:dyDescent="0.2">
      <c r="A70" s="33" t="s">
        <v>245</v>
      </c>
      <c r="B70" s="492">
        <f>Iripple_Vinnom</f>
        <v>4.2180672343999932</v>
      </c>
      <c r="C70" s="21" t="s">
        <v>2</v>
      </c>
      <c r="G70">
        <v>61</v>
      </c>
      <c r="H70" s="612">
        <f t="shared" si="0"/>
        <v>10.795</v>
      </c>
      <c r="I70" s="4" t="str">
        <f t="shared" si="1"/>
        <v>BOOST</v>
      </c>
      <c r="J70">
        <f t="shared" si="43"/>
        <v>2</v>
      </c>
      <c r="K70">
        <f t="shared" si="2"/>
        <v>6</v>
      </c>
      <c r="L70" s="4">
        <f t="shared" si="3"/>
        <v>6.9476609541454382</v>
      </c>
      <c r="M70" s="4">
        <f t="shared" si="4"/>
        <v>6.7075011796693289</v>
      </c>
      <c r="N70" s="387">
        <f t="shared" si="5"/>
        <v>1</v>
      </c>
      <c r="O70" s="387">
        <f t="shared" si="58"/>
        <v>0.1054790988056461</v>
      </c>
      <c r="P70" s="4">
        <f t="shared" si="6"/>
        <v>1.0704738095066182</v>
      </c>
      <c r="Q70" s="387">
        <f t="shared" si="7"/>
        <v>6.9545298605892167</v>
      </c>
      <c r="R70" s="387">
        <f t="shared" si="8"/>
        <v>0.29708998618373422</v>
      </c>
      <c r="S70" s="387">
        <f t="shared" si="45"/>
        <v>1.4809463353767762E-2</v>
      </c>
      <c r="T70" s="387">
        <f t="shared" si="46"/>
        <v>0.31189944953750198</v>
      </c>
      <c r="U70" s="4">
        <f t="shared" si="9"/>
        <v>2.0630722951767559</v>
      </c>
      <c r="V70" s="387">
        <f t="shared" si="10"/>
        <v>2.9793871065881213E-2</v>
      </c>
      <c r="W70" s="387">
        <f t="shared" si="47"/>
        <v>2.9793871065881213E-2</v>
      </c>
      <c r="X70" s="387">
        <f t="shared" si="11"/>
        <v>0.30901917103954513</v>
      </c>
      <c r="Y70" s="387">
        <f t="shared" si="12"/>
        <v>1.9098569613993529E-4</v>
      </c>
      <c r="Z70" s="605">
        <f t="shared" si="48"/>
        <v>1.9098569613993529E-4</v>
      </c>
      <c r="AA70" s="387">
        <f t="shared" si="13"/>
        <v>6.9545298605892167</v>
      </c>
      <c r="AB70" s="387">
        <f t="shared" si="14"/>
        <v>0.27568326781641433</v>
      </c>
      <c r="AC70" s="387">
        <f t="shared" si="15"/>
        <v>0</v>
      </c>
      <c r="AD70">
        <f t="shared" si="16"/>
        <v>0</v>
      </c>
      <c r="AE70" s="387">
        <f t="shared" si="17"/>
        <v>0.2917705177749515</v>
      </c>
      <c r="AF70" s="387">
        <f t="shared" si="18"/>
        <v>0</v>
      </c>
      <c r="AG70" s="387">
        <f t="shared" si="19"/>
        <v>0</v>
      </c>
      <c r="AH70" s="387">
        <f t="shared" si="20"/>
        <v>0</v>
      </c>
      <c r="AI70" s="387">
        <f t="shared" si="21"/>
        <v>0</v>
      </c>
      <c r="AJ70" s="387">
        <f t="shared" si="22"/>
        <v>2.2586606279980597</v>
      </c>
      <c r="AK70" s="387">
        <f t="shared" si="23"/>
        <v>9.6929408816903203E-3</v>
      </c>
      <c r="AL70" s="387">
        <f t="shared" si="24"/>
        <v>6.066532356018231E-2</v>
      </c>
      <c r="AM70">
        <f t="shared" si="25"/>
        <v>0</v>
      </c>
      <c r="AN70" s="387">
        <f t="shared" si="26"/>
        <v>7.0494925070105366E-2</v>
      </c>
      <c r="AO70" s="387">
        <f t="shared" si="27"/>
        <v>6.5775328010857139</v>
      </c>
      <c r="AP70" s="387">
        <f t="shared" si="28"/>
        <v>8.2201481723781097E-2</v>
      </c>
      <c r="AQ70" s="387">
        <f t="shared" si="29"/>
        <v>0.12450208429828627</v>
      </c>
      <c r="AR70" s="387">
        <f t="shared" si="30"/>
        <v>0.21015863628195247</v>
      </c>
      <c r="AS70" s="387">
        <f t="shared" si="31"/>
        <v>0.27568326781641433</v>
      </c>
      <c r="AT70" s="387">
        <f t="shared" si="32"/>
        <v>0</v>
      </c>
      <c r="AU70" s="387">
        <f t="shared" si="33"/>
        <v>8.8703999999999991E-2</v>
      </c>
      <c r="AV70" s="387">
        <f t="shared" si="34"/>
        <v>4.0812382659748715E-2</v>
      </c>
      <c r="AW70" s="387">
        <f t="shared" si="35"/>
        <v>0</v>
      </c>
      <c r="AX70" s="387">
        <f t="shared" si="36"/>
        <v>3.6000000000000004E-2</v>
      </c>
      <c r="AY70" s="387">
        <f t="shared" si="37"/>
        <v>0.118272</v>
      </c>
      <c r="AZ70" s="387">
        <f t="shared" si="38"/>
        <v>7.3471999999999996E-2</v>
      </c>
      <c r="BA70" s="387">
        <f t="shared" si="56"/>
        <v>0.15427200000000002</v>
      </c>
      <c r="BB70" s="387">
        <f t="shared" si="57"/>
        <v>1.1980967680862808</v>
      </c>
      <c r="BC70">
        <f t="shared" si="39"/>
        <v>72</v>
      </c>
      <c r="BD70" s="606">
        <f t="shared" si="50"/>
        <v>0.98363213224133106</v>
      </c>
      <c r="BE70" s="616">
        <f t="shared" si="40"/>
        <v>7.9599462535052679</v>
      </c>
      <c r="BF70" s="616">
        <f t="shared" si="41"/>
        <v>10.507931814097624</v>
      </c>
      <c r="BG70" s="9"/>
      <c r="BH70" s="4">
        <f t="shared" si="51"/>
        <v>98.363213224133105</v>
      </c>
      <c r="BI70" s="387">
        <f t="shared" si="52"/>
        <v>0.31189944953750198</v>
      </c>
      <c r="BJ70" s="387">
        <f t="shared" si="53"/>
        <v>0.66112807912700933</v>
      </c>
      <c r="BK70" s="387">
        <f t="shared" si="54"/>
        <v>2.9272319999999998E-2</v>
      </c>
      <c r="BL70" s="387">
        <f t="shared" si="55"/>
        <v>4.0812382659748715E-2</v>
      </c>
      <c r="BR70" s="18"/>
      <c r="BS70" s="19"/>
    </row>
    <row r="71" spans="1:71" x14ac:dyDescent="0.2">
      <c r="A71" s="14" t="s">
        <v>63</v>
      </c>
      <c r="B71" s="15" t="s">
        <v>8</v>
      </c>
      <c r="C71" s="17" t="s">
        <v>80</v>
      </c>
      <c r="G71">
        <v>62</v>
      </c>
      <c r="H71" s="612">
        <f t="shared" si="0"/>
        <v>10.89</v>
      </c>
      <c r="I71" s="4" t="str">
        <f t="shared" si="1"/>
        <v>BOOST</v>
      </c>
      <c r="J71">
        <f t="shared" si="43"/>
        <v>2</v>
      </c>
      <c r="K71">
        <f t="shared" si="2"/>
        <v>6</v>
      </c>
      <c r="L71" s="4">
        <f t="shared" si="3"/>
        <v>6.887052341597796</v>
      </c>
      <c r="M71" s="4">
        <f t="shared" si="4"/>
        <v>6.6480635368433969</v>
      </c>
      <c r="N71" s="387">
        <f t="shared" si="5"/>
        <v>1</v>
      </c>
      <c r="O71" s="387">
        <f t="shared" si="58"/>
        <v>9.7481549815498156E-2</v>
      </c>
      <c r="P71" s="4">
        <f t="shared" si="6"/>
        <v>0.99819476155932396</v>
      </c>
      <c r="Q71" s="387">
        <f t="shared" si="7"/>
        <v>6.8930778820307399</v>
      </c>
      <c r="R71" s="387">
        <f t="shared" si="8"/>
        <v>0.2917408614612525</v>
      </c>
      <c r="S71" s="387">
        <f t="shared" si="45"/>
        <v>1.2606314302519949E-2</v>
      </c>
      <c r="T71" s="387">
        <f t="shared" si="46"/>
        <v>0.30434717576377246</v>
      </c>
      <c r="U71" s="4">
        <f t="shared" si="9"/>
        <v>1.9741706196201392</v>
      </c>
      <c r="V71" s="387">
        <f t="shared" si="10"/>
        <v>2.7281447447599548E-2</v>
      </c>
      <c r="W71" s="387">
        <f t="shared" si="47"/>
        <v>2.7281447447599548E-2</v>
      </c>
      <c r="X71" s="387">
        <f t="shared" si="11"/>
        <v>0.28815400714497502</v>
      </c>
      <c r="Y71" s="387">
        <f t="shared" si="12"/>
        <v>1.6606546366741261E-4</v>
      </c>
      <c r="Z71" s="605">
        <f t="shared" si="48"/>
        <v>1.6606546366741261E-4</v>
      </c>
      <c r="AA71" s="387">
        <f t="shared" si="13"/>
        <v>6.8930778820307399</v>
      </c>
      <c r="AB71" s="387">
        <f t="shared" si="14"/>
        <v>0.27083277932012595</v>
      </c>
      <c r="AC71" s="387">
        <f t="shared" si="15"/>
        <v>0</v>
      </c>
      <c r="AD71">
        <f t="shared" si="16"/>
        <v>0</v>
      </c>
      <c r="AE71" s="387">
        <f t="shared" si="17"/>
        <v>0.28634299304940891</v>
      </c>
      <c r="AF71" s="387">
        <f t="shared" si="18"/>
        <v>0</v>
      </c>
      <c r="AG71" s="387">
        <f t="shared" si="19"/>
        <v>0</v>
      </c>
      <c r="AH71" s="387">
        <f t="shared" si="20"/>
        <v>0</v>
      </c>
      <c r="AI71" s="387">
        <f t="shared" si="21"/>
        <v>0</v>
      </c>
      <c r="AJ71" s="387">
        <f t="shared" si="22"/>
        <v>2.1521592204910585</v>
      </c>
      <c r="AK71" s="387">
        <f t="shared" si="23"/>
        <v>8.8003996896548926E-3</v>
      </c>
      <c r="AL71" s="387">
        <f t="shared" si="24"/>
        <v>6.0136103565855643E-2</v>
      </c>
      <c r="AM71">
        <f t="shared" si="25"/>
        <v>0</v>
      </c>
      <c r="AN71" s="387">
        <f t="shared" si="26"/>
        <v>6.9058050945532384E-2</v>
      </c>
      <c r="AO71" s="387">
        <f t="shared" si="27"/>
        <v>6.548490923670637</v>
      </c>
      <c r="AP71" s="387">
        <f t="shared" si="28"/>
        <v>8.1477193417053756E-2</v>
      </c>
      <c r="AQ71" s="387">
        <f t="shared" si="29"/>
        <v>0.12341597796143251</v>
      </c>
      <c r="AR71" s="387">
        <f t="shared" si="30"/>
        <v>0.20828730437546966</v>
      </c>
      <c r="AS71" s="387">
        <f t="shared" si="31"/>
        <v>0.27083277932012595</v>
      </c>
      <c r="AT71" s="387">
        <f t="shared" si="32"/>
        <v>0</v>
      </c>
      <c r="AU71" s="387">
        <f t="shared" si="33"/>
        <v>8.8703999999999991E-2</v>
      </c>
      <c r="AV71" s="387">
        <f t="shared" si="34"/>
        <v>3.7054314482757443E-2</v>
      </c>
      <c r="AW71" s="387">
        <f t="shared" si="35"/>
        <v>0</v>
      </c>
      <c r="AX71" s="387">
        <f t="shared" si="36"/>
        <v>3.6000000000000004E-2</v>
      </c>
      <c r="AY71" s="387">
        <f t="shared" si="37"/>
        <v>0.118272</v>
      </c>
      <c r="AZ71" s="387">
        <f t="shared" si="38"/>
        <v>7.3471999999999996E-2</v>
      </c>
      <c r="BA71" s="387">
        <f t="shared" si="56"/>
        <v>0.15427200000000002</v>
      </c>
      <c r="BB71" s="387">
        <f t="shared" si="57"/>
        <v>1.1755133515282081</v>
      </c>
      <c r="BC71">
        <f t="shared" si="39"/>
        <v>72</v>
      </c>
      <c r="BD71" s="606">
        <f t="shared" si="50"/>
        <v>0.98393570065055569</v>
      </c>
      <c r="BE71" s="616">
        <f t="shared" si="40"/>
        <v>7.8881025472766177</v>
      </c>
      <c r="BF71" s="616">
        <f t="shared" si="41"/>
        <v>10.414365218773483</v>
      </c>
      <c r="BG71" s="9"/>
      <c r="BH71" s="4">
        <f t="shared" si="51"/>
        <v>98.39357006505557</v>
      </c>
      <c r="BI71" s="387">
        <f t="shared" si="52"/>
        <v>0.30434717576377246</v>
      </c>
      <c r="BJ71" s="387">
        <f t="shared" si="53"/>
        <v>0.65239234837041093</v>
      </c>
      <c r="BK71" s="387">
        <f t="shared" si="54"/>
        <v>2.9272319999999998E-2</v>
      </c>
      <c r="BL71" s="387">
        <f t="shared" si="55"/>
        <v>3.7054314482757443E-2</v>
      </c>
      <c r="BR71" s="18"/>
      <c r="BS71" s="19"/>
    </row>
    <row r="72" spans="1:71" x14ac:dyDescent="0.2">
      <c r="A72" s="32" t="s">
        <v>92</v>
      </c>
      <c r="B72" s="493">
        <f>(Qgd_Q1+Qgs_Q1/2)*(RdsonDRT+Rgate1)/(Vdd-Vsp_Q1)*1000000000</f>
        <v>4.0147058823529402</v>
      </c>
      <c r="C72" s="21" t="s">
        <v>79</v>
      </c>
      <c r="D72" s="118" t="s">
        <v>723</v>
      </c>
      <c r="G72">
        <v>63</v>
      </c>
      <c r="H72" s="612">
        <f t="shared" si="0"/>
        <v>10.984999999999999</v>
      </c>
      <c r="I72" s="4" t="str">
        <f t="shared" si="1"/>
        <v>BOOST</v>
      </c>
      <c r="J72">
        <f t="shared" si="43"/>
        <v>2</v>
      </c>
      <c r="K72">
        <f t="shared" si="2"/>
        <v>6</v>
      </c>
      <c r="L72" s="4">
        <f t="shared" si="3"/>
        <v>6.8274920345926269</v>
      </c>
      <c r="M72" s="4">
        <f t="shared" si="4"/>
        <v>6.5896802102651364</v>
      </c>
      <c r="N72" s="387">
        <f t="shared" si="5"/>
        <v>1</v>
      </c>
      <c r="O72" s="387">
        <f t="shared" si="58"/>
        <v>8.9485406188081193E-2</v>
      </c>
      <c r="P72" s="4">
        <f t="shared" si="6"/>
        <v>0.92447084792789269</v>
      </c>
      <c r="Q72" s="387">
        <f t="shared" si="7"/>
        <v>6.8327057606398851</v>
      </c>
      <c r="R72" s="387">
        <f t="shared" si="8"/>
        <v>0.28653626122343961</v>
      </c>
      <c r="S72" s="387">
        <f t="shared" si="45"/>
        <v>1.0563652142324501E-2</v>
      </c>
      <c r="T72" s="387">
        <f t="shared" si="46"/>
        <v>0.29709991336576413</v>
      </c>
      <c r="U72" s="4">
        <f t="shared" si="9"/>
        <v>1.8828385001593411</v>
      </c>
      <c r="V72" s="387">
        <f t="shared" si="10"/>
        <v>2.481556572377594E-2</v>
      </c>
      <c r="W72" s="387">
        <f t="shared" si="47"/>
        <v>2.481556572377594E-2</v>
      </c>
      <c r="X72" s="387">
        <f t="shared" si="11"/>
        <v>0.26687174645456524</v>
      </c>
      <c r="Y72" s="387">
        <f t="shared" si="12"/>
        <v>1.4244105811141953E-4</v>
      </c>
      <c r="Z72" s="605">
        <f t="shared" si="48"/>
        <v>1.4244105811141953E-4</v>
      </c>
      <c r="AA72" s="387">
        <f t="shared" si="13"/>
        <v>6.8327057606398851</v>
      </c>
      <c r="AB72" s="387">
        <f t="shared" si="14"/>
        <v>0.26610944766544437</v>
      </c>
      <c r="AC72" s="387">
        <f t="shared" si="15"/>
        <v>0</v>
      </c>
      <c r="AD72">
        <f t="shared" si="16"/>
        <v>0</v>
      </c>
      <c r="AE72" s="387">
        <f t="shared" si="17"/>
        <v>0.28106844119390384</v>
      </c>
      <c r="AF72" s="387">
        <f t="shared" si="18"/>
        <v>0</v>
      </c>
      <c r="AG72" s="387">
        <f t="shared" si="19"/>
        <v>0</v>
      </c>
      <c r="AH72" s="387">
        <f t="shared" si="20"/>
        <v>0</v>
      </c>
      <c r="AI72" s="387">
        <f t="shared" si="21"/>
        <v>0</v>
      </c>
      <c r="AJ72" s="387">
        <f t="shared" si="22"/>
        <v>2.0439432140474367</v>
      </c>
      <c r="AK72" s="387">
        <f t="shared" si="23"/>
        <v>7.9376373382760747E-3</v>
      </c>
      <c r="AL72" s="387">
        <f t="shared" si="24"/>
        <v>5.961603712627838E-2</v>
      </c>
      <c r="AM72">
        <f t="shared" si="25"/>
        <v>0</v>
      </c>
      <c r="AN72" s="387">
        <f t="shared" si="26"/>
        <v>6.7661088300723302E-2</v>
      </c>
      <c r="AO72" s="387">
        <f t="shared" si="27"/>
        <v>6.5198285367968767</v>
      </c>
      <c r="AP72" s="387">
        <f t="shared" si="28"/>
        <v>8.0765511883538713E-2</v>
      </c>
      <c r="AQ72" s="387">
        <f t="shared" si="29"/>
        <v>0.12234865725989989</v>
      </c>
      <c r="AR72" s="387">
        <f t="shared" si="30"/>
        <v>0.20644896033529958</v>
      </c>
      <c r="AS72" s="387">
        <f t="shared" si="31"/>
        <v>0.26610944766544437</v>
      </c>
      <c r="AT72" s="387">
        <f t="shared" si="32"/>
        <v>0</v>
      </c>
      <c r="AU72" s="387">
        <f t="shared" si="33"/>
        <v>8.8703999999999991E-2</v>
      </c>
      <c r="AV72" s="387">
        <f t="shared" si="34"/>
        <v>3.3421630898004526E-2</v>
      </c>
      <c r="AW72" s="387">
        <f t="shared" si="35"/>
        <v>0</v>
      </c>
      <c r="AX72" s="387">
        <f t="shared" si="36"/>
        <v>3.6000000000000004E-2</v>
      </c>
      <c r="AY72" s="387">
        <f t="shared" si="37"/>
        <v>0.118272</v>
      </c>
      <c r="AZ72" s="387">
        <f t="shared" si="38"/>
        <v>7.3471999999999996E-2</v>
      </c>
      <c r="BA72" s="387">
        <f t="shared" si="56"/>
        <v>0.15427200000000002</v>
      </c>
      <c r="BB72" s="387">
        <f t="shared" si="57"/>
        <v>1.1536340408755827</v>
      </c>
      <c r="BC72">
        <f t="shared" si="39"/>
        <v>72</v>
      </c>
      <c r="BD72" s="606">
        <f t="shared" si="50"/>
        <v>0.98422998315803456</v>
      </c>
      <c r="BE72" s="616">
        <f t="shared" si="40"/>
        <v>7.818254415036165</v>
      </c>
      <c r="BF72" s="616">
        <f t="shared" si="41"/>
        <v>10.322448016764978</v>
      </c>
      <c r="BG72" s="9"/>
      <c r="BH72" s="4">
        <f t="shared" si="51"/>
        <v>98.422998315803454</v>
      </c>
      <c r="BI72" s="387">
        <f t="shared" si="52"/>
        <v>0.29709991336576413</v>
      </c>
      <c r="BJ72" s="387">
        <f t="shared" si="53"/>
        <v>0.6438824898299268</v>
      </c>
      <c r="BK72" s="387">
        <f t="shared" si="54"/>
        <v>2.9272319999999998E-2</v>
      </c>
      <c r="BL72" s="387">
        <f t="shared" si="55"/>
        <v>3.3421630898004526E-2</v>
      </c>
      <c r="BR72" s="18"/>
      <c r="BS72" s="19"/>
    </row>
    <row r="73" spans="1:71" x14ac:dyDescent="0.2">
      <c r="A73" s="33" t="s">
        <v>93</v>
      </c>
      <c r="B73" s="493">
        <f>(Qgd_Q1+Qgs_Q1/2)*(RdsonDRT2+Rgate1)/(Vsp_Q1)*1000000000</f>
        <v>2.7743902439024386</v>
      </c>
      <c r="C73" s="21" t="s">
        <v>79</v>
      </c>
      <c r="D73" s="118" t="s">
        <v>724</v>
      </c>
      <c r="G73">
        <v>64</v>
      </c>
      <c r="H73" s="612">
        <f t="shared" ref="H73:H136" si="59">VIN_min+(VIN_max-VIN_min)*(G73/200)</f>
        <v>11.08</v>
      </c>
      <c r="I73" s="4" t="str">
        <f t="shared" ref="I73:I136" si="60">IF(H73&gt;VIN_BB_to_buck, "BUCK", IF(H73&lt;VIN_boost_to_BB,"BOOST","BUCK-BST"))</f>
        <v>BOOST</v>
      </c>
      <c r="J73">
        <f t="shared" si="43"/>
        <v>2</v>
      </c>
      <c r="K73">
        <f t="shared" ref="K73:K136" si="61">Iout</f>
        <v>6</v>
      </c>
      <c r="L73" s="4">
        <f t="shared" ref="L73:L136" si="62">Vout*K73/(H73*Efficiency)</f>
        <v>6.768953068592058</v>
      </c>
      <c r="M73" s="4">
        <f t="shared" ref="M73:M136" si="63">Iout/(1-O73)</f>
        <v>6.5323231384367864</v>
      </c>
      <c r="N73" s="387">
        <f t="shared" ref="N73:N136" si="64">CHOOSE(J73,(Vout+(Rdson2+Rs+Rdcr)*K73)/(H73+(Rs+Rdson2-Rdson1)*K73),1,IF(H73&lt;Vout,D_max_buck_BB,Vout/H73*(1-D_min_boost_exitBB_to_buck)))</f>
        <v>1</v>
      </c>
      <c r="O73" s="387">
        <f t="shared" si="58"/>
        <v>8.1490631610758521E-2</v>
      </c>
      <c r="P73" s="4">
        <f t="shared" ref="P73:P136" si="65">MAX(0, CHOOSE(J73, (H73-(Rdson1+Rdcr)*K73-Vout)*N73/(Fsw*Lf), (H73-(Rdson4+Rdcr+Rs)*L73)*O73/(Fsw*Lf), IF(H73&lt;Vout, (H73-(Rdson4+Rdcr+Rs)*L73)*O73/(0.5*Fsw*Lf),(H73-(Rdson1+Rdcr)*K73-Vout)*N73/(0.5*Fsw*Lf))))</f>
        <v>0.84930248736592362</v>
      </c>
      <c r="Q73" s="387">
        <f t="shared" ref="Q73:Q136" si="66">CHOOSE(J73, SQRT(K73^2+(P73^2)/12), SQRT(L73^2+(P73^2)/12), SQRT(M73^2+(P73^2)/12))</f>
        <v>6.7733917061092077</v>
      </c>
      <c r="R73" s="387">
        <f t="shared" si="8"/>
        <v>0.28147153253312479</v>
      </c>
      <c r="S73" s="387">
        <f t="shared" ref="S73:S109" si="67">7.759*10^-3*Fsw^0.9458*(0.00787*P73)^2.304</f>
        <v>8.6887213877786477E-3</v>
      </c>
      <c r="T73" s="387">
        <f t="shared" si="46"/>
        <v>0.29016025392090344</v>
      </c>
      <c r="U73" s="4">
        <f t="shared" ref="U73:U136" si="68">IF(H73&gt;Vout, P73/SQRT(12), SQRT(O73/(1-O73))*SQRT(K73^2+(P73^2)/12))</f>
        <v>1.7886508273525512</v>
      </c>
      <c r="V73" s="387">
        <f t="shared" si="10"/>
        <v>2.2394902475322762E-2</v>
      </c>
      <c r="W73" s="387">
        <f t="shared" si="47"/>
        <v>2.2394902475322762E-2</v>
      </c>
      <c r="X73" s="387">
        <f t="shared" ref="X73:X136" si="69">IF(H73&gt;Vout, SQRT(N73*(1-N73))*SQRT(K73^2+(P73^2)/12), P73/SQRT(12))</f>
        <v>0.24517250985206737</v>
      </c>
      <c r="Y73" s="387">
        <f t="shared" si="12"/>
        <v>1.2021911917432416E-4</v>
      </c>
      <c r="Z73" s="605">
        <f t="shared" si="48"/>
        <v>1.2021911917432416E-4</v>
      </c>
      <c r="AA73" s="387">
        <f t="shared" ref="AA73:AA136" si="70">CHOOSE(J73, SQRT(N73)*SQRT(K73^2+(P73^2)/12), SQRT(L73^2+(P73^2)/12), SQRT(N73)*SQRT(M73^2+(P73^2)/12))</f>
        <v>6.7733917061092077</v>
      </c>
      <c r="AB73" s="387">
        <f t="shared" ref="AB73:AB136" si="71">Rdson1*AA73^2</f>
        <v>0.26150936066501734</v>
      </c>
      <c r="AC73" s="387">
        <f t="shared" ref="AC73:AC136" si="72">CHOOSE(J73, (H73*K73/2)*(Fsw)*(Tr_buck+Tf_buck), 0, (H73*M73/2)*(Fsw/2)*(Tr_buck+Tf_buck))</f>
        <v>0</v>
      </c>
      <c r="AD73">
        <f t="shared" ref="AD73:AD136" si="73">IF(H73&gt;Vout, IF(K73&gt;P73/2,0,ABS(K73-P73/2)*Vsd_Q1*Deadtime*Fsw),0)</f>
        <v>0</v>
      </c>
      <c r="AE73" s="387">
        <f t="shared" ref="AE73:AE136" si="74">(AD73+AC73+AB73*(1+RdsonTopTc*Ta-RdsonTopTc*25))/(1-AB73*RdsonTopTc*ThetaJA_Q1)</f>
        <v>0.27594162421065638</v>
      </c>
      <c r="AF73" s="387">
        <f t="shared" ref="AF73:AF136" si="75">CHOOSE(J73, SQRT((1-N73))*SQRT(K73^2+(P73^2)/12), 0, SQRT((1-N73))*SQRT(M73^2+(P73^2)/12))</f>
        <v>0</v>
      </c>
      <c r="AG73" s="387">
        <f t="shared" ref="AG73:AG136" si="76">Rdson2*AF73^2</f>
        <v>0</v>
      </c>
      <c r="AH73" s="387">
        <f t="shared" ref="AH73:AH136" si="77">CHOOSE(J73, IF(K73&lt;P73/2,Deadtime*Fsw*IF(VfdSky_Q2&gt;0,0,Vsd_Q2)*(K73+P73/2),2*Deadtime*Fsw*IF(VfdSky_Q2&gt;0,0,Vsd_Q2)*K73),0, IF(K73&lt;P73/2,Deadtime*Fsw/2*IF(VfdSky_Q2&gt;0,0,Vsd_Q2)*(K73+P73/2),2*Deadtime*Fsw/2*IF(VfdSky_Q2&gt;0,0,Vsd_Q2)*K73))</f>
        <v>0</v>
      </c>
      <c r="AI73" s="387">
        <f t="shared" ref="AI73:AI136" si="78">(AH73+AG73*(1+RdsonBotTc*Ta-RdsonBotTc*25))/(1-AG73*RdsonBotTc*ThetaJA_Q2)</f>
        <v>0</v>
      </c>
      <c r="AJ73" s="387">
        <f t="shared" ref="AJ73:AJ136" si="79">CHOOSE(J73, 0, SQRT(O73)*SQRT(L73^2+(P73^2)/12), SQRT(O73)*SQRT(M73^2+(P73^2)/12))</f>
        <v>1.933570598238286</v>
      </c>
      <c r="AK73" s="387">
        <f t="shared" ref="AK73:AK136" si="80">Rdson4*AJ73^2</f>
        <v>7.1035209909059696E-3</v>
      </c>
      <c r="AL73" s="387">
        <f t="shared" ref="AL73:AL136" si="81">CHOOSE(J73, 0, (Vout*L73/2)*(Fsw)*(Tr_boost+Tf_boost), (Vout*Iout/2)*(Fsw/2)*(Tr_boost+Tf_boost))</f>
        <v>5.9104888793516962E-2</v>
      </c>
      <c r="AM73">
        <f t="shared" ref="AM73:AM136" si="82">IF(H73&gt;Vout, 0, IF(L73&gt;P73/2,0,ABS(L73-P73/2)*Vsd_Q4*Deadtime*Fsw))</f>
        <v>0</v>
      </c>
      <c r="AN73" s="387">
        <f t="shared" ref="AN73:AN136" si="83">(AM73+AL73+AK73*(1+RdsonTopTc*Ta-RdsonTopTc*25))/(1-AK73*RdsonTopTc*ThetaJA_Q4)</f>
        <v>6.6302606175366624E-2</v>
      </c>
      <c r="AO73" s="387">
        <f t="shared" ref="AO73:AO136" si="84">CHOOSE(J73, SQRT(Iout^2+(P73^2)/12), SQRT(1-O73)*SQRT(L73^2+(P73^2)/12), SQRT(1-O73)*SQRT(M73^2+(P73^2)/12))</f>
        <v>6.4915437259574436</v>
      </c>
      <c r="AP73" s="387">
        <f t="shared" ref="AP73:AP136" si="85">Rdson3*AO73^2</f>
        <v>8.0066265897433153E-2</v>
      </c>
      <c r="AQ73" s="387">
        <f t="shared" ref="AQ73:AQ136" si="86">CHOOSE(J73, 0, IF(L73&lt;P73/2,Deadtime*Fsw*IF(VfdSky_Q3&gt;0,0,Vsd_Q3)*(L73+P73/2), 2*Deadtime*Fsw*IF(VfdSky_Q3&gt;0,0,Vsd_Q3)*L73), IF(L73&lt;P73/2,Deadtime*Fsw/2*IF(VfdSky_Q3&gt;0,0,Vsd_Q3)*(L73+P73/2), 2*Deadtime*Fsw/2*IF(VfdSky_Q3&gt;0,0,Vsd_Q3)*L73))</f>
        <v>0.12129963898916969</v>
      </c>
      <c r="AR73" s="387">
        <f t="shared" ref="AR73:AR136" si="87">(AQ73+AP73*(1+RdsonBotTc*Ta-RdsonBotTc*25))/(1-AP73*RdsonBotTc*ThetaJA_Q3)</f>
        <v>0.20464290351192455</v>
      </c>
      <c r="AS73" s="387">
        <f t="shared" ref="AS73:AS136" si="88">CHOOSE(J73, Rdson3*Q73^2, Rdson1*Q73^2, 0)</f>
        <v>0.26150936066501734</v>
      </c>
      <c r="AT73" s="387">
        <f t="shared" ref="AT73:AT136" si="89">CHOOSE(J73, 2*Deadtime*Fsw*IF(VfdSky_Q2&gt;0,VfdSky_Q2,0)*K73, 2*Deadtime*Fsw*IF(VfdSky_Q3&gt;0,VfdSky_Q3,0)*L73, 2*Deadtime*Fsw/2*IF(VfdSky_Q2&gt;0,VfdSky_Q2,0)*K73+2*Deadtime*Fsw/2*IF(VfdSky_Q3&gt;0,VfdSky_Q3,0)*L73)</f>
        <v>0</v>
      </c>
      <c r="AU73" s="387">
        <f t="shared" ref="AU73:AU136" si="90">CHOOSE(J73, IF(QrrSky_Q2&gt;0,QrrSky_Q2,Qrr_Q2)*Fsw*(H73-K73*Rdson1), IF(QrrSky_Q3&gt;0,QrrSky_Q3,Qrr_Q3)*Fsw*Vout,  IF(QrrSky_Q2&gt;0,QrrSky_Q2,Qrr_Q2)*Fsw/2*(H73-K73*Rdson1)+IF(QrrSky_Q3&gt;0,QrrSky_Q3,Qrr_Q3)*Fsw/2*Vout)</f>
        <v>8.8703999999999991E-2</v>
      </c>
      <c r="AV73" s="387">
        <f t="shared" ref="AV73:AV136" si="91">CHOOSE(J73, Rs*AF73^2, Rs*AJ73^2, Rs*(AF73^2+AJ73^2))</f>
        <v>2.9909562066972505E-2</v>
      </c>
      <c r="AW73" s="387">
        <f t="shared" ref="AW73:AW136" si="92">Rshunt_std/1000*Iout^2</f>
        <v>0</v>
      </c>
      <c r="AX73" s="387">
        <f t="shared" ref="AX73:AX136" si="93">IF(Vout&gt;8, Iq*Vout, Iq*H73)</f>
        <v>3.6000000000000004E-2</v>
      </c>
      <c r="AY73" s="387">
        <f t="shared" ref="AY73:AY136" si="94">CHOOSE(J73, (Qg_Q1+Qg_Q2)*Fsw, (Qg_Q3+Qg_Q4)*Fsw, (Qg_Q1+Qg_Q2+Qg_Q3+Qg_Q4)*Fsw/2)*IF(Vout&gt;8, Vout, H73)</f>
        <v>0.118272</v>
      </c>
      <c r="AZ73" s="387">
        <f t="shared" ref="AZ73:AZ136" si="95">(Vin-Vdd)*Fsw*(Qg_Q1+Qg_Q2)+(RdsonDRT+RdsonDRT2)*Fsw*Qg_Q1*Vdd/(RdsonDRT+2*Rgate1+RdsonDRT2)+(RdsonDRB+RdsonDRB2)*Fsw*Qg_Q2*Vdd/(RdsonDRB+2*Rgate2+RdsonDRB2)</f>
        <v>7.3471999999999996E-2</v>
      </c>
      <c r="BA73" s="387">
        <f t="shared" si="56"/>
        <v>0.15427200000000002</v>
      </c>
      <c r="BB73" s="387">
        <f t="shared" si="57"/>
        <v>1.1324480714803207</v>
      </c>
      <c r="BC73">
        <f t="shared" ref="BC73:BC136" si="96">Vout*K73</f>
        <v>72</v>
      </c>
      <c r="BD73" s="606">
        <f t="shared" si="50"/>
        <v>0.98451510784414786</v>
      </c>
      <c r="BE73" s="616">
        <f t="shared" ref="BE73:BE136" si="97">IF(H73&gt;Vout,ThetaJA_Q1*(AE73+AU73),ThetaJA_Q4*(AN73+AU73))</f>
        <v>7.75033030876833</v>
      </c>
      <c r="BF73" s="616">
        <f t="shared" ref="BF73:BF136" si="98">IF(H73&gt;Vout, AI73*ThetaJA_Q2, ThetaJA_Q3*AR73)</f>
        <v>10.232145175596226</v>
      </c>
      <c r="BG73" s="9"/>
      <c r="BH73" s="4">
        <f t="shared" si="51"/>
        <v>98.451510784414779</v>
      </c>
      <c r="BI73" s="387">
        <f t="shared" si="52"/>
        <v>0.29016025392090344</v>
      </c>
      <c r="BJ73" s="387">
        <f t="shared" si="53"/>
        <v>0.63559113389794752</v>
      </c>
      <c r="BK73" s="387">
        <f t="shared" si="54"/>
        <v>2.9272319999999998E-2</v>
      </c>
      <c r="BL73" s="387">
        <f t="shared" si="55"/>
        <v>2.9909562066972505E-2</v>
      </c>
      <c r="BR73" s="18"/>
      <c r="BS73" s="19"/>
    </row>
    <row r="74" spans="1:71" x14ac:dyDescent="0.2">
      <c r="A74" s="14" t="s">
        <v>118</v>
      </c>
      <c r="B74" s="15" t="s">
        <v>8</v>
      </c>
      <c r="C74" s="17" t="s">
        <v>80</v>
      </c>
      <c r="G74">
        <v>65</v>
      </c>
      <c r="H74" s="612">
        <f t="shared" si="59"/>
        <v>11.175000000000001</v>
      </c>
      <c r="I74" s="4" t="str">
        <f t="shared" si="60"/>
        <v>BOOST</v>
      </c>
      <c r="J74">
        <f t="shared" ref="J74:J137" si="99">IF(I74="BOOST",2, IF(I74="BUCK", 1,3))</f>
        <v>2</v>
      </c>
      <c r="K74">
        <f t="shared" si="61"/>
        <v>6</v>
      </c>
      <c r="L74" s="4">
        <f t="shared" si="62"/>
        <v>6.7114093959731544</v>
      </c>
      <c r="M74" s="4">
        <f t="shared" si="63"/>
        <v>6.4759652553549492</v>
      </c>
      <c r="N74" s="387">
        <f t="shared" si="64"/>
        <v>1</v>
      </c>
      <c r="O74" s="387">
        <f t="shared" ref="O74:O105" si="100">CHOOSE(J74,0,(Vout+(Rdson3+Rdcr)*L74-H74)/(Vout+(Rdson3-Rdson4-Rs)*L74),IF(H74&gt;Vout,D_min_boost_exitBB_to_buck, (Vout-H74*D_max_buck_BB)/Vout))</f>
        <v>7.3497191011235891E-2</v>
      </c>
      <c r="P74" s="4">
        <f t="shared" si="65"/>
        <v>0.77269008426206987</v>
      </c>
      <c r="Q74" s="387">
        <f t="shared" si="66"/>
        <v>6.715115058151758</v>
      </c>
      <c r="R74" s="387">
        <f t="shared" ref="R74:R109" si="101">(Q74^2*Rdcr*(1+Ltc*Ta-Ltc*25))/(1-Q74^2*Rdcr*Ltc*ThetaCa)</f>
        <v>0.27654224837839297</v>
      </c>
      <c r="S74" s="387">
        <f t="shared" si="67"/>
        <v>6.9881209355833092E-3</v>
      </c>
      <c r="T74" s="387">
        <f t="shared" ref="T74:T109" si="102">R74+S74</f>
        <v>0.28353036931397629</v>
      </c>
      <c r="U74" s="4">
        <f t="shared" si="68"/>
        <v>1.6910761093696458</v>
      </c>
      <c r="V74" s="387">
        <f t="shared" ref="V74:V109" si="103">RCoutEsr*U74^2</f>
        <v>2.0018168853765447E-2</v>
      </c>
      <c r="W74" s="387">
        <f t="shared" ref="W74:W109" si="104">V74</f>
        <v>2.0018168853765447E-2</v>
      </c>
      <c r="X74" s="387">
        <f t="shared" si="69"/>
        <v>0.22305641407443033</v>
      </c>
      <c r="Y74" s="387">
        <f t="shared" ref="Y74:Y109" si="105">RCinEsr*X74^2</f>
        <v>9.9508327719487449E-5</v>
      </c>
      <c r="Z74" s="605">
        <f t="shared" ref="Z74:Z109" si="106">Y74</f>
        <v>9.9508327719487449E-5</v>
      </c>
      <c r="AA74" s="387">
        <f t="shared" si="70"/>
        <v>6.715115058151758</v>
      </c>
      <c r="AB74" s="387">
        <f t="shared" si="71"/>
        <v>0.25702879039203397</v>
      </c>
      <c r="AC74" s="387">
        <f t="shared" si="72"/>
        <v>0</v>
      </c>
      <c r="AD74">
        <f t="shared" si="73"/>
        <v>0</v>
      </c>
      <c r="AE74" s="387">
        <f t="shared" si="74"/>
        <v>0.2709575696678948</v>
      </c>
      <c r="AF74" s="387">
        <f t="shared" si="75"/>
        <v>0</v>
      </c>
      <c r="AG74" s="387">
        <f t="shared" si="76"/>
        <v>0</v>
      </c>
      <c r="AH74" s="387">
        <f t="shared" si="77"/>
        <v>0</v>
      </c>
      <c r="AI74" s="387">
        <f t="shared" si="78"/>
        <v>0</v>
      </c>
      <c r="AJ74" s="387">
        <f t="shared" si="79"/>
        <v>1.8204922268070669</v>
      </c>
      <c r="AK74" s="387">
        <f t="shared" si="80"/>
        <v>6.2969647009434113E-3</v>
      </c>
      <c r="AL74" s="387">
        <f t="shared" si="81"/>
        <v>5.8602431125921062E-2</v>
      </c>
      <c r="AM74">
        <f t="shared" si="82"/>
        <v>0</v>
      </c>
      <c r="AN74" s="387">
        <f t="shared" si="83"/>
        <v>6.4981232732612693E-2</v>
      </c>
      <c r="AO74" s="387">
        <f t="shared" si="84"/>
        <v>6.4636350683150061</v>
      </c>
      <c r="AP74" s="387">
        <f t="shared" si="85"/>
        <v>7.9379298763067915E-2</v>
      </c>
      <c r="AQ74" s="387">
        <f t="shared" si="86"/>
        <v>0.12026845637583894</v>
      </c>
      <c r="AR74" s="387">
        <f t="shared" si="87"/>
        <v>0.20286846646066417</v>
      </c>
      <c r="AS74" s="387">
        <f t="shared" si="88"/>
        <v>0.25702879039203397</v>
      </c>
      <c r="AT74" s="387">
        <f t="shared" si="89"/>
        <v>0</v>
      </c>
      <c r="AU74" s="387">
        <f t="shared" si="90"/>
        <v>8.8703999999999991E-2</v>
      </c>
      <c r="AV74" s="387">
        <f t="shared" si="91"/>
        <v>2.6513535582919627E-2</v>
      </c>
      <c r="AW74" s="387">
        <f t="shared" si="92"/>
        <v>0</v>
      </c>
      <c r="AX74" s="387">
        <f t="shared" si="93"/>
        <v>3.6000000000000004E-2</v>
      </c>
      <c r="AY74" s="387">
        <f t="shared" si="94"/>
        <v>0.118272</v>
      </c>
      <c r="AZ74" s="387">
        <f t="shared" si="95"/>
        <v>7.3471999999999996E-2</v>
      </c>
      <c r="BA74" s="387">
        <f t="shared" si="56"/>
        <v>0.15427200000000002</v>
      </c>
      <c r="BB74" s="387">
        <f t="shared" si="57"/>
        <v>1.1119448509395524</v>
      </c>
      <c r="BC74">
        <f t="shared" si="96"/>
        <v>72</v>
      </c>
      <c r="BD74" s="606">
        <f t="shared" ref="BD74:BD109" si="107">BC74/(BC74+BB74)</f>
        <v>0.98479120131181597</v>
      </c>
      <c r="BE74" s="616">
        <f t="shared" si="97"/>
        <v>7.6842616366306347</v>
      </c>
      <c r="BF74" s="616">
        <f t="shared" si="98"/>
        <v>10.143423323033209</v>
      </c>
      <c r="BG74" s="9"/>
      <c r="BH74" s="4">
        <f t="shared" ref="BH74:BH109" si="108">BD74*100</f>
        <v>98.479120131181602</v>
      </c>
      <c r="BI74" s="387">
        <f t="shared" ref="BI74:BI109" si="109">T74</f>
        <v>0.28353036931397629</v>
      </c>
      <c r="BJ74" s="387">
        <f t="shared" ref="BJ74:BJ109" si="110">AE74+AI74+AN74+AR74+AU74</f>
        <v>0.6275112688611717</v>
      </c>
      <c r="BK74" s="387">
        <f t="shared" ref="BK74:BK109" si="111">AI74+AU74*0.33</f>
        <v>2.9272319999999998E-2</v>
      </c>
      <c r="BL74" s="387">
        <f t="shared" ref="BL74:BL109" si="112">AV74</f>
        <v>2.6513535582919627E-2</v>
      </c>
      <c r="BR74" s="18"/>
      <c r="BS74" s="19"/>
    </row>
    <row r="75" spans="1:71" x14ac:dyDescent="0.2">
      <c r="A75" s="34" t="s">
        <v>119</v>
      </c>
      <c r="B75" s="80">
        <f>BA9</f>
        <v>0.15427200000000002</v>
      </c>
      <c r="C75" s="81" t="s">
        <v>120</v>
      </c>
      <c r="G75">
        <v>66</v>
      </c>
      <c r="H75" s="612">
        <f t="shared" si="59"/>
        <v>11.27</v>
      </c>
      <c r="I75" s="4" t="str">
        <f t="shared" si="60"/>
        <v>BUCK-BST</v>
      </c>
      <c r="J75">
        <f t="shared" si="99"/>
        <v>3</v>
      </c>
      <c r="K75">
        <f t="shared" si="61"/>
        <v>6</v>
      </c>
      <c r="L75" s="4">
        <f t="shared" si="62"/>
        <v>6.6548358473824321</v>
      </c>
      <c r="M75" s="4">
        <f t="shared" si="63"/>
        <v>6.6107640868037398</v>
      </c>
      <c r="N75" s="387">
        <f t="shared" si="64"/>
        <v>0.96640000000000004</v>
      </c>
      <c r="O75" s="387">
        <f t="shared" si="100"/>
        <v>9.2389333333333365E-2</v>
      </c>
      <c r="P75" s="4">
        <f t="shared" si="65"/>
        <v>1.9594450925024434</v>
      </c>
      <c r="Q75" s="387">
        <f t="shared" si="66"/>
        <v>6.6349192836525956</v>
      </c>
      <c r="R75" s="387">
        <f t="shared" si="101"/>
        <v>0.26983470169097867</v>
      </c>
      <c r="S75" s="387">
        <f t="shared" si="67"/>
        <v>5.9630818314907651E-2</v>
      </c>
      <c r="T75" s="387">
        <f t="shared" si="102"/>
        <v>0.3294655200058863</v>
      </c>
      <c r="U75" s="4">
        <f t="shared" si="68"/>
        <v>1.9227984107598026</v>
      </c>
      <c r="V75" s="387">
        <f t="shared" si="103"/>
        <v>2.588007609894296E-2</v>
      </c>
      <c r="W75" s="387">
        <f t="shared" si="104"/>
        <v>2.588007609894296E-2</v>
      </c>
      <c r="X75" s="387">
        <f t="shared" si="69"/>
        <v>0.56564307580928841</v>
      </c>
      <c r="Y75" s="387">
        <f t="shared" si="105"/>
        <v>6.3990417842198482E-4</v>
      </c>
      <c r="Z75" s="605">
        <f t="shared" si="106"/>
        <v>6.3990417842198482E-4</v>
      </c>
      <c r="AA75" s="387">
        <f t="shared" si="70"/>
        <v>6.5225002514009471</v>
      </c>
      <c r="AB75" s="387">
        <f t="shared" si="71"/>
        <v>0.24249515431829491</v>
      </c>
      <c r="AC75" s="387">
        <f t="shared" si="72"/>
        <v>2.8325367943979395E-2</v>
      </c>
      <c r="AD75">
        <f t="shared" si="73"/>
        <v>0</v>
      </c>
      <c r="AE75" s="387">
        <f t="shared" si="74"/>
        <v>0.28462453643961377</v>
      </c>
      <c r="AF75" s="387">
        <f t="shared" si="75"/>
        <v>1.2162007938904071</v>
      </c>
      <c r="AG75" s="387">
        <f t="shared" si="76"/>
        <v>8.431122915040043E-3</v>
      </c>
      <c r="AH75" s="387">
        <f t="shared" si="77"/>
        <v>5.3760000000000002E-2</v>
      </c>
      <c r="AI75" s="387">
        <f t="shared" si="78"/>
        <v>6.2296168245362583E-2</v>
      </c>
      <c r="AJ75" s="387">
        <f t="shared" si="79"/>
        <v>2.0167244360032077</v>
      </c>
      <c r="AK75" s="387">
        <f t="shared" si="80"/>
        <v>7.727637156467666E-3</v>
      </c>
      <c r="AL75" s="387">
        <f t="shared" si="81"/>
        <v>2.6195286713286716E-2</v>
      </c>
      <c r="AM75">
        <f t="shared" si="82"/>
        <v>0</v>
      </c>
      <c r="AN75" s="387">
        <f t="shared" si="83"/>
        <v>3.3975433834736064E-2</v>
      </c>
      <c r="AO75" s="387">
        <f t="shared" si="84"/>
        <v>6.3209948939872289</v>
      </c>
      <c r="AP75" s="387">
        <f t="shared" si="85"/>
        <v>7.5914455254643978E-2</v>
      </c>
      <c r="AQ75" s="387">
        <f t="shared" si="86"/>
        <v>5.9627329192546596E-2</v>
      </c>
      <c r="AR75" s="387">
        <f t="shared" si="87"/>
        <v>0.13763142741481349</v>
      </c>
      <c r="AS75" s="387">
        <f t="shared" si="88"/>
        <v>0</v>
      </c>
      <c r="AT75" s="387">
        <f t="shared" si="89"/>
        <v>0</v>
      </c>
      <c r="AU75" s="387">
        <f t="shared" si="90"/>
        <v>0.12363180479999999</v>
      </c>
      <c r="AV75" s="387">
        <f t="shared" si="91"/>
        <v>4.4370574574656901E-2</v>
      </c>
      <c r="AW75" s="387">
        <f t="shared" si="92"/>
        <v>0</v>
      </c>
      <c r="AX75" s="387">
        <f t="shared" si="93"/>
        <v>3.6000000000000004E-2</v>
      </c>
      <c r="AY75" s="387">
        <f t="shared" si="94"/>
        <v>8.8703999999999991E-2</v>
      </c>
      <c r="AZ75" s="387">
        <f t="shared" si="95"/>
        <v>7.3471999999999996E-2</v>
      </c>
      <c r="BA75" s="387">
        <f t="shared" ref="BA75:BA109" si="113">SUM(AX75:AY75)</f>
        <v>0.124704</v>
      </c>
      <c r="BB75" s="387">
        <f t="shared" ref="BB75:BB109" si="114">SUM(T75,W75,Z75,AE75,AI75,AN75,AR75, AT75,AU75,BA75,AV75,AW75)</f>
        <v>1.1672194455924341</v>
      </c>
      <c r="BC75">
        <f t="shared" si="96"/>
        <v>72</v>
      </c>
      <c r="BD75" s="606">
        <f t="shared" si="107"/>
        <v>0.98404723516300374</v>
      </c>
      <c r="BE75" s="616">
        <f t="shared" si="97"/>
        <v>7.880361931736803</v>
      </c>
      <c r="BF75" s="616">
        <f t="shared" si="98"/>
        <v>6.8815713707406747</v>
      </c>
      <c r="BG75" s="9"/>
      <c r="BH75" s="4">
        <f t="shared" si="108"/>
        <v>98.404723516300379</v>
      </c>
      <c r="BI75" s="387">
        <f t="shared" si="109"/>
        <v>0.3294655200058863</v>
      </c>
      <c r="BJ75" s="387">
        <f t="shared" si="110"/>
        <v>0.64215937073452589</v>
      </c>
      <c r="BK75" s="387">
        <f t="shared" si="111"/>
        <v>0.10309466382936258</v>
      </c>
      <c r="BL75" s="387">
        <f t="shared" si="112"/>
        <v>4.4370574574656901E-2</v>
      </c>
      <c r="BR75" s="18"/>
      <c r="BS75" s="19"/>
    </row>
    <row r="76" spans="1:71" x14ac:dyDescent="0.2">
      <c r="A76" s="34" t="s">
        <v>123</v>
      </c>
      <c r="B76" s="79">
        <f>B75*B62</f>
        <v>4.6281600000000003</v>
      </c>
      <c r="C76" s="483" t="s">
        <v>677</v>
      </c>
      <c r="G76">
        <v>67</v>
      </c>
      <c r="H76" s="612">
        <f t="shared" si="59"/>
        <v>11.365</v>
      </c>
      <c r="I76" s="4" t="str">
        <f t="shared" si="60"/>
        <v>BUCK-BST</v>
      </c>
      <c r="J76">
        <f t="shared" si="99"/>
        <v>3</v>
      </c>
      <c r="K76">
        <f t="shared" si="61"/>
        <v>6</v>
      </c>
      <c r="L76" s="4">
        <f t="shared" si="62"/>
        <v>6.5992080950285974</v>
      </c>
      <c r="M76" s="4">
        <f t="shared" si="63"/>
        <v>6.5555047301608571</v>
      </c>
      <c r="N76" s="387">
        <f t="shared" si="64"/>
        <v>0.96640000000000004</v>
      </c>
      <c r="O76" s="387">
        <f t="shared" si="100"/>
        <v>8.473866666666667E-2</v>
      </c>
      <c r="P76" s="4">
        <f t="shared" si="65"/>
        <v>1.8126207028034045</v>
      </c>
      <c r="Q76" s="387">
        <f t="shared" si="66"/>
        <v>6.5763547464772607</v>
      </c>
      <c r="R76" s="387">
        <f t="shared" si="101"/>
        <v>0.26499167957405734</v>
      </c>
      <c r="S76" s="387">
        <f t="shared" si="67"/>
        <v>4.9835095108897783E-2</v>
      </c>
      <c r="T76" s="387">
        <f t="shared" si="102"/>
        <v>0.31482677468295511</v>
      </c>
      <c r="U76" s="4">
        <f t="shared" si="68"/>
        <v>1.8325877511715665</v>
      </c>
      <c r="V76" s="387">
        <f t="shared" si="103"/>
        <v>2.3508645060208413E-2</v>
      </c>
      <c r="W76" s="387">
        <f t="shared" si="104"/>
        <v>2.3508645060208413E-2</v>
      </c>
      <c r="X76" s="387">
        <f t="shared" si="69"/>
        <v>0.52325852535111717</v>
      </c>
      <c r="Y76" s="387">
        <f t="shared" si="105"/>
        <v>5.4759896870525148E-4</v>
      </c>
      <c r="Z76" s="605">
        <f t="shared" si="106"/>
        <v>5.4759896870525148E-4</v>
      </c>
      <c r="AA76" s="387">
        <f t="shared" si="70"/>
        <v>6.4649280049094999</v>
      </c>
      <c r="AB76" s="387">
        <f t="shared" si="71"/>
        <v>0.23823317641937983</v>
      </c>
      <c r="AC76" s="387">
        <f t="shared" si="72"/>
        <v>2.8325367943979395E-2</v>
      </c>
      <c r="AD76">
        <f t="shared" si="73"/>
        <v>0</v>
      </c>
      <c r="AE76" s="387">
        <f t="shared" si="74"/>
        <v>0.27989457930126027</v>
      </c>
      <c r="AF76" s="387">
        <f t="shared" si="75"/>
        <v>1.205465736904566</v>
      </c>
      <c r="AG76" s="387">
        <f t="shared" si="76"/>
        <v>8.2829415642499508E-3</v>
      </c>
      <c r="AH76" s="387">
        <f t="shared" si="77"/>
        <v>5.3760000000000002E-2</v>
      </c>
      <c r="AI76" s="387">
        <f t="shared" si="78"/>
        <v>6.2145891722168542E-2</v>
      </c>
      <c r="AJ76" s="387">
        <f t="shared" si="79"/>
        <v>1.9143707293610333</v>
      </c>
      <c r="AK76" s="387">
        <f t="shared" si="80"/>
        <v>6.9631490499251587E-3</v>
      </c>
      <c r="AL76" s="387">
        <f t="shared" si="81"/>
        <v>2.6195286713286716E-2</v>
      </c>
      <c r="AM76">
        <f t="shared" si="82"/>
        <v>0</v>
      </c>
      <c r="AN76" s="387">
        <f t="shared" si="83"/>
        <v>3.3204677587050542E-2</v>
      </c>
      <c r="AO76" s="387">
        <f t="shared" si="84"/>
        <v>6.2915519915263909</v>
      </c>
      <c r="AP76" s="387">
        <f t="shared" si="85"/>
        <v>7.5208890277951412E-2</v>
      </c>
      <c r="AQ76" s="387">
        <f t="shared" si="86"/>
        <v>5.9128904531456236E-2</v>
      </c>
      <c r="AR76" s="387">
        <f t="shared" si="87"/>
        <v>0.13638933288379573</v>
      </c>
      <c r="AS76" s="387">
        <f t="shared" si="88"/>
        <v>0</v>
      </c>
      <c r="AT76" s="387">
        <f t="shared" si="89"/>
        <v>0</v>
      </c>
      <c r="AU76" s="387">
        <f t="shared" si="90"/>
        <v>0.1243021248</v>
      </c>
      <c r="AV76" s="387">
        <f t="shared" si="91"/>
        <v>4.0943703458281307E-2</v>
      </c>
      <c r="AW76" s="387">
        <f t="shared" si="92"/>
        <v>0</v>
      </c>
      <c r="AX76" s="387">
        <f t="shared" si="93"/>
        <v>3.6000000000000004E-2</v>
      </c>
      <c r="AY76" s="387">
        <f t="shared" si="94"/>
        <v>8.8703999999999991E-2</v>
      </c>
      <c r="AZ76" s="387">
        <f t="shared" si="95"/>
        <v>7.3471999999999996E-2</v>
      </c>
      <c r="BA76" s="387">
        <f t="shared" si="113"/>
        <v>0.124704</v>
      </c>
      <c r="BB76" s="387">
        <f t="shared" si="114"/>
        <v>1.1404673284644253</v>
      </c>
      <c r="BC76">
        <f t="shared" si="96"/>
        <v>72</v>
      </c>
      <c r="BD76" s="606">
        <f t="shared" si="107"/>
        <v>0.98440716377511328</v>
      </c>
      <c r="BE76" s="616">
        <f t="shared" si="97"/>
        <v>7.8753401193525265</v>
      </c>
      <c r="BF76" s="616">
        <f t="shared" si="98"/>
        <v>6.8194666441897862</v>
      </c>
      <c r="BG76" s="9"/>
      <c r="BH76" s="4">
        <f t="shared" si="108"/>
        <v>98.440716377511322</v>
      </c>
      <c r="BI76" s="387">
        <f t="shared" si="109"/>
        <v>0.31482677468295511</v>
      </c>
      <c r="BJ76" s="387">
        <f t="shared" si="110"/>
        <v>0.63593660629427506</v>
      </c>
      <c r="BK76" s="387">
        <f t="shared" si="111"/>
        <v>0.10316559290616854</v>
      </c>
      <c r="BL76" s="387">
        <f t="shared" si="112"/>
        <v>4.0943703458281307E-2</v>
      </c>
      <c r="BR76" s="18"/>
      <c r="BS76" s="19"/>
    </row>
    <row r="77" spans="1:71" x14ac:dyDescent="0.2">
      <c r="A77" s="34" t="s">
        <v>246</v>
      </c>
      <c r="B77" s="79">
        <f>(Qg_Q1+Qg_Q2)*Fsw+Iq</f>
        <v>7.928000000000001E-3</v>
      </c>
      <c r="C77" s="21" t="s">
        <v>2</v>
      </c>
      <c r="G77">
        <v>68</v>
      </c>
      <c r="H77" s="612">
        <f t="shared" si="59"/>
        <v>11.46</v>
      </c>
      <c r="I77" s="4" t="str">
        <f t="shared" si="60"/>
        <v>BUCK-BST</v>
      </c>
      <c r="J77">
        <f t="shared" si="99"/>
        <v>3</v>
      </c>
      <c r="K77">
        <f t="shared" si="61"/>
        <v>6</v>
      </c>
      <c r="L77" s="4">
        <f t="shared" si="62"/>
        <v>6.5445026178010473</v>
      </c>
      <c r="M77" s="4">
        <f t="shared" si="63"/>
        <v>6.5011615408619665</v>
      </c>
      <c r="N77" s="387">
        <f t="shared" si="64"/>
        <v>0.96640000000000004</v>
      </c>
      <c r="O77" s="387">
        <f t="shared" si="100"/>
        <v>7.7087999999999823E-2</v>
      </c>
      <c r="P77" s="4">
        <f t="shared" si="65"/>
        <v>1.6630070067951397</v>
      </c>
      <c r="Q77" s="387">
        <f t="shared" si="66"/>
        <v>6.5188624318795236</v>
      </c>
      <c r="R77" s="387">
        <f t="shared" si="101"/>
        <v>0.26028261601220376</v>
      </c>
      <c r="S77" s="387">
        <f t="shared" si="67"/>
        <v>4.0863547746115995E-2</v>
      </c>
      <c r="T77" s="387">
        <f t="shared" si="102"/>
        <v>0.30114616375831976</v>
      </c>
      <c r="U77" s="4">
        <f t="shared" si="68"/>
        <v>1.7396032200586382</v>
      </c>
      <c r="V77" s="387">
        <f t="shared" si="103"/>
        <v>2.1183535542668681E-2</v>
      </c>
      <c r="W77" s="387">
        <f t="shared" si="104"/>
        <v>2.1183535542668681E-2</v>
      </c>
      <c r="X77" s="387">
        <f t="shared" si="69"/>
        <v>0.48006877151870386</v>
      </c>
      <c r="Y77" s="387">
        <f t="shared" si="105"/>
        <v>4.6093205077495498E-4</v>
      </c>
      <c r="Z77" s="605">
        <f t="shared" si="106"/>
        <v>4.6093205077495498E-4</v>
      </c>
      <c r="AA77" s="387">
        <f t="shared" si="70"/>
        <v>6.4084098137475838</v>
      </c>
      <c r="AB77" s="387">
        <f t="shared" si="71"/>
        <v>0.23408598314333717</v>
      </c>
      <c r="AC77" s="387">
        <f t="shared" si="72"/>
        <v>2.8325367943979395E-2</v>
      </c>
      <c r="AD77">
        <f t="shared" si="73"/>
        <v>0</v>
      </c>
      <c r="AE77" s="387">
        <f t="shared" si="74"/>
        <v>0.27530013147445409</v>
      </c>
      <c r="AF77" s="387">
        <f t="shared" si="75"/>
        <v>1.1949272215636724</v>
      </c>
      <c r="AG77" s="387">
        <f t="shared" si="76"/>
        <v>8.1387510695531042E-3</v>
      </c>
      <c r="AH77" s="387">
        <f t="shared" si="77"/>
        <v>5.3760000000000002E-2</v>
      </c>
      <c r="AI77" s="387">
        <f t="shared" si="78"/>
        <v>6.1999671047362842E-2</v>
      </c>
      <c r="AJ77" s="387">
        <f t="shared" si="79"/>
        <v>1.809944280958949</v>
      </c>
      <c r="AK77" s="387">
        <f t="shared" si="80"/>
        <v>6.2242067703344129E-3</v>
      </c>
      <c r="AL77" s="387">
        <f t="shared" si="81"/>
        <v>2.6195286713286716E-2</v>
      </c>
      <c r="AM77">
        <f t="shared" si="82"/>
        <v>0</v>
      </c>
      <c r="AN77" s="387">
        <f t="shared" si="83"/>
        <v>3.245990091062359E-2</v>
      </c>
      <c r="AO77" s="387">
        <f t="shared" si="84"/>
        <v>6.262560906338094</v>
      </c>
      <c r="AP77" s="387">
        <f t="shared" si="85"/>
        <v>7.4517371300628993E-2</v>
      </c>
      <c r="AQ77" s="387">
        <f t="shared" si="86"/>
        <v>5.863874345549739E-2</v>
      </c>
      <c r="AR77" s="387">
        <f t="shared" si="87"/>
        <v>0.13517062671205457</v>
      </c>
      <c r="AS77" s="387">
        <f t="shared" si="88"/>
        <v>0</v>
      </c>
      <c r="AT77" s="387">
        <f t="shared" si="89"/>
        <v>0</v>
      </c>
      <c r="AU77" s="387">
        <f t="shared" si="90"/>
        <v>0.1249724448</v>
      </c>
      <c r="AV77" s="387">
        <f t="shared" si="91"/>
        <v>3.7629994920079075E-2</v>
      </c>
      <c r="AW77" s="387">
        <f t="shared" si="92"/>
        <v>0</v>
      </c>
      <c r="AX77" s="387">
        <f t="shared" si="93"/>
        <v>3.6000000000000004E-2</v>
      </c>
      <c r="AY77" s="387">
        <f t="shared" si="94"/>
        <v>8.8703999999999991E-2</v>
      </c>
      <c r="AZ77" s="387">
        <f t="shared" si="95"/>
        <v>7.3471999999999996E-2</v>
      </c>
      <c r="BA77" s="387">
        <f t="shared" si="113"/>
        <v>0.124704</v>
      </c>
      <c r="BB77" s="387">
        <f t="shared" si="114"/>
        <v>1.1150274012163377</v>
      </c>
      <c r="BC77">
        <f t="shared" si="96"/>
        <v>72</v>
      </c>
      <c r="BD77" s="606">
        <f t="shared" si="107"/>
        <v>0.98474968223566872</v>
      </c>
      <c r="BE77" s="616">
        <f t="shared" si="97"/>
        <v>7.8716172855311797</v>
      </c>
      <c r="BF77" s="616">
        <f t="shared" si="98"/>
        <v>6.7585313356027283</v>
      </c>
      <c r="BG77" s="9"/>
      <c r="BH77" s="4">
        <f t="shared" si="108"/>
        <v>98.474968223566876</v>
      </c>
      <c r="BI77" s="387">
        <f t="shared" si="109"/>
        <v>0.30114616375831976</v>
      </c>
      <c r="BJ77" s="387">
        <f t="shared" si="110"/>
        <v>0.62990277494449509</v>
      </c>
      <c r="BK77" s="387">
        <f t="shared" si="111"/>
        <v>0.10324057783136284</v>
      </c>
      <c r="BL77" s="387">
        <f t="shared" si="112"/>
        <v>3.7629994920079075E-2</v>
      </c>
      <c r="BR77" s="18"/>
      <c r="BS77" s="19"/>
    </row>
    <row r="78" spans="1:71" x14ac:dyDescent="0.2">
      <c r="A78" s="34" t="s">
        <v>247</v>
      </c>
      <c r="B78" s="78">
        <f>Qrr_Q2*Fsw</f>
        <v>1.4112E-2</v>
      </c>
      <c r="C78" s="21" t="s">
        <v>2</v>
      </c>
      <c r="G78">
        <v>69</v>
      </c>
      <c r="H78" s="612">
        <f t="shared" si="59"/>
        <v>11.555</v>
      </c>
      <c r="I78" s="4" t="str">
        <f t="shared" si="60"/>
        <v>BUCK-BST</v>
      </c>
      <c r="J78">
        <f t="shared" si="99"/>
        <v>3</v>
      </c>
      <c r="K78">
        <f t="shared" si="61"/>
        <v>6</v>
      </c>
      <c r="L78" s="4">
        <f t="shared" si="62"/>
        <v>6.4906966681090443</v>
      </c>
      <c r="M78" s="4">
        <f t="shared" si="63"/>
        <v>6.4477119219626253</v>
      </c>
      <c r="N78" s="387">
        <f t="shared" si="64"/>
        <v>0.96640000000000004</v>
      </c>
      <c r="O78" s="387">
        <f t="shared" si="100"/>
        <v>6.9437333333333282E-2</v>
      </c>
      <c r="P78" s="4">
        <f t="shared" si="65"/>
        <v>1.5106046915724398</v>
      </c>
      <c r="Q78" s="387">
        <f t="shared" si="66"/>
        <v>6.462441456070275</v>
      </c>
      <c r="R78" s="387">
        <f t="shared" si="101"/>
        <v>0.25570483631510305</v>
      </c>
      <c r="S78" s="387">
        <f t="shared" si="67"/>
        <v>3.2746102838813046E-2</v>
      </c>
      <c r="T78" s="387">
        <f t="shared" si="102"/>
        <v>0.28845093915391606</v>
      </c>
      <c r="U78" s="4">
        <f t="shared" si="68"/>
        <v>1.6433079612741273</v>
      </c>
      <c r="V78" s="387">
        <f t="shared" si="103"/>
        <v>1.8903227389108501E-2</v>
      </c>
      <c r="W78" s="387">
        <f t="shared" si="104"/>
        <v>1.8903227389108501E-2</v>
      </c>
      <c r="X78" s="387">
        <f t="shared" si="69"/>
        <v>0.4360740126592299</v>
      </c>
      <c r="Y78" s="387">
        <f t="shared" si="105"/>
        <v>3.8032108903344444E-4</v>
      </c>
      <c r="Z78" s="605">
        <f t="shared" si="106"/>
        <v>3.8032108903344444E-4</v>
      </c>
      <c r="AA78" s="387">
        <f t="shared" si="70"/>
        <v>6.352944809100606</v>
      </c>
      <c r="AB78" s="387">
        <f t="shared" si="71"/>
        <v>0.23005147416062655</v>
      </c>
      <c r="AC78" s="387">
        <f t="shared" si="72"/>
        <v>2.8325367943979388E-2</v>
      </c>
      <c r="AD78">
        <f t="shared" si="73"/>
        <v>0</v>
      </c>
      <c r="AE78" s="387">
        <f t="shared" si="74"/>
        <v>0.27083818693739364</v>
      </c>
      <c r="AF78" s="387">
        <f t="shared" si="75"/>
        <v>1.1845850858665061</v>
      </c>
      <c r="AG78" s="387">
        <f t="shared" si="76"/>
        <v>7.9984784062469404E-3</v>
      </c>
      <c r="AH78" s="387">
        <f t="shared" si="77"/>
        <v>5.3760000000000002E-2</v>
      </c>
      <c r="AI78" s="387">
        <f t="shared" si="78"/>
        <v>6.1857431472226249E-2</v>
      </c>
      <c r="AJ78" s="387">
        <f t="shared" si="79"/>
        <v>1.7029156579113596</v>
      </c>
      <c r="AK78" s="387">
        <f t="shared" si="80"/>
        <v>5.5098513021233893E-3</v>
      </c>
      <c r="AL78" s="387">
        <f t="shared" si="81"/>
        <v>2.6195286713286716E-2</v>
      </c>
      <c r="AM78">
        <f t="shared" si="82"/>
        <v>0</v>
      </c>
      <c r="AN78" s="387">
        <f t="shared" si="83"/>
        <v>3.1740114677847563E-2</v>
      </c>
      <c r="AO78" s="387">
        <f t="shared" si="84"/>
        <v>6.2340378435790731</v>
      </c>
      <c r="AP78" s="387">
        <f t="shared" si="85"/>
        <v>7.3840132886834442E-2</v>
      </c>
      <c r="AQ78" s="387">
        <f t="shared" si="86"/>
        <v>5.8156642146257043E-2</v>
      </c>
      <c r="AR78" s="387">
        <f t="shared" si="87"/>
        <v>0.13397532621129124</v>
      </c>
      <c r="AS78" s="387">
        <f t="shared" si="88"/>
        <v>0</v>
      </c>
      <c r="AT78" s="387">
        <f t="shared" si="89"/>
        <v>0</v>
      </c>
      <c r="AU78" s="387">
        <f t="shared" si="90"/>
        <v>0.1256427648</v>
      </c>
      <c r="AV78" s="387">
        <f t="shared" si="91"/>
        <v>3.4425308508936291E-2</v>
      </c>
      <c r="AW78" s="387">
        <f t="shared" si="92"/>
        <v>0</v>
      </c>
      <c r="AX78" s="387">
        <f t="shared" si="93"/>
        <v>3.6000000000000004E-2</v>
      </c>
      <c r="AY78" s="387">
        <f t="shared" si="94"/>
        <v>8.8703999999999991E-2</v>
      </c>
      <c r="AZ78" s="387">
        <f t="shared" si="95"/>
        <v>7.3471999999999996E-2</v>
      </c>
      <c r="BA78" s="387">
        <f t="shared" si="113"/>
        <v>0.124704</v>
      </c>
      <c r="BB78" s="387">
        <f t="shared" si="114"/>
        <v>1.090917620239753</v>
      </c>
      <c r="BC78">
        <f t="shared" si="96"/>
        <v>72</v>
      </c>
      <c r="BD78" s="606">
        <f t="shared" si="107"/>
        <v>0.98507451191257633</v>
      </c>
      <c r="BE78" s="616">
        <f t="shared" si="97"/>
        <v>7.8691439738923785</v>
      </c>
      <c r="BF78" s="616">
        <f t="shared" si="98"/>
        <v>6.6987663105645616</v>
      </c>
      <c r="BG78" s="9"/>
      <c r="BH78" s="4">
        <f t="shared" si="108"/>
        <v>98.50745119125763</v>
      </c>
      <c r="BI78" s="387">
        <f t="shared" si="109"/>
        <v>0.28845093915391606</v>
      </c>
      <c r="BJ78" s="387">
        <f t="shared" si="110"/>
        <v>0.62405382409875876</v>
      </c>
      <c r="BK78" s="387">
        <f t="shared" si="111"/>
        <v>0.10331954385622624</v>
      </c>
      <c r="BL78" s="387">
        <f t="shared" si="112"/>
        <v>3.4425308508936291E-2</v>
      </c>
      <c r="BR78" s="18"/>
      <c r="BS78" s="19"/>
    </row>
    <row r="79" spans="1:71" x14ac:dyDescent="0.2">
      <c r="A79" s="34" t="s">
        <v>248</v>
      </c>
      <c r="B79" s="78" t="e">
        <f>C79/Vin</f>
        <v>#NAME?</v>
      </c>
      <c r="C79" s="21" t="e">
        <f>Deadtime*Fsw*(Iripple_Vinnom/2)*(VsdTop+VsdBot)</f>
        <v>#NAME?</v>
      </c>
      <c r="G79">
        <v>70</v>
      </c>
      <c r="H79" s="612">
        <f t="shared" si="59"/>
        <v>11.649999999999999</v>
      </c>
      <c r="I79" s="4" t="str">
        <f t="shared" si="60"/>
        <v>BUCK-BST</v>
      </c>
      <c r="J79">
        <f t="shared" si="99"/>
        <v>3</v>
      </c>
      <c r="K79">
        <f t="shared" si="61"/>
        <v>6</v>
      </c>
      <c r="L79" s="4">
        <f t="shared" si="62"/>
        <v>6.4377682403433489</v>
      </c>
      <c r="M79" s="4">
        <f t="shared" si="63"/>
        <v>6.3951340135861079</v>
      </c>
      <c r="N79" s="387">
        <f t="shared" si="64"/>
        <v>0.96640000000000004</v>
      </c>
      <c r="O79" s="387">
        <f t="shared" si="100"/>
        <v>6.1786666666666733E-2</v>
      </c>
      <c r="P79" s="4">
        <f t="shared" si="65"/>
        <v>1.3554144218184045</v>
      </c>
      <c r="Q79" s="387">
        <f t="shared" si="66"/>
        <v>6.4070925340307108</v>
      </c>
      <c r="R79" s="387">
        <f t="shared" si="101"/>
        <v>0.25125585446613863</v>
      </c>
      <c r="S79" s="387">
        <f t="shared" si="67"/>
        <v>2.5508812092836012E-2</v>
      </c>
      <c r="T79" s="387">
        <f t="shared" si="102"/>
        <v>0.27676466655897464</v>
      </c>
      <c r="U79" s="4">
        <f t="shared" si="68"/>
        <v>1.5430120869436361</v>
      </c>
      <c r="V79" s="387">
        <f t="shared" si="103"/>
        <v>1.6666204103179087E-2</v>
      </c>
      <c r="W79" s="387">
        <f t="shared" si="104"/>
        <v>1.6666204103179087E-2</v>
      </c>
      <c r="X79" s="387">
        <f t="shared" si="69"/>
        <v>0.39127444065017841</v>
      </c>
      <c r="Y79" s="387">
        <f t="shared" si="105"/>
        <v>3.0619137581222003E-4</v>
      </c>
      <c r="Z79" s="605">
        <f t="shared" si="106"/>
        <v>3.0619137581222003E-4</v>
      </c>
      <c r="AA79" s="387">
        <f t="shared" si="70"/>
        <v>6.2985336938354504</v>
      </c>
      <c r="AB79" s="387">
        <f t="shared" si="71"/>
        <v>0.22612770214656852</v>
      </c>
      <c r="AC79" s="387">
        <f t="shared" si="72"/>
        <v>2.8325367943979395E-2</v>
      </c>
      <c r="AD79">
        <f t="shared" si="73"/>
        <v>0</v>
      </c>
      <c r="AE79" s="387">
        <f t="shared" si="74"/>
        <v>0.26650594550357221</v>
      </c>
      <c r="AF79" s="387">
        <f t="shared" si="75"/>
        <v>1.1744394608712856</v>
      </c>
      <c r="AG79" s="387">
        <f t="shared" si="76"/>
        <v>7.8620558693343248E-3</v>
      </c>
      <c r="AH79" s="387">
        <f t="shared" si="77"/>
        <v>5.3760000000000002E-2</v>
      </c>
      <c r="AI79" s="387">
        <f t="shared" si="78"/>
        <v>6.1719103677598031E-2</v>
      </c>
      <c r="AJ79" s="387">
        <f t="shared" si="79"/>
        <v>1.5926061165417109</v>
      </c>
      <c r="AK79" s="387">
        <f t="shared" si="80"/>
        <v>4.8191490606475321E-3</v>
      </c>
      <c r="AL79" s="387">
        <f t="shared" si="81"/>
        <v>2.6195286713286716E-2</v>
      </c>
      <c r="AM79">
        <f t="shared" si="82"/>
        <v>0</v>
      </c>
      <c r="AN79" s="387">
        <f t="shared" si="83"/>
        <v>3.1044357250951116E-2</v>
      </c>
      <c r="AO79" s="387">
        <f t="shared" si="84"/>
        <v>6.2060003623256419</v>
      </c>
      <c r="AP79" s="387">
        <f t="shared" si="85"/>
        <v>7.3177436944653396E-2</v>
      </c>
      <c r="AQ79" s="387">
        <f t="shared" si="86"/>
        <v>5.7682403433476415E-2</v>
      </c>
      <c r="AR79" s="387">
        <f t="shared" si="87"/>
        <v>0.13280348409480539</v>
      </c>
      <c r="AS79" s="387">
        <f t="shared" si="88"/>
        <v>0</v>
      </c>
      <c r="AT79" s="387">
        <f t="shared" si="89"/>
        <v>0</v>
      </c>
      <c r="AU79" s="387">
        <f t="shared" si="90"/>
        <v>0.12631308479999998</v>
      </c>
      <c r="AV79" s="387">
        <f t="shared" si="91"/>
        <v>3.1325618317581641E-2</v>
      </c>
      <c r="AW79" s="387">
        <f t="shared" si="92"/>
        <v>0</v>
      </c>
      <c r="AX79" s="387">
        <f t="shared" si="93"/>
        <v>3.6000000000000004E-2</v>
      </c>
      <c r="AY79" s="387">
        <f t="shared" si="94"/>
        <v>8.8703999999999991E-2</v>
      </c>
      <c r="AZ79" s="387">
        <f t="shared" si="95"/>
        <v>7.3471999999999996E-2</v>
      </c>
      <c r="BA79" s="387">
        <f t="shared" si="113"/>
        <v>0.124704</v>
      </c>
      <c r="BB79" s="387">
        <f t="shared" si="114"/>
        <v>1.0681526556824741</v>
      </c>
      <c r="BC79">
        <f t="shared" si="96"/>
        <v>72</v>
      </c>
      <c r="BD79" s="606">
        <f t="shared" si="107"/>
        <v>0.98538141971761761</v>
      </c>
      <c r="BE79" s="616">
        <f t="shared" si="97"/>
        <v>7.8678721025475546</v>
      </c>
      <c r="BF79" s="616">
        <f t="shared" si="98"/>
        <v>6.6401742047402692</v>
      </c>
      <c r="BG79" s="9"/>
      <c r="BH79" s="4">
        <f t="shared" si="108"/>
        <v>98.53814197176176</v>
      </c>
      <c r="BI79" s="387">
        <f t="shared" si="109"/>
        <v>0.27676466655897464</v>
      </c>
      <c r="BJ79" s="387">
        <f t="shared" si="110"/>
        <v>0.61838597532692674</v>
      </c>
      <c r="BK79" s="387">
        <f t="shared" si="111"/>
        <v>0.10340242166159802</v>
      </c>
      <c r="BL79" s="387">
        <f t="shared" si="112"/>
        <v>3.1325618317581641E-2</v>
      </c>
      <c r="BR79" s="18"/>
      <c r="BS79" s="19"/>
    </row>
    <row r="80" spans="1:71" x14ac:dyDescent="0.2">
      <c r="A80" s="34" t="s">
        <v>49</v>
      </c>
      <c r="B80" s="78" t="e">
        <f>SUM(B77:B79)</f>
        <v>#NAME?</v>
      </c>
      <c r="C80" s="21" t="s">
        <v>2</v>
      </c>
      <c r="G80">
        <v>71</v>
      </c>
      <c r="H80" s="612">
        <f t="shared" si="59"/>
        <v>11.744999999999999</v>
      </c>
      <c r="I80" s="4" t="str">
        <f t="shared" si="60"/>
        <v>BUCK-BST</v>
      </c>
      <c r="J80">
        <f t="shared" si="99"/>
        <v>3</v>
      </c>
      <c r="K80">
        <f t="shared" si="61"/>
        <v>6</v>
      </c>
      <c r="L80" s="4">
        <f t="shared" si="62"/>
        <v>6.3856960408684555</v>
      </c>
      <c r="M80" s="4">
        <f t="shared" si="63"/>
        <v>6.3434066631143597</v>
      </c>
      <c r="N80" s="387">
        <f t="shared" si="64"/>
        <v>0.96640000000000004</v>
      </c>
      <c r="O80" s="387">
        <f t="shared" si="100"/>
        <v>5.4136000000000038E-2</v>
      </c>
      <c r="P80" s="4">
        <f t="shared" si="65"/>
        <v>1.1974368407108509</v>
      </c>
      <c r="Q80" s="387">
        <f t="shared" si="66"/>
        <v>6.3528179581401476</v>
      </c>
      <c r="R80" s="387">
        <f t="shared" si="101"/>
        <v>0.2469333647740635</v>
      </c>
      <c r="S80" s="387">
        <f t="shared" si="67"/>
        <v>1.9173002876662158E-2</v>
      </c>
      <c r="T80" s="387">
        <f t="shared" si="102"/>
        <v>0.26610636765072565</v>
      </c>
      <c r="U80" s="4">
        <f t="shared" si="68"/>
        <v>1.4378034646932776</v>
      </c>
      <c r="V80" s="387">
        <f t="shared" si="103"/>
        <v>1.4470951621587952E-2</v>
      </c>
      <c r="W80" s="387">
        <f t="shared" si="104"/>
        <v>1.4470951621587952E-2</v>
      </c>
      <c r="X80" s="387">
        <f t="shared" si="69"/>
        <v>0.34567024116099243</v>
      </c>
      <c r="Y80" s="387">
        <f t="shared" si="105"/>
        <v>2.3897583124859735E-4</v>
      </c>
      <c r="Z80" s="605">
        <f t="shared" si="106"/>
        <v>2.3897583124859735E-4</v>
      </c>
      <c r="AA80" s="387">
        <f t="shared" si="70"/>
        <v>6.2451787214904071</v>
      </c>
      <c r="AB80" s="387">
        <f t="shared" si="71"/>
        <v>0.22231286640113238</v>
      </c>
      <c r="AC80" s="387">
        <f t="shared" si="72"/>
        <v>2.8325367943979395E-2</v>
      </c>
      <c r="AD80">
        <f t="shared" si="73"/>
        <v>0</v>
      </c>
      <c r="AE80" s="387">
        <f t="shared" si="74"/>
        <v>0.26230080302089037</v>
      </c>
      <c r="AF80" s="387">
        <f t="shared" si="75"/>
        <v>1.1644907667780804</v>
      </c>
      <c r="AG80" s="387">
        <f t="shared" si="76"/>
        <v>7.7294208516949896E-3</v>
      </c>
      <c r="AH80" s="387">
        <f t="shared" si="77"/>
        <v>5.3760000000000002E-2</v>
      </c>
      <c r="AI80" s="387">
        <f t="shared" si="78"/>
        <v>6.1584623546371613E-2</v>
      </c>
      <c r="AJ80" s="387">
        <f t="shared" si="79"/>
        <v>1.478119316143907</v>
      </c>
      <c r="AK80" s="387">
        <f t="shared" si="80"/>
        <v>4.1511897542396894E-3</v>
      </c>
      <c r="AL80" s="387">
        <f t="shared" si="81"/>
        <v>2.6195286713286716E-2</v>
      </c>
      <c r="AM80">
        <f t="shared" si="82"/>
        <v>0</v>
      </c>
      <c r="AN80" s="387">
        <f t="shared" si="83"/>
        <v>3.0371692199021503E-2</v>
      </c>
      <c r="AO80" s="387">
        <f t="shared" si="84"/>
        <v>6.1784673905840295</v>
      </c>
      <c r="AP80" s="387">
        <f t="shared" si="85"/>
        <v>7.2529572663369429E-2</v>
      </c>
      <c r="AQ80" s="387">
        <f t="shared" si="86"/>
        <v>5.7215836526181368E-2</v>
      </c>
      <c r="AR80" s="387">
        <f t="shared" si="87"/>
        <v>0.13165518809585233</v>
      </c>
      <c r="AS80" s="387">
        <f t="shared" si="88"/>
        <v>0</v>
      </c>
      <c r="AT80" s="387">
        <f t="shared" si="89"/>
        <v>0</v>
      </c>
      <c r="AU80" s="387">
        <f t="shared" si="90"/>
        <v>0.12698340479999998</v>
      </c>
      <c r="AV80" s="387">
        <f t="shared" si="91"/>
        <v>2.8327003669353062E-2</v>
      </c>
      <c r="AW80" s="387">
        <f t="shared" si="92"/>
        <v>0</v>
      </c>
      <c r="AX80" s="387">
        <f t="shared" si="93"/>
        <v>3.6000000000000004E-2</v>
      </c>
      <c r="AY80" s="387">
        <f t="shared" si="94"/>
        <v>8.8703999999999991E-2</v>
      </c>
      <c r="AZ80" s="387">
        <f t="shared" si="95"/>
        <v>7.3471999999999996E-2</v>
      </c>
      <c r="BA80" s="387">
        <f t="shared" si="113"/>
        <v>0.124704</v>
      </c>
      <c r="BB80" s="387">
        <f t="shared" si="114"/>
        <v>1.046743010435051</v>
      </c>
      <c r="BC80">
        <f t="shared" si="96"/>
        <v>72</v>
      </c>
      <c r="BD80" s="606">
        <f t="shared" si="107"/>
        <v>0.98567023022114042</v>
      </c>
      <c r="BE80" s="616">
        <f t="shared" si="97"/>
        <v>7.8677548499510737</v>
      </c>
      <c r="BF80" s="616">
        <f t="shared" si="98"/>
        <v>6.5827594047926166</v>
      </c>
      <c r="BG80" s="9"/>
      <c r="BH80" s="4">
        <f t="shared" si="108"/>
        <v>98.567023022114043</v>
      </c>
      <c r="BI80" s="387">
        <f t="shared" si="109"/>
        <v>0.26610636765072565</v>
      </c>
      <c r="BJ80" s="387">
        <f t="shared" si="110"/>
        <v>0.61289571166213586</v>
      </c>
      <c r="BK80" s="387">
        <f t="shared" si="111"/>
        <v>0.10348914713037161</v>
      </c>
      <c r="BL80" s="387">
        <f t="shared" si="112"/>
        <v>2.8327003669353062E-2</v>
      </c>
      <c r="BR80" s="18"/>
      <c r="BS80" s="19"/>
    </row>
    <row r="81" spans="1:71" x14ac:dyDescent="0.2">
      <c r="A81" s="2"/>
      <c r="G81">
        <v>72</v>
      </c>
      <c r="H81" s="612">
        <f t="shared" si="59"/>
        <v>11.84</v>
      </c>
      <c r="I81" s="4" t="str">
        <f t="shared" si="60"/>
        <v>BUCK-BST</v>
      </c>
      <c r="J81">
        <f t="shared" si="99"/>
        <v>3</v>
      </c>
      <c r="K81">
        <f t="shared" si="61"/>
        <v>6</v>
      </c>
      <c r="L81" s="4">
        <f t="shared" si="62"/>
        <v>6.3344594594594605</v>
      </c>
      <c r="M81" s="4">
        <f t="shared" si="63"/>
        <v>6.2925093968140331</v>
      </c>
      <c r="N81" s="387">
        <f t="shared" si="64"/>
        <v>0.96640000000000004</v>
      </c>
      <c r="O81" s="387">
        <f t="shared" si="100"/>
        <v>4.6485333333333344E-2</v>
      </c>
      <c r="P81" s="4">
        <f t="shared" si="65"/>
        <v>1.036672570785071</v>
      </c>
      <c r="Q81" s="387">
        <f t="shared" si="66"/>
        <v>6.2996215767756834</v>
      </c>
      <c r="R81" s="387">
        <f t="shared" si="101"/>
        <v>0.24273523402152383</v>
      </c>
      <c r="S81" s="387">
        <f t="shared" si="67"/>
        <v>1.3754169598161548E-2</v>
      </c>
      <c r="T81" s="387">
        <f t="shared" si="102"/>
        <v>0.25648940361968536</v>
      </c>
      <c r="U81" s="4">
        <f t="shared" si="68"/>
        <v>1.3264322256887666</v>
      </c>
      <c r="V81" s="387">
        <f t="shared" si="103"/>
        <v>1.2315957145419587E-2</v>
      </c>
      <c r="W81" s="387">
        <f t="shared" si="104"/>
        <v>1.2315957145419587E-2</v>
      </c>
      <c r="X81" s="387">
        <f t="shared" si="69"/>
        <v>0.29926159390213108</v>
      </c>
      <c r="Y81" s="387">
        <f t="shared" si="105"/>
        <v>1.7911500316968805E-4</v>
      </c>
      <c r="Z81" s="605">
        <f t="shared" si="106"/>
        <v>1.7911500316968805E-4</v>
      </c>
      <c r="AA81" s="387">
        <f t="shared" si="70"/>
        <v>6.1928836752374368</v>
      </c>
      <c r="AB81" s="387">
        <f t="shared" si="71"/>
        <v>0.21860530682562737</v>
      </c>
      <c r="AC81" s="387">
        <f t="shared" si="72"/>
        <v>2.8325367943979395E-2</v>
      </c>
      <c r="AD81">
        <f t="shared" si="73"/>
        <v>0</v>
      </c>
      <c r="AE81" s="387">
        <f t="shared" si="74"/>
        <v>0.2582203421965038</v>
      </c>
      <c r="AF81" s="387">
        <f t="shared" si="75"/>
        <v>1.1547397090060645</v>
      </c>
      <c r="AG81" s="387">
        <f t="shared" si="76"/>
        <v>7.6005156346658402E-3</v>
      </c>
      <c r="AH81" s="387">
        <f t="shared" si="77"/>
        <v>5.3760000000000002E-2</v>
      </c>
      <c r="AI81" s="387">
        <f t="shared" si="78"/>
        <v>6.1453931948783527E-2</v>
      </c>
      <c r="AJ81" s="387">
        <f t="shared" si="79"/>
        <v>1.3582272410838978</v>
      </c>
      <c r="AK81" s="387">
        <f t="shared" si="80"/>
        <v>3.505084353002516E-3</v>
      </c>
      <c r="AL81" s="387">
        <f t="shared" si="81"/>
        <v>2.6195286713286716E-2</v>
      </c>
      <c r="AM81">
        <f t="shared" si="82"/>
        <v>0</v>
      </c>
      <c r="AN81" s="387">
        <f t="shared" si="83"/>
        <v>2.9721206133203202E-2</v>
      </c>
      <c r="AO81" s="387">
        <f t="shared" si="84"/>
        <v>6.1514592392500953</v>
      </c>
      <c r="AP81" s="387">
        <f t="shared" si="85"/>
        <v>7.1896856467095191E-2</v>
      </c>
      <c r="AQ81" s="387">
        <f t="shared" si="86"/>
        <v>5.6756756756756774E-2</v>
      </c>
      <c r="AR81" s="387">
        <f t="shared" si="87"/>
        <v>0.1305305606201472</v>
      </c>
      <c r="AS81" s="387">
        <f t="shared" si="88"/>
        <v>0</v>
      </c>
      <c r="AT81" s="387">
        <f t="shared" si="89"/>
        <v>0</v>
      </c>
      <c r="AU81" s="387">
        <f t="shared" si="90"/>
        <v>0.12765372479999998</v>
      </c>
      <c r="AV81" s="387">
        <f t="shared" si="91"/>
        <v>2.5425640271822297E-2</v>
      </c>
      <c r="AW81" s="387">
        <f t="shared" si="92"/>
        <v>0</v>
      </c>
      <c r="AX81" s="387">
        <f t="shared" si="93"/>
        <v>3.6000000000000004E-2</v>
      </c>
      <c r="AY81" s="387">
        <f t="shared" si="94"/>
        <v>8.8703999999999991E-2</v>
      </c>
      <c r="AZ81" s="387">
        <f t="shared" si="95"/>
        <v>7.3471999999999996E-2</v>
      </c>
      <c r="BA81" s="387">
        <f t="shared" si="113"/>
        <v>0.124704</v>
      </c>
      <c r="BB81" s="387">
        <f t="shared" si="114"/>
        <v>1.0266938817387345</v>
      </c>
      <c r="BC81">
        <f t="shared" si="96"/>
        <v>72</v>
      </c>
      <c r="BD81" s="606">
        <f t="shared" si="107"/>
        <v>0.98594084125728887</v>
      </c>
      <c r="BE81" s="616">
        <f t="shared" si="97"/>
        <v>7.8687465466601587</v>
      </c>
      <c r="BF81" s="616">
        <f t="shared" si="98"/>
        <v>6.5265280310073601</v>
      </c>
      <c r="BG81" s="9"/>
      <c r="BH81" s="4">
        <f t="shared" si="108"/>
        <v>98.594084125728884</v>
      </c>
      <c r="BI81" s="387">
        <f t="shared" si="109"/>
        <v>0.25648940361968536</v>
      </c>
      <c r="BJ81" s="387">
        <f t="shared" si="110"/>
        <v>0.6075797656986377</v>
      </c>
      <c r="BK81" s="387">
        <f t="shared" si="111"/>
        <v>0.10357966113278352</v>
      </c>
      <c r="BL81" s="387">
        <f t="shared" si="112"/>
        <v>2.5425640271822297E-2</v>
      </c>
      <c r="BR81" s="18"/>
      <c r="BS81" s="19"/>
    </row>
    <row r="82" spans="1:71" x14ac:dyDescent="0.2">
      <c r="A82" s="2"/>
      <c r="G82">
        <v>73</v>
      </c>
      <c r="H82" s="612">
        <f t="shared" si="59"/>
        <v>11.934999999999999</v>
      </c>
      <c r="I82" s="4" t="str">
        <f t="shared" si="60"/>
        <v>BUCK-BST</v>
      </c>
      <c r="J82">
        <f t="shared" si="99"/>
        <v>3</v>
      </c>
      <c r="K82">
        <f t="shared" si="61"/>
        <v>6</v>
      </c>
      <c r="L82" s="4">
        <f t="shared" si="62"/>
        <v>6.28403854210306</v>
      </c>
      <c r="M82" s="4">
        <f t="shared" si="63"/>
        <v>6.2424223928176081</v>
      </c>
      <c r="N82" s="387">
        <f t="shared" si="64"/>
        <v>0.96640000000000004</v>
      </c>
      <c r="O82" s="387">
        <f t="shared" si="100"/>
        <v>3.8834666666666795E-2</v>
      </c>
      <c r="P82" s="4">
        <f t="shared" si="65"/>
        <v>0.87312221475537533</v>
      </c>
      <c r="Q82" s="387">
        <f t="shared" si="66"/>
        <v>6.2475087726102734</v>
      </c>
      <c r="R82" s="387">
        <f t="shared" si="101"/>
        <v>0.2386594940775599</v>
      </c>
      <c r="S82" s="387">
        <f t="shared" si="67"/>
        <v>9.2604693502233229E-3</v>
      </c>
      <c r="T82" s="387">
        <f t="shared" si="102"/>
        <v>0.24791996342778322</v>
      </c>
      <c r="U82" s="4">
        <f t="shared" si="68"/>
        <v>1.2071044473266823</v>
      </c>
      <c r="V82" s="387">
        <f t="shared" si="103"/>
        <v>1.0199708027290987E-2</v>
      </c>
      <c r="W82" s="387">
        <f t="shared" si="104"/>
        <v>1.0199708027290987E-2</v>
      </c>
      <c r="X82" s="387">
        <f t="shared" si="69"/>
        <v>0.2520486728622291</v>
      </c>
      <c r="Y82" s="387">
        <f t="shared" si="105"/>
        <v>1.2705706698322197E-4</v>
      </c>
      <c r="Z82" s="605">
        <f t="shared" si="106"/>
        <v>1.2705706698322197E-4</v>
      </c>
      <c r="AA82" s="387">
        <f t="shared" si="70"/>
        <v>6.1416538465479498</v>
      </c>
      <c r="AB82" s="387">
        <f t="shared" si="71"/>
        <v>0.21500349823365822</v>
      </c>
      <c r="AC82" s="387">
        <f t="shared" si="72"/>
        <v>2.8325367943979395E-2</v>
      </c>
      <c r="AD82">
        <f t="shared" si="73"/>
        <v>0</v>
      </c>
      <c r="AE82" s="387">
        <f t="shared" si="74"/>
        <v>0.25426232400359622</v>
      </c>
      <c r="AF82" s="387">
        <f t="shared" si="75"/>
        <v>1.1451872742154885</v>
      </c>
      <c r="AG82" s="387">
        <f t="shared" si="76"/>
        <v>7.4752871902430736E-3</v>
      </c>
      <c r="AH82" s="387">
        <f t="shared" si="77"/>
        <v>5.3760000000000002E-2</v>
      </c>
      <c r="AI82" s="387">
        <f t="shared" si="78"/>
        <v>6.1326974539681646E-2</v>
      </c>
      <c r="AJ82" s="387">
        <f t="shared" si="79"/>
        <v>1.2311661475475328</v>
      </c>
      <c r="AK82" s="387">
        <f t="shared" si="80"/>
        <v>2.8799631574473634E-3</v>
      </c>
      <c r="AL82" s="387">
        <f t="shared" si="81"/>
        <v>2.6195286713286716E-2</v>
      </c>
      <c r="AM82">
        <f t="shared" si="82"/>
        <v>0</v>
      </c>
      <c r="AN82" s="387">
        <f t="shared" si="83"/>
        <v>2.9092006652200988E-2</v>
      </c>
      <c r="AO82" s="387">
        <f t="shared" si="84"/>
        <v>6.1249976147730285</v>
      </c>
      <c r="AP82" s="387">
        <f t="shared" si="85"/>
        <v>7.1279631983853051E-2</v>
      </c>
      <c r="AQ82" s="387">
        <f t="shared" si="86"/>
        <v>5.6304985337243423E-2</v>
      </c>
      <c r="AR82" s="387">
        <f t="shared" si="87"/>
        <v>0.12942975843083832</v>
      </c>
      <c r="AS82" s="387">
        <f t="shared" si="88"/>
        <v>0</v>
      </c>
      <c r="AT82" s="387">
        <f t="shared" si="89"/>
        <v>0</v>
      </c>
      <c r="AU82" s="387">
        <f t="shared" si="90"/>
        <v>0.12832404479999998</v>
      </c>
      <c r="AV82" s="387">
        <f t="shared" si="91"/>
        <v>2.2617791807137071E-2</v>
      </c>
      <c r="AW82" s="387">
        <f t="shared" si="92"/>
        <v>0</v>
      </c>
      <c r="AX82" s="387">
        <f t="shared" si="93"/>
        <v>3.6000000000000004E-2</v>
      </c>
      <c r="AY82" s="387">
        <f t="shared" si="94"/>
        <v>8.8703999999999991E-2</v>
      </c>
      <c r="AZ82" s="387">
        <f t="shared" si="95"/>
        <v>7.3471999999999996E-2</v>
      </c>
      <c r="BA82" s="387">
        <f t="shared" si="113"/>
        <v>0.124704</v>
      </c>
      <c r="BB82" s="387">
        <f t="shared" si="114"/>
        <v>1.0080036287555116</v>
      </c>
      <c r="BC82">
        <f t="shared" si="96"/>
        <v>72</v>
      </c>
      <c r="BD82" s="606">
        <f t="shared" si="107"/>
        <v>0.98619324486831339</v>
      </c>
      <c r="BE82" s="616">
        <f t="shared" si="97"/>
        <v>7.8708025726100486</v>
      </c>
      <c r="BF82" s="616">
        <f t="shared" si="98"/>
        <v>6.4714879215419154</v>
      </c>
      <c r="BG82" s="9"/>
      <c r="BH82" s="4">
        <f t="shared" si="108"/>
        <v>98.619324486831346</v>
      </c>
      <c r="BI82" s="387">
        <f t="shared" si="109"/>
        <v>0.24791996342778322</v>
      </c>
      <c r="BJ82" s="387">
        <f t="shared" si="110"/>
        <v>0.60243510842631709</v>
      </c>
      <c r="BK82" s="387">
        <f t="shared" si="111"/>
        <v>0.10367390932368165</v>
      </c>
      <c r="BL82" s="387">
        <f t="shared" si="112"/>
        <v>2.2617791807137071E-2</v>
      </c>
      <c r="BR82" s="18"/>
      <c r="BS82" s="19"/>
    </row>
    <row r="83" spans="1:71" x14ac:dyDescent="0.2">
      <c r="A83" s="2"/>
      <c r="G83">
        <v>74</v>
      </c>
      <c r="H83" s="612">
        <f t="shared" si="59"/>
        <v>12.030000000000001</v>
      </c>
      <c r="I83" s="4" t="str">
        <f t="shared" si="60"/>
        <v>BUCK-BST</v>
      </c>
      <c r="J83">
        <f t="shared" si="99"/>
        <v>3</v>
      </c>
      <c r="K83">
        <f t="shared" si="61"/>
        <v>6</v>
      </c>
      <c r="L83" s="4">
        <f t="shared" si="62"/>
        <v>6.2344139650872821</v>
      </c>
      <c r="M83" s="4">
        <f t="shared" si="63"/>
        <v>6.2086092715231782</v>
      </c>
      <c r="N83" s="387">
        <f t="shared" si="64"/>
        <v>0.96399002493765584</v>
      </c>
      <c r="O83" s="387">
        <f t="shared" si="100"/>
        <v>3.3599999999999998E-2</v>
      </c>
      <c r="P83" s="4">
        <f t="shared" si="65"/>
        <v>0</v>
      </c>
      <c r="Q83" s="387">
        <f t="shared" si="66"/>
        <v>6.2086092715231782</v>
      </c>
      <c r="R83" s="387">
        <f t="shared" si="101"/>
        <v>0.23564091536197238</v>
      </c>
      <c r="S83" s="387">
        <f t="shared" si="67"/>
        <v>0</v>
      </c>
      <c r="T83" s="387">
        <f t="shared" si="102"/>
        <v>0.23564091536197238</v>
      </c>
      <c r="U83" s="4">
        <f t="shared" si="68"/>
        <v>0</v>
      </c>
      <c r="V83" s="387">
        <f t="shared" si="103"/>
        <v>0</v>
      </c>
      <c r="W83" s="387">
        <f t="shared" si="104"/>
        <v>0</v>
      </c>
      <c r="X83" s="387">
        <f t="shared" si="69"/>
        <v>1.1178896382473211</v>
      </c>
      <c r="Y83" s="387">
        <f t="shared" si="105"/>
        <v>2.4993544866014532E-3</v>
      </c>
      <c r="Z83" s="605">
        <f t="shared" si="106"/>
        <v>2.4993544866014532E-3</v>
      </c>
      <c r="AA83" s="387">
        <f t="shared" si="70"/>
        <v>6.0957984491211894</v>
      </c>
      <c r="AB83" s="387">
        <f t="shared" si="71"/>
        <v>0.21180492477415733</v>
      </c>
      <c r="AC83" s="387">
        <f t="shared" si="72"/>
        <v>2.8396181363839344E-2</v>
      </c>
      <c r="AD83">
        <f t="shared" si="73"/>
        <v>0</v>
      </c>
      <c r="AE83" s="387">
        <f t="shared" si="74"/>
        <v>0.25082635770292544</v>
      </c>
      <c r="AF83" s="387">
        <f t="shared" si="75"/>
        <v>1.1781639759113649</v>
      </c>
      <c r="AG83" s="387">
        <f t="shared" si="76"/>
        <v>7.9120010185710684E-3</v>
      </c>
      <c r="AH83" s="387">
        <f t="shared" si="77"/>
        <v>5.3760000000000002E-2</v>
      </c>
      <c r="AI83" s="387">
        <f t="shared" si="78"/>
        <v>6.1769745476396298E-2</v>
      </c>
      <c r="AJ83" s="387">
        <f t="shared" si="79"/>
        <v>1.138056877886384</v>
      </c>
      <c r="AK83" s="387">
        <f t="shared" si="80"/>
        <v>2.4608295688785574E-3</v>
      </c>
      <c r="AL83" s="387">
        <f t="shared" si="81"/>
        <v>2.6195286713286716E-2</v>
      </c>
      <c r="AM83">
        <f t="shared" si="82"/>
        <v>0</v>
      </c>
      <c r="AN83" s="387">
        <f t="shared" si="83"/>
        <v>2.8670226790531793E-2</v>
      </c>
      <c r="AO83" s="387">
        <f t="shared" si="84"/>
        <v>6.1034134407836955</v>
      </c>
      <c r="AP83" s="387">
        <f t="shared" si="85"/>
        <v>7.0778145695364225E-2</v>
      </c>
      <c r="AQ83" s="387">
        <f t="shared" si="86"/>
        <v>5.5860349127182053E-2</v>
      </c>
      <c r="AR83" s="387">
        <f t="shared" si="87"/>
        <v>0.12845688281605164</v>
      </c>
      <c r="AS83" s="387">
        <f t="shared" si="88"/>
        <v>0</v>
      </c>
      <c r="AT83" s="387">
        <f t="shared" si="89"/>
        <v>0</v>
      </c>
      <c r="AU83" s="387">
        <f t="shared" si="90"/>
        <v>0.12899436480000001</v>
      </c>
      <c r="AV83" s="387">
        <f t="shared" si="91"/>
        <v>2.1465950491518237E-2</v>
      </c>
      <c r="AW83" s="387">
        <f t="shared" si="92"/>
        <v>0</v>
      </c>
      <c r="AX83" s="387">
        <f t="shared" si="93"/>
        <v>3.6000000000000004E-2</v>
      </c>
      <c r="AY83" s="387">
        <f t="shared" si="94"/>
        <v>8.8703999999999991E-2</v>
      </c>
      <c r="AZ83" s="387">
        <f t="shared" si="95"/>
        <v>7.3471999999999996E-2</v>
      </c>
      <c r="BA83" s="387">
        <f t="shared" si="113"/>
        <v>0.124704</v>
      </c>
      <c r="BB83" s="387">
        <f t="shared" si="114"/>
        <v>0.98302779792599726</v>
      </c>
      <c r="BC83">
        <f t="shared" si="96"/>
        <v>72</v>
      </c>
      <c r="BD83" s="606">
        <f t="shared" si="107"/>
        <v>0.98653073423251514</v>
      </c>
      <c r="BE83" s="616">
        <f t="shared" si="97"/>
        <v>18.99103612514627</v>
      </c>
      <c r="BF83" s="616">
        <f t="shared" si="98"/>
        <v>3.088487273819815</v>
      </c>
      <c r="BG83" s="9"/>
      <c r="BH83" s="4">
        <f t="shared" si="108"/>
        <v>98.653073423251513</v>
      </c>
      <c r="BI83" s="387">
        <f t="shared" si="109"/>
        <v>0.23564091536197238</v>
      </c>
      <c r="BJ83" s="387">
        <f t="shared" si="110"/>
        <v>0.59871757758590516</v>
      </c>
      <c r="BK83" s="387">
        <f t="shared" si="111"/>
        <v>0.1043378858603963</v>
      </c>
      <c r="BL83" s="387">
        <f t="shared" si="112"/>
        <v>2.1465950491518237E-2</v>
      </c>
      <c r="BR83" s="18"/>
      <c r="BS83" s="19"/>
    </row>
    <row r="84" spans="1:71" x14ac:dyDescent="0.2">
      <c r="G84">
        <v>75</v>
      </c>
      <c r="H84" s="612">
        <f t="shared" si="59"/>
        <v>12.125</v>
      </c>
      <c r="I84" s="4" t="str">
        <f t="shared" si="60"/>
        <v>BUCK-BST</v>
      </c>
      <c r="J84">
        <f t="shared" si="99"/>
        <v>3</v>
      </c>
      <c r="K84">
        <f t="shared" si="61"/>
        <v>6</v>
      </c>
      <c r="L84" s="4">
        <f t="shared" si="62"/>
        <v>6.1855670103092786</v>
      </c>
      <c r="M84" s="4">
        <f t="shared" si="63"/>
        <v>6.2086092715231782</v>
      </c>
      <c r="N84" s="387">
        <f t="shared" si="64"/>
        <v>0.95643711340206194</v>
      </c>
      <c r="O84" s="387">
        <f t="shared" si="100"/>
        <v>3.3599999999999998E-2</v>
      </c>
      <c r="P84" s="4">
        <f t="shared" si="65"/>
        <v>9.9568301319211946E-2</v>
      </c>
      <c r="Q84" s="387">
        <f t="shared" si="66"/>
        <v>6.2086758040929473</v>
      </c>
      <c r="R84" s="387">
        <f t="shared" si="101"/>
        <v>0.23564606093754098</v>
      </c>
      <c r="S84" s="387">
        <f t="shared" si="67"/>
        <v>6.2239646965483653E-5</v>
      </c>
      <c r="T84" s="387">
        <f t="shared" si="102"/>
        <v>0.23570830058450645</v>
      </c>
      <c r="U84" s="4">
        <f t="shared" si="68"/>
        <v>2.8742892784700394E-2</v>
      </c>
      <c r="V84" s="387">
        <f t="shared" si="103"/>
        <v>5.7830771994294742E-6</v>
      </c>
      <c r="W84" s="387">
        <f t="shared" si="104"/>
        <v>5.7830771994294742E-6</v>
      </c>
      <c r="X84" s="387">
        <f t="shared" si="69"/>
        <v>1.2247368028135812</v>
      </c>
      <c r="Y84" s="387">
        <f t="shared" si="105"/>
        <v>2.9999604723320657E-3</v>
      </c>
      <c r="Z84" s="605">
        <f t="shared" si="106"/>
        <v>2.9999604723320657E-3</v>
      </c>
      <c r="AA84" s="387">
        <f t="shared" si="70"/>
        <v>6.0719361085635883</v>
      </c>
      <c r="AB84" s="387">
        <f t="shared" si="71"/>
        <v>0.21014992620692652</v>
      </c>
      <c r="AC84" s="387">
        <f t="shared" si="72"/>
        <v>2.862042386006251E-2</v>
      </c>
      <c r="AD84">
        <f t="shared" si="73"/>
        <v>0</v>
      </c>
      <c r="AE84" s="387">
        <f t="shared" si="74"/>
        <v>0.24924616260265034</v>
      </c>
      <c r="AF84" s="387">
        <f t="shared" si="75"/>
        <v>1.2958576827147625</v>
      </c>
      <c r="AG84" s="387">
        <f t="shared" si="76"/>
        <v>9.5717086629499831E-3</v>
      </c>
      <c r="AH84" s="387">
        <f t="shared" si="77"/>
        <v>5.3760000000000002E-2</v>
      </c>
      <c r="AI84" s="387">
        <f t="shared" si="78"/>
        <v>6.3453179732978357E-2</v>
      </c>
      <c r="AJ84" s="387">
        <f t="shared" si="79"/>
        <v>1.1380690735078698</v>
      </c>
      <c r="AK84" s="387">
        <f t="shared" si="80"/>
        <v>2.4608823105426165E-3</v>
      </c>
      <c r="AL84" s="387">
        <f t="shared" si="81"/>
        <v>2.6195286713286716E-2</v>
      </c>
      <c r="AM84">
        <f t="shared" si="82"/>
        <v>0</v>
      </c>
      <c r="AN84" s="387">
        <f t="shared" si="83"/>
        <v>2.8670279860738852E-2</v>
      </c>
      <c r="AO84" s="387">
        <f t="shared" si="84"/>
        <v>6.1034788460560874</v>
      </c>
      <c r="AP84" s="387">
        <f t="shared" si="85"/>
        <v>7.0779662646082889E-2</v>
      </c>
      <c r="AQ84" s="387">
        <f t="shared" si="86"/>
        <v>5.5422680412371139E-2</v>
      </c>
      <c r="AR84" s="387">
        <f t="shared" si="87"/>
        <v>0.12801450779354023</v>
      </c>
      <c r="AS84" s="387">
        <f t="shared" si="88"/>
        <v>0</v>
      </c>
      <c r="AT84" s="387">
        <f t="shared" si="89"/>
        <v>0</v>
      </c>
      <c r="AU84" s="387">
        <f t="shared" si="90"/>
        <v>0.12966468479999999</v>
      </c>
      <c r="AV84" s="387">
        <f t="shared" si="91"/>
        <v>2.3795586799407482E-2</v>
      </c>
      <c r="AW84" s="387">
        <f t="shared" si="92"/>
        <v>0</v>
      </c>
      <c r="AX84" s="387">
        <f t="shared" si="93"/>
        <v>3.6000000000000004E-2</v>
      </c>
      <c r="AY84" s="387">
        <f t="shared" si="94"/>
        <v>8.8703999999999991E-2</v>
      </c>
      <c r="AZ84" s="387">
        <f t="shared" si="95"/>
        <v>7.3471999999999996E-2</v>
      </c>
      <c r="BA84" s="387">
        <f t="shared" si="113"/>
        <v>0.124704</v>
      </c>
      <c r="BB84" s="387">
        <f t="shared" si="114"/>
        <v>0.98626244572335342</v>
      </c>
      <c r="BC84">
        <f t="shared" si="96"/>
        <v>72</v>
      </c>
      <c r="BD84" s="606">
        <f t="shared" si="107"/>
        <v>0.98648701258737836</v>
      </c>
      <c r="BE84" s="616">
        <f t="shared" si="97"/>
        <v>18.945542370132518</v>
      </c>
      <c r="BF84" s="616">
        <f t="shared" si="98"/>
        <v>3.1726589866489179</v>
      </c>
      <c r="BG84" s="9"/>
      <c r="BH84" s="4">
        <f t="shared" si="108"/>
        <v>98.64870125873783</v>
      </c>
      <c r="BI84" s="387">
        <f t="shared" si="109"/>
        <v>0.23570830058450645</v>
      </c>
      <c r="BJ84" s="387">
        <f t="shared" si="110"/>
        <v>0.59904881478990779</v>
      </c>
      <c r="BK84" s="387">
        <f t="shared" si="111"/>
        <v>0.10624252571697836</v>
      </c>
      <c r="BL84" s="387">
        <f t="shared" si="112"/>
        <v>2.3795586799407482E-2</v>
      </c>
      <c r="BR84" s="18"/>
      <c r="BS84" s="19"/>
    </row>
    <row r="85" spans="1:71" x14ac:dyDescent="0.2">
      <c r="G85">
        <v>76</v>
      </c>
      <c r="H85" s="612">
        <f t="shared" si="59"/>
        <v>12.219999999999999</v>
      </c>
      <c r="I85" s="4" t="str">
        <f t="shared" si="60"/>
        <v>BUCK-BST</v>
      </c>
      <c r="J85">
        <f t="shared" si="99"/>
        <v>3</v>
      </c>
      <c r="K85">
        <f t="shared" si="61"/>
        <v>6</v>
      </c>
      <c r="L85" s="4">
        <f t="shared" si="62"/>
        <v>6.1374795417348622</v>
      </c>
      <c r="M85" s="4">
        <f t="shared" si="63"/>
        <v>6.2086092715231782</v>
      </c>
      <c r="N85" s="387">
        <f t="shared" si="64"/>
        <v>0.94900163666121129</v>
      </c>
      <c r="O85" s="387">
        <f t="shared" si="100"/>
        <v>3.3599999999999998E-2</v>
      </c>
      <c r="P85" s="4">
        <f t="shared" si="65"/>
        <v>0.27006163596475785</v>
      </c>
      <c r="Q85" s="387">
        <f t="shared" si="66"/>
        <v>6.2090987156252053</v>
      </c>
      <c r="R85" s="387">
        <f t="shared" si="101"/>
        <v>0.23567876996259293</v>
      </c>
      <c r="S85" s="387">
        <f t="shared" si="67"/>
        <v>6.2013553663743236E-4</v>
      </c>
      <c r="T85" s="387">
        <f t="shared" si="102"/>
        <v>0.23629890549923036</v>
      </c>
      <c r="U85" s="4">
        <f t="shared" si="68"/>
        <v>7.7960079111021832E-2</v>
      </c>
      <c r="V85" s="387">
        <f t="shared" si="103"/>
        <v>4.254441754497748E-5</v>
      </c>
      <c r="W85" s="387">
        <f t="shared" si="104"/>
        <v>4.254441754497748E-5</v>
      </c>
      <c r="X85" s="387">
        <f t="shared" si="69"/>
        <v>1.3200777398198775</v>
      </c>
      <c r="Y85" s="387">
        <f t="shared" si="105"/>
        <v>3.4852104783359129E-3</v>
      </c>
      <c r="Z85" s="605">
        <f t="shared" si="106"/>
        <v>3.4852104783359129E-3</v>
      </c>
      <c r="AA85" s="387">
        <f t="shared" si="70"/>
        <v>6.0487000015330983</v>
      </c>
      <c r="AB85" s="387">
        <f t="shared" si="71"/>
        <v>0.20854459873871506</v>
      </c>
      <c r="AC85" s="387">
        <f t="shared" si="72"/>
        <v>2.8844666356285676E-2</v>
      </c>
      <c r="AD85">
        <f t="shared" si="73"/>
        <v>0</v>
      </c>
      <c r="AE85" s="387">
        <f t="shared" si="74"/>
        <v>0.24772145957208669</v>
      </c>
      <c r="AF85" s="387">
        <f t="shared" si="75"/>
        <v>1.4021894136785038</v>
      </c>
      <c r="AG85" s="387">
        <f t="shared" si="76"/>
        <v>1.1206970365442779E-2</v>
      </c>
      <c r="AH85" s="387">
        <f t="shared" si="77"/>
        <v>5.3760000000000002E-2</v>
      </c>
      <c r="AI85" s="387">
        <f t="shared" si="78"/>
        <v>6.5112914065109842E-2</v>
      </c>
      <c r="AJ85" s="387">
        <f t="shared" si="79"/>
        <v>1.1381465944722235</v>
      </c>
      <c r="AK85" s="387">
        <f t="shared" si="80"/>
        <v>2.4612175739665682E-3</v>
      </c>
      <c r="AL85" s="387">
        <f t="shared" si="81"/>
        <v>2.6195286713286716E-2</v>
      </c>
      <c r="AM85">
        <f t="shared" si="82"/>
        <v>0</v>
      </c>
      <c r="AN85" s="387">
        <f t="shared" si="83"/>
        <v>2.8670617212641327E-2</v>
      </c>
      <c r="AO85" s="387">
        <f t="shared" si="84"/>
        <v>6.1038945919691185</v>
      </c>
      <c r="AP85" s="387">
        <f t="shared" si="85"/>
        <v>7.0789305460752711E-2</v>
      </c>
      <c r="AQ85" s="387">
        <f t="shared" si="86"/>
        <v>5.4991816693944373E-2</v>
      </c>
      <c r="AR85" s="387">
        <f t="shared" si="87"/>
        <v>0.12758748808814546</v>
      </c>
      <c r="AS85" s="387">
        <f t="shared" si="88"/>
        <v>0</v>
      </c>
      <c r="AT85" s="387">
        <f t="shared" si="89"/>
        <v>0</v>
      </c>
      <c r="AU85" s="387">
        <f t="shared" si="90"/>
        <v>0.13033500479999999</v>
      </c>
      <c r="AV85" s="387">
        <f t="shared" si="91"/>
        <v>2.6092102578726292E-2</v>
      </c>
      <c r="AW85" s="387">
        <f t="shared" si="92"/>
        <v>0</v>
      </c>
      <c r="AX85" s="387">
        <f t="shared" si="93"/>
        <v>3.6000000000000004E-2</v>
      </c>
      <c r="AY85" s="387">
        <f t="shared" si="94"/>
        <v>8.8703999999999991E-2</v>
      </c>
      <c r="AZ85" s="387">
        <f t="shared" si="95"/>
        <v>7.3471999999999996E-2</v>
      </c>
      <c r="BA85" s="387">
        <f t="shared" si="113"/>
        <v>0.124704</v>
      </c>
      <c r="BB85" s="387">
        <f t="shared" si="114"/>
        <v>0.99005024671182085</v>
      </c>
      <c r="BC85">
        <f t="shared" si="96"/>
        <v>72</v>
      </c>
      <c r="BD85" s="606">
        <f t="shared" si="107"/>
        <v>0.98643581908266442</v>
      </c>
      <c r="BE85" s="616">
        <f t="shared" si="97"/>
        <v>18.902823218604333</v>
      </c>
      <c r="BF85" s="616">
        <f t="shared" si="98"/>
        <v>3.255645703255492</v>
      </c>
      <c r="BG85" s="9"/>
      <c r="BH85" s="4">
        <f t="shared" si="108"/>
        <v>98.643581908266441</v>
      </c>
      <c r="BI85" s="387">
        <f t="shared" si="109"/>
        <v>0.23629890549923036</v>
      </c>
      <c r="BJ85" s="387">
        <f t="shared" si="110"/>
        <v>0.59942748373798327</v>
      </c>
      <c r="BK85" s="387">
        <f t="shared" si="111"/>
        <v>0.10812346564910984</v>
      </c>
      <c r="BL85" s="387">
        <f t="shared" si="112"/>
        <v>2.6092102578726292E-2</v>
      </c>
      <c r="BR85" s="18"/>
      <c r="BS85" s="19"/>
    </row>
    <row r="86" spans="1:71" x14ac:dyDescent="0.2">
      <c r="G86">
        <v>77</v>
      </c>
      <c r="H86" s="612">
        <f t="shared" si="59"/>
        <v>12.315000000000001</v>
      </c>
      <c r="I86" s="4" t="str">
        <f t="shared" si="60"/>
        <v>BUCK-BST</v>
      </c>
      <c r="J86">
        <f t="shared" si="99"/>
        <v>3</v>
      </c>
      <c r="K86">
        <f t="shared" si="61"/>
        <v>6</v>
      </c>
      <c r="L86" s="4">
        <f t="shared" si="62"/>
        <v>6.0901339829476244</v>
      </c>
      <c r="M86" s="4">
        <f t="shared" si="63"/>
        <v>6.2086092715231782</v>
      </c>
      <c r="N86" s="387">
        <f t="shared" si="64"/>
        <v>0.94168087697929348</v>
      </c>
      <c r="O86" s="387">
        <f t="shared" si="100"/>
        <v>3.3599999999999998E-2</v>
      </c>
      <c r="P86" s="4">
        <f t="shared" si="65"/>
        <v>0.43792454157395977</v>
      </c>
      <c r="Q86" s="387">
        <f t="shared" si="66"/>
        <v>6.209896180972188</v>
      </c>
      <c r="R86" s="387">
        <f t="shared" si="101"/>
        <v>0.2357404544257736</v>
      </c>
      <c r="S86" s="387">
        <f t="shared" si="67"/>
        <v>1.8887742849812033E-3</v>
      </c>
      <c r="T86" s="387">
        <f t="shared" si="102"/>
        <v>0.23762922871075481</v>
      </c>
      <c r="U86" s="4">
        <f t="shared" si="68"/>
        <v>0.12641792598123458</v>
      </c>
      <c r="V86" s="387">
        <f t="shared" si="103"/>
        <v>1.1187044406577836E-4</v>
      </c>
      <c r="W86" s="387">
        <f t="shared" si="104"/>
        <v>1.1187044406577836E-4</v>
      </c>
      <c r="X86" s="387">
        <f t="shared" si="69"/>
        <v>1.4063874915589838</v>
      </c>
      <c r="Y86" s="387">
        <f t="shared" si="105"/>
        <v>3.9558515528271415E-3</v>
      </c>
      <c r="Z86" s="605">
        <f t="shared" si="106"/>
        <v>3.9558515528271415E-3</v>
      </c>
      <c r="AA86" s="387">
        <f t="shared" si="70"/>
        <v>6.0260983467168847</v>
      </c>
      <c r="AB86" s="387">
        <f t="shared" si="71"/>
        <v>0.20698900932053263</v>
      </c>
      <c r="AC86" s="387">
        <f t="shared" si="72"/>
        <v>2.906890885250886E-2</v>
      </c>
      <c r="AD86">
        <f t="shared" si="73"/>
        <v>0</v>
      </c>
      <c r="AE86" s="387">
        <f t="shared" si="74"/>
        <v>0.24625221873273595</v>
      </c>
      <c r="AF86" s="387">
        <f t="shared" si="75"/>
        <v>1.4996497238185327</v>
      </c>
      <c r="AG86" s="387">
        <f t="shared" si="76"/>
        <v>1.2819010976649307E-2</v>
      </c>
      <c r="AH86" s="387">
        <f t="shared" si="77"/>
        <v>5.3760000000000002E-2</v>
      </c>
      <c r="AI86" s="387">
        <f t="shared" si="78"/>
        <v>6.675014514531144E-2</v>
      </c>
      <c r="AJ86" s="387">
        <f t="shared" si="79"/>
        <v>1.1382927722848897</v>
      </c>
      <c r="AK86" s="387">
        <f t="shared" si="80"/>
        <v>2.4618498273284374E-3</v>
      </c>
      <c r="AL86" s="387">
        <f t="shared" si="81"/>
        <v>2.6195286713286716E-2</v>
      </c>
      <c r="AM86">
        <f t="shared" si="82"/>
        <v>0</v>
      </c>
      <c r="AN86" s="387">
        <f t="shared" si="83"/>
        <v>2.8671253404663866E-2</v>
      </c>
      <c r="AO86" s="387">
        <f t="shared" si="84"/>
        <v>6.1046785454286576</v>
      </c>
      <c r="AP86" s="387">
        <f t="shared" si="85"/>
        <v>7.0807490271732207E-2</v>
      </c>
      <c r="AQ86" s="387">
        <f t="shared" si="86"/>
        <v>5.4567600487210724E-2</v>
      </c>
      <c r="AR86" s="387">
        <f t="shared" si="87"/>
        <v>0.12717609477769665</v>
      </c>
      <c r="AS86" s="387">
        <f t="shared" si="88"/>
        <v>0</v>
      </c>
      <c r="AT86" s="387">
        <f t="shared" si="89"/>
        <v>0</v>
      </c>
      <c r="AU86" s="387">
        <f t="shared" si="90"/>
        <v>0.13100532479999999</v>
      </c>
      <c r="AV86" s="387">
        <f t="shared" si="91"/>
        <v>2.835727783668017E-2</v>
      </c>
      <c r="AW86" s="387">
        <f t="shared" si="92"/>
        <v>0</v>
      </c>
      <c r="AX86" s="387">
        <f t="shared" si="93"/>
        <v>3.6000000000000004E-2</v>
      </c>
      <c r="AY86" s="387">
        <f t="shared" si="94"/>
        <v>8.8703999999999991E-2</v>
      </c>
      <c r="AZ86" s="387">
        <f t="shared" si="95"/>
        <v>7.3471999999999996E-2</v>
      </c>
      <c r="BA86" s="387">
        <f t="shared" si="113"/>
        <v>0.124704</v>
      </c>
      <c r="BB86" s="387">
        <f t="shared" si="114"/>
        <v>0.99461326540473571</v>
      </c>
      <c r="BC86">
        <f t="shared" si="96"/>
        <v>72</v>
      </c>
      <c r="BD86" s="606">
        <f t="shared" si="107"/>
        <v>0.9863741552847417</v>
      </c>
      <c r="BE86" s="616">
        <f t="shared" si="97"/>
        <v>18.862877176636797</v>
      </c>
      <c r="BF86" s="616">
        <f t="shared" si="98"/>
        <v>3.337507257265572</v>
      </c>
      <c r="BG86" s="9"/>
      <c r="BH86" s="4">
        <f t="shared" si="108"/>
        <v>98.637415528474165</v>
      </c>
      <c r="BI86" s="387">
        <f t="shared" si="109"/>
        <v>0.23762922871075481</v>
      </c>
      <c r="BJ86" s="387">
        <f t="shared" si="110"/>
        <v>0.59985503686040786</v>
      </c>
      <c r="BK86" s="387">
        <f t="shared" si="111"/>
        <v>0.10998190232931143</v>
      </c>
      <c r="BL86" s="387">
        <f t="shared" si="112"/>
        <v>2.835727783668017E-2</v>
      </c>
      <c r="BR86" s="18"/>
      <c r="BS86" s="19"/>
    </row>
    <row r="87" spans="1:71" x14ac:dyDescent="0.2">
      <c r="G87">
        <v>78</v>
      </c>
      <c r="H87" s="612">
        <f t="shared" si="59"/>
        <v>12.41</v>
      </c>
      <c r="I87" s="4" t="str">
        <f t="shared" si="60"/>
        <v>BUCK-BST</v>
      </c>
      <c r="J87">
        <f t="shared" si="99"/>
        <v>3</v>
      </c>
      <c r="K87">
        <f t="shared" si="61"/>
        <v>6</v>
      </c>
      <c r="L87" s="4">
        <f t="shared" si="62"/>
        <v>6.0435132957292508</v>
      </c>
      <c r="M87" s="4">
        <f t="shared" si="63"/>
        <v>6.2086092715231782</v>
      </c>
      <c r="N87" s="387">
        <f t="shared" si="64"/>
        <v>0.93447219983883967</v>
      </c>
      <c r="O87" s="387">
        <f t="shared" si="100"/>
        <v>3.3599999999999998E-2</v>
      </c>
      <c r="P87" s="4">
        <f t="shared" si="65"/>
        <v>0.60321742687165281</v>
      </c>
      <c r="Q87" s="387">
        <f t="shared" si="66"/>
        <v>6.2110507719534631</v>
      </c>
      <c r="R87" s="387">
        <f t="shared" si="101"/>
        <v>0.23582977788587495</v>
      </c>
      <c r="S87" s="387">
        <f t="shared" si="67"/>
        <v>3.9500985413699731E-3</v>
      </c>
      <c r="T87" s="387">
        <f t="shared" si="102"/>
        <v>0.23977987642724491</v>
      </c>
      <c r="U87" s="4">
        <f t="shared" si="68"/>
        <v>0.17413387189211108</v>
      </c>
      <c r="V87" s="387">
        <f t="shared" si="103"/>
        <v>2.1225823738096707E-4</v>
      </c>
      <c r="W87" s="387">
        <f t="shared" si="104"/>
        <v>2.1225823738096707E-4</v>
      </c>
      <c r="X87" s="387">
        <f t="shared" si="69"/>
        <v>1.4853543159905558</v>
      </c>
      <c r="Y87" s="387">
        <f t="shared" si="105"/>
        <v>4.4125548880635437E-3</v>
      </c>
      <c r="Z87" s="605">
        <f t="shared" si="106"/>
        <v>4.4125548880635437E-3</v>
      </c>
      <c r="AA87" s="387">
        <f t="shared" si="70"/>
        <v>6.0041049128856621</v>
      </c>
      <c r="AB87" s="387">
        <f t="shared" si="71"/>
        <v>0.20548087208814514</v>
      </c>
      <c r="AC87" s="387">
        <f t="shared" si="72"/>
        <v>2.9293151348732019E-2</v>
      </c>
      <c r="AD87">
        <f t="shared" si="73"/>
        <v>0</v>
      </c>
      <c r="AE87" s="387">
        <f t="shared" si="74"/>
        <v>0.24483583981354112</v>
      </c>
      <c r="AF87" s="387">
        <f t="shared" si="75"/>
        <v>1.5899295226034302</v>
      </c>
      <c r="AG87" s="387">
        <f t="shared" si="76"/>
        <v>1.4408892555022038E-2</v>
      </c>
      <c r="AH87" s="387">
        <f t="shared" si="77"/>
        <v>5.3760000000000002E-2</v>
      </c>
      <c r="AI87" s="387">
        <f t="shared" si="78"/>
        <v>6.8365907959464928E-2</v>
      </c>
      <c r="AJ87" s="387">
        <f t="shared" si="79"/>
        <v>1.138504412307626</v>
      </c>
      <c r="AK87" s="387">
        <f t="shared" si="80"/>
        <v>2.4627653640034723E-3</v>
      </c>
      <c r="AL87" s="387">
        <f t="shared" si="81"/>
        <v>2.6195286713286716E-2</v>
      </c>
      <c r="AM87">
        <f t="shared" si="82"/>
        <v>0</v>
      </c>
      <c r="AN87" s="387">
        <f t="shared" si="83"/>
        <v>2.867217464501547E-2</v>
      </c>
      <c r="AO87" s="387">
        <f t="shared" si="84"/>
        <v>6.1058135735493746</v>
      </c>
      <c r="AP87" s="387">
        <f t="shared" si="85"/>
        <v>7.0833822850385586E-2</v>
      </c>
      <c r="AQ87" s="387">
        <f t="shared" si="86"/>
        <v>5.414987912973409E-2</v>
      </c>
      <c r="AR87" s="387">
        <f t="shared" si="87"/>
        <v>0.12677976100655011</v>
      </c>
      <c r="AS87" s="387">
        <f t="shared" si="88"/>
        <v>0</v>
      </c>
      <c r="AT87" s="387">
        <f t="shared" si="89"/>
        <v>0</v>
      </c>
      <c r="AU87" s="387">
        <f t="shared" si="90"/>
        <v>0.13167564479999999</v>
      </c>
      <c r="AV87" s="387">
        <f t="shared" si="91"/>
        <v>3.0592545469519238E-2</v>
      </c>
      <c r="AW87" s="387">
        <f t="shared" si="92"/>
        <v>0</v>
      </c>
      <c r="AX87" s="387">
        <f t="shared" si="93"/>
        <v>3.6000000000000004E-2</v>
      </c>
      <c r="AY87" s="387">
        <f t="shared" si="94"/>
        <v>8.8703999999999991E-2</v>
      </c>
      <c r="AZ87" s="387">
        <f t="shared" si="95"/>
        <v>7.3471999999999996E-2</v>
      </c>
      <c r="BA87" s="387">
        <f t="shared" si="113"/>
        <v>0.124704</v>
      </c>
      <c r="BB87" s="387">
        <f t="shared" si="114"/>
        <v>1.0000305632467803</v>
      </c>
      <c r="BC87">
        <f t="shared" si="96"/>
        <v>72</v>
      </c>
      <c r="BD87" s="606">
        <f t="shared" si="107"/>
        <v>0.98630095692384179</v>
      </c>
      <c r="BE87" s="616">
        <f t="shared" si="97"/>
        <v>18.825574230677056</v>
      </c>
      <c r="BF87" s="616">
        <f t="shared" si="98"/>
        <v>3.4182953979732464</v>
      </c>
      <c r="BG87" s="9"/>
      <c r="BH87" s="4">
        <f t="shared" si="108"/>
        <v>98.630095692384174</v>
      </c>
      <c r="BI87" s="387">
        <f t="shared" si="109"/>
        <v>0.23977987642724491</v>
      </c>
      <c r="BJ87" s="387">
        <f t="shared" si="110"/>
        <v>0.60032932822457163</v>
      </c>
      <c r="BK87" s="387">
        <f t="shared" si="111"/>
        <v>0.11181887074346493</v>
      </c>
      <c r="BL87" s="387">
        <f t="shared" si="112"/>
        <v>3.0592545469519238E-2</v>
      </c>
      <c r="BR87" s="18"/>
      <c r="BS87" s="19"/>
    </row>
    <row r="88" spans="1:71" x14ac:dyDescent="0.2">
      <c r="G88">
        <v>79</v>
      </c>
      <c r="H88" s="612">
        <f t="shared" si="59"/>
        <v>12.505000000000001</v>
      </c>
      <c r="I88" s="4" t="str">
        <f t="shared" si="60"/>
        <v>BUCK-BST</v>
      </c>
      <c r="J88">
        <f t="shared" si="99"/>
        <v>3</v>
      </c>
      <c r="K88">
        <f t="shared" si="61"/>
        <v>6</v>
      </c>
      <c r="L88" s="4">
        <f t="shared" si="62"/>
        <v>5.9976009596161539</v>
      </c>
      <c r="M88" s="4">
        <f t="shared" si="63"/>
        <v>6.2086092715231782</v>
      </c>
      <c r="N88" s="387">
        <f t="shared" si="64"/>
        <v>0.92737305077968812</v>
      </c>
      <c r="O88" s="387">
        <f t="shared" si="100"/>
        <v>3.3599999999999998E-2</v>
      </c>
      <c r="P88" s="4">
        <f t="shared" si="65"/>
        <v>0.76599886489173497</v>
      </c>
      <c r="Q88" s="387">
        <f t="shared" si="66"/>
        <v>6.2125457966007396</v>
      </c>
      <c r="R88" s="387">
        <f t="shared" si="101"/>
        <v>0.23594546509753089</v>
      </c>
      <c r="S88" s="387">
        <f t="shared" si="67"/>
        <v>6.8494817588438742E-3</v>
      </c>
      <c r="T88" s="387">
        <f t="shared" si="102"/>
        <v>0.24279494685637476</v>
      </c>
      <c r="U88" s="4">
        <f t="shared" si="68"/>
        <v>0.22112482542209549</v>
      </c>
      <c r="V88" s="387">
        <f t="shared" si="103"/>
        <v>3.4227331892566548E-4</v>
      </c>
      <c r="W88" s="387">
        <f t="shared" si="104"/>
        <v>3.4227331892566548E-4</v>
      </c>
      <c r="X88" s="387">
        <f t="shared" si="69"/>
        <v>1.5581961321903803</v>
      </c>
      <c r="Y88" s="387">
        <f t="shared" si="105"/>
        <v>4.8559503727461225E-3</v>
      </c>
      <c r="Z88" s="605">
        <f t="shared" si="106"/>
        <v>4.8559503727461225E-3</v>
      </c>
      <c r="AA88" s="387">
        <f t="shared" si="70"/>
        <v>5.9826946683917477</v>
      </c>
      <c r="AB88" s="387">
        <f t="shared" si="71"/>
        <v>0.20401802232265737</v>
      </c>
      <c r="AC88" s="387">
        <f t="shared" si="72"/>
        <v>2.9517393844955195E-2</v>
      </c>
      <c r="AD88">
        <f t="shared" si="73"/>
        <v>0</v>
      </c>
      <c r="AE88" s="387">
        <f t="shared" si="74"/>
        <v>0.24346986420569491</v>
      </c>
      <c r="AF88" s="387">
        <f t="shared" si="75"/>
        <v>1.6742430467702338</v>
      </c>
      <c r="AG88" s="387">
        <f t="shared" si="76"/>
        <v>1.5977611744053311E-2</v>
      </c>
      <c r="AH88" s="387">
        <f t="shared" si="77"/>
        <v>5.3760000000000002E-2</v>
      </c>
      <c r="AI88" s="387">
        <f t="shared" si="78"/>
        <v>6.9961174239885904E-2</v>
      </c>
      <c r="AJ88" s="387">
        <f t="shared" si="79"/>
        <v>1.1387784548521047</v>
      </c>
      <c r="AK88" s="387">
        <f t="shared" si="80"/>
        <v>2.4639511015471594E-3</v>
      </c>
      <c r="AL88" s="387">
        <f t="shared" si="81"/>
        <v>2.6195286713286716E-2</v>
      </c>
      <c r="AM88">
        <f t="shared" si="82"/>
        <v>0</v>
      </c>
      <c r="AN88" s="387">
        <f t="shared" si="83"/>
        <v>2.8673367770054293E-2</v>
      </c>
      <c r="AO88" s="387">
        <f t="shared" si="84"/>
        <v>6.1072832671840409</v>
      </c>
      <c r="AP88" s="387">
        <f t="shared" si="85"/>
        <v>7.0867926920689731E-2</v>
      </c>
      <c r="AQ88" s="387">
        <f t="shared" si="86"/>
        <v>5.3738504598160743E-2</v>
      </c>
      <c r="AR88" s="387">
        <f t="shared" si="87"/>
        <v>0.12639794356433909</v>
      </c>
      <c r="AS88" s="387">
        <f t="shared" si="88"/>
        <v>0</v>
      </c>
      <c r="AT88" s="387">
        <f t="shared" si="89"/>
        <v>0</v>
      </c>
      <c r="AU88" s="387">
        <f t="shared" si="90"/>
        <v>0.13234596479999999</v>
      </c>
      <c r="AV88" s="387">
        <f t="shared" si="91"/>
        <v>3.2799249191150577E-2</v>
      </c>
      <c r="AW88" s="387">
        <f t="shared" si="92"/>
        <v>0</v>
      </c>
      <c r="AX88" s="387">
        <f t="shared" si="93"/>
        <v>3.6000000000000004E-2</v>
      </c>
      <c r="AY88" s="387">
        <f t="shared" si="94"/>
        <v>8.8703999999999991E-2</v>
      </c>
      <c r="AZ88" s="387">
        <f t="shared" si="95"/>
        <v>7.3471999999999996E-2</v>
      </c>
      <c r="BA88" s="387">
        <f t="shared" si="113"/>
        <v>0.124704</v>
      </c>
      <c r="BB88" s="387">
        <f t="shared" si="114"/>
        <v>1.0063447343191712</v>
      </c>
      <c r="BC88">
        <f t="shared" si="96"/>
        <v>72</v>
      </c>
      <c r="BD88" s="606">
        <f t="shared" si="107"/>
        <v>0.98621565374925413</v>
      </c>
      <c r="BE88" s="616">
        <f t="shared" si="97"/>
        <v>18.790791450284743</v>
      </c>
      <c r="BF88" s="616">
        <f t="shared" si="98"/>
        <v>3.498058711994295</v>
      </c>
      <c r="BG88" s="9"/>
      <c r="BH88" s="4">
        <f t="shared" si="108"/>
        <v>98.62156537492541</v>
      </c>
      <c r="BI88" s="387">
        <f t="shared" si="109"/>
        <v>0.24279494685637476</v>
      </c>
      <c r="BJ88" s="387">
        <f t="shared" si="110"/>
        <v>0.60084831457997423</v>
      </c>
      <c r="BK88" s="387">
        <f t="shared" si="111"/>
        <v>0.1136353426238859</v>
      </c>
      <c r="BL88" s="387">
        <f t="shared" si="112"/>
        <v>3.2799249191150577E-2</v>
      </c>
      <c r="BR88" s="18"/>
      <c r="BS88" s="19"/>
    </row>
    <row r="89" spans="1:71" x14ac:dyDescent="0.2">
      <c r="G89">
        <v>80</v>
      </c>
      <c r="H89" s="612">
        <f t="shared" si="59"/>
        <v>12.600000000000001</v>
      </c>
      <c r="I89" s="4" t="str">
        <f t="shared" si="60"/>
        <v>BUCK-BST</v>
      </c>
      <c r="J89">
        <f t="shared" si="99"/>
        <v>3</v>
      </c>
      <c r="K89">
        <f t="shared" si="61"/>
        <v>6</v>
      </c>
      <c r="L89" s="4">
        <f t="shared" si="62"/>
        <v>5.9523809523809526</v>
      </c>
      <c r="M89" s="4">
        <f t="shared" si="63"/>
        <v>6.2086092715231782</v>
      </c>
      <c r="N89" s="387">
        <f t="shared" si="64"/>
        <v>0.92038095238095241</v>
      </c>
      <c r="O89" s="387">
        <f t="shared" si="100"/>
        <v>3.3599999999999998E-2</v>
      </c>
      <c r="P89" s="4">
        <f t="shared" si="65"/>
        <v>0.92632566217976831</v>
      </c>
      <c r="Q89" s="387">
        <f t="shared" si="66"/>
        <v>6.2143652684038972</v>
      </c>
      <c r="R89" s="387">
        <f t="shared" si="101"/>
        <v>0.23608629890741878</v>
      </c>
      <c r="S89" s="387">
        <f t="shared" si="67"/>
        <v>1.0612547950931198E-2</v>
      </c>
      <c r="T89" s="387">
        <f t="shared" si="102"/>
        <v>0.24669884685834997</v>
      </c>
      <c r="U89" s="4">
        <f t="shared" si="68"/>
        <v>0.26740718520837381</v>
      </c>
      <c r="V89" s="387">
        <f t="shared" si="103"/>
        <v>5.0054621890745872E-4</v>
      </c>
      <c r="W89" s="387">
        <f t="shared" si="104"/>
        <v>5.0054621890745872E-4</v>
      </c>
      <c r="X89" s="387">
        <f t="shared" si="69"/>
        <v>1.625827410575539</v>
      </c>
      <c r="Y89" s="387">
        <f t="shared" si="105"/>
        <v>5.2866295379575242E-3</v>
      </c>
      <c r="Z89" s="605">
        <f t="shared" si="106"/>
        <v>5.2866295379575242E-3</v>
      </c>
      <c r="AA89" s="387">
        <f t="shared" si="70"/>
        <v>5.9618437232908308</v>
      </c>
      <c r="AB89" s="387">
        <f t="shared" si="71"/>
        <v>0.20259840931137099</v>
      </c>
      <c r="AC89" s="387">
        <f t="shared" si="72"/>
        <v>2.9741636341178369E-2</v>
      </c>
      <c r="AD89">
        <f t="shared" si="73"/>
        <v>0</v>
      </c>
      <c r="AE89" s="387">
        <f t="shared" si="74"/>
        <v>0.24215196628889973</v>
      </c>
      <c r="AF89" s="387">
        <f t="shared" si="75"/>
        <v>1.7534979635580912</v>
      </c>
      <c r="AG89" s="387">
        <f t="shared" si="76"/>
        <v>1.7526104116753528E-2</v>
      </c>
      <c r="AH89" s="387">
        <f t="shared" si="77"/>
        <v>5.3760000000000002E-2</v>
      </c>
      <c r="AI89" s="387">
        <f t="shared" si="78"/>
        <v>7.1536856596131335E-2</v>
      </c>
      <c r="AJ89" s="387">
        <f t="shared" si="79"/>
        <v>1.1391119695426171</v>
      </c>
      <c r="AK89" s="387">
        <f t="shared" si="80"/>
        <v>2.4653945503949944E-3</v>
      </c>
      <c r="AL89" s="387">
        <f t="shared" si="81"/>
        <v>2.6195286713286716E-2</v>
      </c>
      <c r="AM89">
        <f t="shared" si="82"/>
        <v>0</v>
      </c>
      <c r="AN89" s="387">
        <f t="shared" si="83"/>
        <v>2.8674820212778937E-2</v>
      </c>
      <c r="AO89" s="387">
        <f t="shared" si="84"/>
        <v>6.1090719106906395</v>
      </c>
      <c r="AP89" s="387">
        <f t="shared" si="85"/>
        <v>7.0909443258979826E-2</v>
      </c>
      <c r="AQ89" s="387">
        <f t="shared" si="86"/>
        <v>5.3333333333333344E-2</v>
      </c>
      <c r="AR89" s="387">
        <f t="shared" si="87"/>
        <v>0.12603012174568273</v>
      </c>
      <c r="AS89" s="387">
        <f t="shared" si="88"/>
        <v>0</v>
      </c>
      <c r="AT89" s="387">
        <f t="shared" si="89"/>
        <v>0</v>
      </c>
      <c r="AU89" s="387">
        <f t="shared" si="90"/>
        <v>0.1330162848</v>
      </c>
      <c r="AV89" s="387">
        <f t="shared" si="91"/>
        <v>3.4978649498861071E-2</v>
      </c>
      <c r="AW89" s="387">
        <f t="shared" si="92"/>
        <v>0</v>
      </c>
      <c r="AX89" s="387">
        <f t="shared" si="93"/>
        <v>3.6000000000000004E-2</v>
      </c>
      <c r="AY89" s="387">
        <f t="shared" si="94"/>
        <v>8.8703999999999991E-2</v>
      </c>
      <c r="AZ89" s="387">
        <f t="shared" si="95"/>
        <v>7.3471999999999996E-2</v>
      </c>
      <c r="BA89" s="387">
        <f t="shared" si="113"/>
        <v>0.124704</v>
      </c>
      <c r="BB89" s="387">
        <f t="shared" si="114"/>
        <v>1.0135787217575687</v>
      </c>
      <c r="BC89">
        <f t="shared" si="96"/>
        <v>72</v>
      </c>
      <c r="BD89" s="606">
        <f t="shared" si="107"/>
        <v>0.98611794217593218</v>
      </c>
      <c r="BE89" s="616">
        <f t="shared" si="97"/>
        <v>18.758412554444988</v>
      </c>
      <c r="BF89" s="616">
        <f t="shared" si="98"/>
        <v>3.5768428298065666</v>
      </c>
      <c r="BG89" s="9"/>
      <c r="BH89" s="4">
        <f t="shared" si="108"/>
        <v>98.611794217593214</v>
      </c>
      <c r="BI89" s="387">
        <f t="shared" si="109"/>
        <v>0.24669884685834997</v>
      </c>
      <c r="BJ89" s="387">
        <f t="shared" si="110"/>
        <v>0.60141004964349276</v>
      </c>
      <c r="BK89" s="387">
        <f t="shared" si="111"/>
        <v>0.11543223058013133</v>
      </c>
      <c r="BL89" s="387">
        <f t="shared" si="112"/>
        <v>3.4978649498861071E-2</v>
      </c>
      <c r="BR89" s="18"/>
      <c r="BS89" s="19"/>
    </row>
    <row r="90" spans="1:71" x14ac:dyDescent="0.2">
      <c r="G90">
        <v>81</v>
      </c>
      <c r="H90" s="612">
        <f t="shared" si="59"/>
        <v>12.695</v>
      </c>
      <c r="I90" s="4" t="str">
        <f t="shared" si="60"/>
        <v>BUCK-BST</v>
      </c>
      <c r="J90">
        <f t="shared" si="99"/>
        <v>3</v>
      </c>
      <c r="K90">
        <f t="shared" si="61"/>
        <v>6</v>
      </c>
      <c r="L90" s="4">
        <f t="shared" si="62"/>
        <v>5.9078377313903108</v>
      </c>
      <c r="M90" s="4">
        <f t="shared" si="63"/>
        <v>6.2086092715231782</v>
      </c>
      <c r="N90" s="387">
        <f t="shared" si="64"/>
        <v>0.9134935013784955</v>
      </c>
      <c r="O90" s="387">
        <f t="shared" si="100"/>
        <v>3.3599999999999998E-2</v>
      </c>
      <c r="P90" s="4">
        <f t="shared" si="65"/>
        <v>1.0842529248884583</v>
      </c>
      <c r="Q90" s="387">
        <f t="shared" si="66"/>
        <v>6.2164938767929581</v>
      </c>
      <c r="R90" s="387">
        <f t="shared" si="101"/>
        <v>0.23625111732711901</v>
      </c>
      <c r="S90" s="387">
        <f t="shared" si="67"/>
        <v>1.5252358999417862E-2</v>
      </c>
      <c r="T90" s="387">
        <f t="shared" si="102"/>
        <v>0.25150347632653686</v>
      </c>
      <c r="U90" s="4">
        <f t="shared" si="68"/>
        <v>0.31299685902699526</v>
      </c>
      <c r="V90" s="387">
        <f t="shared" si="103"/>
        <v>6.8576923632535319E-4</v>
      </c>
      <c r="W90" s="387">
        <f t="shared" si="104"/>
        <v>6.8576923632535319E-4</v>
      </c>
      <c r="X90" s="387">
        <f t="shared" si="69"/>
        <v>1.6889565229830508</v>
      </c>
      <c r="Y90" s="387">
        <f t="shared" si="105"/>
        <v>5.7051482730539928E-3</v>
      </c>
      <c r="Z90" s="605">
        <f t="shared" si="106"/>
        <v>5.7051482730539928E-3</v>
      </c>
      <c r="AA90" s="387">
        <f t="shared" si="70"/>
        <v>5.9415292743454158</v>
      </c>
      <c r="AB90" s="387">
        <f t="shared" si="71"/>
        <v>0.20122008967205032</v>
      </c>
      <c r="AC90" s="387">
        <f t="shared" si="72"/>
        <v>2.9965878837401531E-2</v>
      </c>
      <c r="AD90">
        <f t="shared" si="73"/>
        <v>0</v>
      </c>
      <c r="AE90" s="387">
        <f t="shared" si="74"/>
        <v>0.24087994535016355</v>
      </c>
      <c r="AF90" s="387">
        <f t="shared" si="75"/>
        <v>1.8283943782184353</v>
      </c>
      <c r="AG90" s="387">
        <f t="shared" si="76"/>
        <v>1.905524821311444E-2</v>
      </c>
      <c r="AH90" s="387">
        <f t="shared" si="77"/>
        <v>5.3760000000000002E-2</v>
      </c>
      <c r="AI90" s="387">
        <f t="shared" si="78"/>
        <v>7.3093812360589205E-2</v>
      </c>
      <c r="AJ90" s="387">
        <f t="shared" si="79"/>
        <v>1.1395021499053286</v>
      </c>
      <c r="AK90" s="387">
        <f t="shared" si="80"/>
        <v>2.4670837843138453E-3</v>
      </c>
      <c r="AL90" s="387">
        <f t="shared" si="81"/>
        <v>2.6195286713286716E-2</v>
      </c>
      <c r="AM90">
        <f t="shared" si="82"/>
        <v>0</v>
      </c>
      <c r="AN90" s="387">
        <f t="shared" si="83"/>
        <v>2.8676519973083792E-2</v>
      </c>
      <c r="AO90" s="387">
        <f t="shared" si="84"/>
        <v>6.1111644529144753</v>
      </c>
      <c r="AP90" s="387">
        <f t="shared" si="85"/>
        <v>7.09580288440744E-2</v>
      </c>
      <c r="AQ90" s="387">
        <f t="shared" si="86"/>
        <v>5.2934226073257193E-2</v>
      </c>
      <c r="AR90" s="387">
        <f t="shared" si="87"/>
        <v>0.12567579627271586</v>
      </c>
      <c r="AS90" s="387">
        <f t="shared" si="88"/>
        <v>0</v>
      </c>
      <c r="AT90" s="387">
        <f t="shared" si="89"/>
        <v>0</v>
      </c>
      <c r="AU90" s="387">
        <f t="shared" si="90"/>
        <v>0.1336866048</v>
      </c>
      <c r="AV90" s="387">
        <f t="shared" si="91"/>
        <v>3.7131929215517161E-2</v>
      </c>
      <c r="AW90" s="387">
        <f t="shared" si="92"/>
        <v>0</v>
      </c>
      <c r="AX90" s="387">
        <f t="shared" si="93"/>
        <v>3.6000000000000004E-2</v>
      </c>
      <c r="AY90" s="387">
        <f t="shared" si="94"/>
        <v>8.8703999999999991E-2</v>
      </c>
      <c r="AZ90" s="387">
        <f t="shared" si="95"/>
        <v>7.3471999999999996E-2</v>
      </c>
      <c r="BA90" s="387">
        <f t="shared" si="113"/>
        <v>0.124704</v>
      </c>
      <c r="BB90" s="387">
        <f t="shared" si="114"/>
        <v>1.0217430018079858</v>
      </c>
      <c r="BC90">
        <f t="shared" si="96"/>
        <v>72</v>
      </c>
      <c r="BD90" s="606">
        <f t="shared" si="107"/>
        <v>0.98600768812403328</v>
      </c>
      <c r="BE90" s="616">
        <f t="shared" si="97"/>
        <v>18.728327507508176</v>
      </c>
      <c r="BF90" s="616">
        <f t="shared" si="98"/>
        <v>3.65469061802946</v>
      </c>
      <c r="BG90" s="9"/>
      <c r="BH90" s="4">
        <f t="shared" si="108"/>
        <v>98.600768812403331</v>
      </c>
      <c r="BI90" s="387">
        <f t="shared" si="109"/>
        <v>0.25150347632653686</v>
      </c>
      <c r="BJ90" s="387">
        <f t="shared" si="110"/>
        <v>0.6020126787565524</v>
      </c>
      <c r="BK90" s="387">
        <f t="shared" si="111"/>
        <v>0.11721039194458921</v>
      </c>
      <c r="BL90" s="387">
        <f t="shared" si="112"/>
        <v>3.7131929215517161E-2</v>
      </c>
      <c r="BR90" s="18"/>
      <c r="BS90" s="19"/>
    </row>
    <row r="91" spans="1:71" x14ac:dyDescent="0.2">
      <c r="G91">
        <v>82</v>
      </c>
      <c r="H91" s="612">
        <f t="shared" si="59"/>
        <v>12.79</v>
      </c>
      <c r="I91" s="4" t="str">
        <f t="shared" si="60"/>
        <v>BUCK-BST</v>
      </c>
      <c r="J91">
        <f t="shared" si="99"/>
        <v>3</v>
      </c>
      <c r="K91">
        <f t="shared" si="61"/>
        <v>6</v>
      </c>
      <c r="L91" s="4">
        <f t="shared" si="62"/>
        <v>5.8639562157935892</v>
      </c>
      <c r="M91" s="4">
        <f t="shared" si="63"/>
        <v>6.2086092715231782</v>
      </c>
      <c r="N91" s="387">
        <f t="shared" si="64"/>
        <v>0.90670836591086801</v>
      </c>
      <c r="O91" s="387">
        <f t="shared" si="100"/>
        <v>3.3599999999999998E-2</v>
      </c>
      <c r="P91" s="4">
        <f t="shared" si="65"/>
        <v>1.239834121927512</v>
      </c>
      <c r="Q91" s="387">
        <f t="shared" si="66"/>
        <v>6.2189169588121658</v>
      </c>
      <c r="R91" s="387">
        <f t="shared" si="101"/>
        <v>0.2364388107714013</v>
      </c>
      <c r="S91" s="387">
        <f t="shared" si="67"/>
        <v>2.0773315149309531E-2</v>
      </c>
      <c r="T91" s="387">
        <f t="shared" si="102"/>
        <v>0.25721212592071085</v>
      </c>
      <c r="U91" s="4">
        <f t="shared" si="68"/>
        <v>0.3579092820226662</v>
      </c>
      <c r="V91" s="387">
        <f t="shared" si="103"/>
        <v>8.9669337910586275E-4</v>
      </c>
      <c r="W91" s="387">
        <f t="shared" si="104"/>
        <v>8.9669337910586275E-4</v>
      </c>
      <c r="X91" s="387">
        <f t="shared" si="69"/>
        <v>1.7481460652382308</v>
      </c>
      <c r="Y91" s="387">
        <f t="shared" si="105"/>
        <v>6.1120293308158172E-3</v>
      </c>
      <c r="Z91" s="605">
        <f t="shared" si="106"/>
        <v>6.1120293308158172E-3</v>
      </c>
      <c r="AA91" s="387">
        <f t="shared" si="70"/>
        <v>5.9217295527645541</v>
      </c>
      <c r="AB91" s="387">
        <f t="shared" si="71"/>
        <v>0.199881221107685</v>
      </c>
      <c r="AC91" s="387">
        <f t="shared" si="72"/>
        <v>3.0190121333624698E-2</v>
      </c>
      <c r="AD91">
        <f t="shared" si="73"/>
        <v>0</v>
      </c>
      <c r="AE91" s="387">
        <f t="shared" si="74"/>
        <v>0.23965171805019522</v>
      </c>
      <c r="AF91" s="387">
        <f t="shared" si="75"/>
        <v>1.8994860474655966</v>
      </c>
      <c r="AG91" s="387">
        <f t="shared" si="76"/>
        <v>2.0565869293743905E-2</v>
      </c>
      <c r="AH91" s="387">
        <f t="shared" si="77"/>
        <v>5.3760000000000002E-2</v>
      </c>
      <c r="AI91" s="387">
        <f t="shared" si="78"/>
        <v>7.4632847169726416E-2</v>
      </c>
      <c r="AJ91" s="387">
        <f t="shared" si="79"/>
        <v>1.1399463081760528</v>
      </c>
      <c r="AK91" s="387">
        <f t="shared" si="80"/>
        <v>2.4690074124960036E-3</v>
      </c>
      <c r="AL91" s="387">
        <f t="shared" si="81"/>
        <v>2.6195286713286716E-2</v>
      </c>
      <c r="AM91">
        <f t="shared" si="82"/>
        <v>0</v>
      </c>
      <c r="AN91" s="387">
        <f t="shared" si="83"/>
        <v>2.8678455589668687E-2</v>
      </c>
      <c r="AO91" s="387">
        <f t="shared" si="84"/>
        <v>6.1135464793421948</v>
      </c>
      <c r="AP91" s="387">
        <f t="shared" si="85"/>
        <v>7.1013356054646953E-2</v>
      </c>
      <c r="AQ91" s="387">
        <f t="shared" si="86"/>
        <v>5.2541047693510562E-2</v>
      </c>
      <c r="AR91" s="387">
        <f t="shared" si="87"/>
        <v>0.12533448827653929</v>
      </c>
      <c r="AS91" s="387">
        <f t="shared" si="88"/>
        <v>0</v>
      </c>
      <c r="AT91" s="387">
        <f t="shared" si="89"/>
        <v>0</v>
      </c>
      <c r="AU91" s="387">
        <f t="shared" si="90"/>
        <v>0.13435692479999997</v>
      </c>
      <c r="AV91" s="387">
        <f t="shared" si="91"/>
        <v>3.9260198640325497E-2</v>
      </c>
      <c r="AW91" s="387">
        <f t="shared" si="92"/>
        <v>0</v>
      </c>
      <c r="AX91" s="387">
        <f t="shared" si="93"/>
        <v>3.6000000000000004E-2</v>
      </c>
      <c r="AY91" s="387">
        <f t="shared" si="94"/>
        <v>8.8703999999999991E-2</v>
      </c>
      <c r="AZ91" s="387">
        <f t="shared" si="95"/>
        <v>7.3471999999999996E-2</v>
      </c>
      <c r="BA91" s="387">
        <f t="shared" si="113"/>
        <v>0.124704</v>
      </c>
      <c r="BB91" s="387">
        <f t="shared" si="114"/>
        <v>1.0308394811570876</v>
      </c>
      <c r="BC91">
        <f t="shared" si="96"/>
        <v>72</v>
      </c>
      <c r="BD91" s="606">
        <f t="shared" si="107"/>
        <v>0.98588487427392835</v>
      </c>
      <c r="BE91" s="616">
        <f t="shared" si="97"/>
        <v>18.700432142509761</v>
      </c>
      <c r="BF91" s="616">
        <f t="shared" si="98"/>
        <v>3.731642358486321</v>
      </c>
      <c r="BG91" s="9"/>
      <c r="BH91" s="4">
        <f t="shared" si="108"/>
        <v>98.588487427392835</v>
      </c>
      <c r="BI91" s="387">
        <f t="shared" si="109"/>
        <v>0.25721212592071085</v>
      </c>
      <c r="BJ91" s="387">
        <f t="shared" si="110"/>
        <v>0.6026544338861296</v>
      </c>
      <c r="BK91" s="387">
        <f t="shared" si="111"/>
        <v>0.1189706323537264</v>
      </c>
      <c r="BL91" s="387">
        <f t="shared" si="112"/>
        <v>3.9260198640325497E-2</v>
      </c>
      <c r="BR91" s="18"/>
      <c r="BS91" s="19"/>
    </row>
    <row r="92" spans="1:71" x14ac:dyDescent="0.2">
      <c r="G92">
        <v>83</v>
      </c>
      <c r="H92" s="612">
        <f t="shared" si="59"/>
        <v>12.885</v>
      </c>
      <c r="I92" s="4" t="str">
        <f t="shared" si="60"/>
        <v>BUCK-BST</v>
      </c>
      <c r="J92">
        <f t="shared" si="99"/>
        <v>3</v>
      </c>
      <c r="K92">
        <f t="shared" si="61"/>
        <v>6</v>
      </c>
      <c r="L92" s="4">
        <f t="shared" si="62"/>
        <v>5.8207217694994178</v>
      </c>
      <c r="M92" s="4">
        <f t="shared" si="63"/>
        <v>6.2086092715231782</v>
      </c>
      <c r="N92" s="387">
        <f t="shared" si="64"/>
        <v>0.900023282887078</v>
      </c>
      <c r="O92" s="387">
        <f t="shared" si="100"/>
        <v>3.3599999999999998E-2</v>
      </c>
      <c r="P92" s="4">
        <f t="shared" si="65"/>
        <v>1.393121145319892</v>
      </c>
      <c r="Q92" s="387">
        <f t="shared" si="66"/>
        <v>6.2216204719433845</v>
      </c>
      <c r="R92" s="387">
        <f t="shared" si="101"/>
        <v>0.23664831945149303</v>
      </c>
      <c r="S92" s="387">
        <f t="shared" si="67"/>
        <v>2.717355756808305E-2</v>
      </c>
      <c r="T92" s="387">
        <f t="shared" si="102"/>
        <v>0.2638218770195761</v>
      </c>
      <c r="U92" s="4">
        <f t="shared" si="68"/>
        <v>0.4021594341320997</v>
      </c>
      <c r="V92" s="387">
        <f t="shared" si="103"/>
        <v>1.1321254732301546E-3</v>
      </c>
      <c r="W92" s="387">
        <f t="shared" si="104"/>
        <v>1.1321254732301546E-3</v>
      </c>
      <c r="X92" s="387">
        <f t="shared" si="69"/>
        <v>1.8038520781140659</v>
      </c>
      <c r="Y92" s="387">
        <f t="shared" si="105"/>
        <v>6.5077646394328687E-3</v>
      </c>
      <c r="Z92" s="605">
        <f t="shared" si="106"/>
        <v>6.5077646394328687E-3</v>
      </c>
      <c r="AA92" s="387">
        <f t="shared" si="70"/>
        <v>5.9024237745417896</v>
      </c>
      <c r="AB92" s="387">
        <f t="shared" si="71"/>
        <v>0.19858005656137406</v>
      </c>
      <c r="AC92" s="387">
        <f t="shared" si="72"/>
        <v>3.0414363829847874E-2</v>
      </c>
      <c r="AD92">
        <f t="shared" si="73"/>
        <v>0</v>
      </c>
      <c r="AE92" s="387">
        <f t="shared" si="74"/>
        <v>0.23846531139621932</v>
      </c>
      <c r="AF92" s="387">
        <f t="shared" si="75"/>
        <v>1.9672200900328551</v>
      </c>
      <c r="AG92" s="387">
        <f t="shared" si="76"/>
        <v>2.2058742830984586E-2</v>
      </c>
      <c r="AH92" s="387">
        <f t="shared" si="77"/>
        <v>5.3760000000000002E-2</v>
      </c>
      <c r="AI92" s="387">
        <f t="shared" si="78"/>
        <v>7.6154718300254859E-2</v>
      </c>
      <c r="AJ92" s="387">
        <f t="shared" si="79"/>
        <v>1.1404418703186974</v>
      </c>
      <c r="AK92" s="387">
        <f t="shared" si="80"/>
        <v>2.4711545531944162E-3</v>
      </c>
      <c r="AL92" s="387">
        <f t="shared" si="81"/>
        <v>2.6195286713286716E-2</v>
      </c>
      <c r="AM92">
        <f t="shared" si="82"/>
        <v>0</v>
      </c>
      <c r="AN92" s="387">
        <f t="shared" si="83"/>
        <v>2.8680616113500593E-2</v>
      </c>
      <c r="AO92" s="387">
        <f t="shared" si="84"/>
        <v>6.1162041853856559</v>
      </c>
      <c r="AP92" s="387">
        <f t="shared" si="85"/>
        <v>7.1075111910925123E-2</v>
      </c>
      <c r="AQ92" s="387">
        <f t="shared" si="86"/>
        <v>5.2153667054714789E-2</v>
      </c>
      <c r="AR92" s="387">
        <f t="shared" si="87"/>
        <v>0.1250057383339587</v>
      </c>
      <c r="AS92" s="387">
        <f t="shared" si="88"/>
        <v>0</v>
      </c>
      <c r="AT92" s="387">
        <f t="shared" si="89"/>
        <v>0</v>
      </c>
      <c r="AU92" s="387">
        <f t="shared" si="90"/>
        <v>0.1350272448</v>
      </c>
      <c r="AV92" s="387">
        <f t="shared" si="91"/>
        <v>4.1364500337639068E-2</v>
      </c>
      <c r="AW92" s="387">
        <f t="shared" si="92"/>
        <v>0</v>
      </c>
      <c r="AX92" s="387">
        <f t="shared" si="93"/>
        <v>3.6000000000000004E-2</v>
      </c>
      <c r="AY92" s="387">
        <f t="shared" si="94"/>
        <v>8.8703999999999991E-2</v>
      </c>
      <c r="AZ92" s="387">
        <f t="shared" si="95"/>
        <v>7.3471999999999996E-2</v>
      </c>
      <c r="BA92" s="387">
        <f t="shared" si="113"/>
        <v>0.124704</v>
      </c>
      <c r="BB92" s="387">
        <f t="shared" si="114"/>
        <v>1.0408638964138117</v>
      </c>
      <c r="BC92">
        <f t="shared" si="96"/>
        <v>72</v>
      </c>
      <c r="BD92" s="606">
        <f t="shared" si="107"/>
        <v>0.98574956755864829</v>
      </c>
      <c r="BE92" s="616">
        <f t="shared" si="97"/>
        <v>18.674627809810968</v>
      </c>
      <c r="BF92" s="616">
        <f t="shared" si="98"/>
        <v>3.807735915012743</v>
      </c>
      <c r="BG92" s="9"/>
      <c r="BH92" s="4">
        <f t="shared" si="108"/>
        <v>98.574956755864832</v>
      </c>
      <c r="BI92" s="387">
        <f t="shared" si="109"/>
        <v>0.2638218770195761</v>
      </c>
      <c r="BJ92" s="387">
        <f t="shared" si="110"/>
        <v>0.6033336289439335</v>
      </c>
      <c r="BK92" s="387">
        <f t="shared" si="111"/>
        <v>0.12071370908425486</v>
      </c>
      <c r="BL92" s="387">
        <f t="shared" si="112"/>
        <v>4.1364500337639068E-2</v>
      </c>
      <c r="BR92" s="18"/>
      <c r="BS92" s="19"/>
    </row>
    <row r="93" spans="1:71" x14ac:dyDescent="0.2">
      <c r="G93">
        <v>84</v>
      </c>
      <c r="H93" s="612">
        <f t="shared" si="59"/>
        <v>12.98</v>
      </c>
      <c r="I93" s="4" t="str">
        <f t="shared" si="60"/>
        <v>BUCK-BST</v>
      </c>
      <c r="J93">
        <f t="shared" si="99"/>
        <v>3</v>
      </c>
      <c r="K93">
        <f t="shared" si="61"/>
        <v>6</v>
      </c>
      <c r="L93" s="4">
        <f t="shared" si="62"/>
        <v>5.7781201848998451</v>
      </c>
      <c r="M93" s="4">
        <f t="shared" si="63"/>
        <v>6.2086092715231782</v>
      </c>
      <c r="N93" s="387">
        <f t="shared" si="64"/>
        <v>0.89343605546995386</v>
      </c>
      <c r="O93" s="387">
        <f t="shared" si="100"/>
        <v>3.3599999999999998E-2</v>
      </c>
      <c r="P93" s="4">
        <f t="shared" si="65"/>
        <v>1.5441643679076074</v>
      </c>
      <c r="Q93" s="387">
        <f t="shared" si="66"/>
        <v>6.224590968037166</v>
      </c>
      <c r="R93" s="387">
        <f t="shared" si="101"/>
        <v>0.2368786309136191</v>
      </c>
      <c r="S93" s="387">
        <f t="shared" si="67"/>
        <v>3.444657101934058E-2</v>
      </c>
      <c r="T93" s="387">
        <f t="shared" si="102"/>
        <v>0.27132520193295967</v>
      </c>
      <c r="U93" s="4">
        <f t="shared" si="68"/>
        <v>0.44576185674224272</v>
      </c>
      <c r="V93" s="387">
        <f t="shared" si="103"/>
        <v>1.3909254304840422E-3</v>
      </c>
      <c r="W93" s="387">
        <f t="shared" si="104"/>
        <v>1.3909254304840422E-3</v>
      </c>
      <c r="X93" s="387">
        <f t="shared" si="69"/>
        <v>1.8564505699502423</v>
      </c>
      <c r="Y93" s="387">
        <f t="shared" si="105"/>
        <v>6.8928174373371585E-3</v>
      </c>
      <c r="Z93" s="605">
        <f t="shared" si="106"/>
        <v>6.8928174373371585E-3</v>
      </c>
      <c r="AA93" s="387">
        <f t="shared" si="70"/>
        <v>5.8835920932603623</v>
      </c>
      <c r="AB93" s="387">
        <f t="shared" si="71"/>
        <v>0.19731493874329237</v>
      </c>
      <c r="AC93" s="387">
        <f t="shared" si="72"/>
        <v>3.063860632607104E-2</v>
      </c>
      <c r="AD93">
        <f t="shared" si="73"/>
        <v>0</v>
      </c>
      <c r="AE93" s="387">
        <f t="shared" si="74"/>
        <v>0.23731885618345683</v>
      </c>
      <c r="AF93" s="387">
        <f t="shared" si="75"/>
        <v>2.0319637790802321</v>
      </c>
      <c r="AG93" s="387">
        <f t="shared" si="76"/>
        <v>2.3534597757115906E-2</v>
      </c>
      <c r="AH93" s="387">
        <f t="shared" si="77"/>
        <v>5.3760000000000002E-2</v>
      </c>
      <c r="AI93" s="387">
        <f t="shared" si="78"/>
        <v>7.7660137777989344E-2</v>
      </c>
      <c r="AJ93" s="387">
        <f t="shared" si="79"/>
        <v>1.1409863712467505</v>
      </c>
      <c r="AK93" s="387">
        <f t="shared" si="80"/>
        <v>2.4735148088045724E-3</v>
      </c>
      <c r="AL93" s="387">
        <f t="shared" si="81"/>
        <v>2.6195286713286716E-2</v>
      </c>
      <c r="AM93">
        <f t="shared" si="82"/>
        <v>0</v>
      </c>
      <c r="AN93" s="387">
        <f t="shared" si="83"/>
        <v>2.8682991082732076E-2</v>
      </c>
      <c r="AO93" s="387">
        <f t="shared" si="84"/>
        <v>6.1191243507546931</v>
      </c>
      <c r="AP93" s="387">
        <f t="shared" si="85"/>
        <v>7.1142997357998186E-2</v>
      </c>
      <c r="AQ93" s="387">
        <f t="shared" si="86"/>
        <v>5.1771956856702619E-2</v>
      </c>
      <c r="AR93" s="387">
        <f t="shared" si="87"/>
        <v>0.124689105556131</v>
      </c>
      <c r="AS93" s="387">
        <f t="shared" si="88"/>
        <v>0</v>
      </c>
      <c r="AT93" s="387">
        <f t="shared" si="89"/>
        <v>0</v>
      </c>
      <c r="AU93" s="387">
        <f t="shared" si="90"/>
        <v>0.1356975648</v>
      </c>
      <c r="AV93" s="387">
        <f t="shared" si="91"/>
        <v>4.3445813590918765E-2</v>
      </c>
      <c r="AW93" s="387">
        <f t="shared" si="92"/>
        <v>0</v>
      </c>
      <c r="AX93" s="387">
        <f t="shared" si="93"/>
        <v>3.6000000000000004E-2</v>
      </c>
      <c r="AY93" s="387">
        <f t="shared" si="94"/>
        <v>8.8703999999999991E-2</v>
      </c>
      <c r="AZ93" s="387">
        <f t="shared" si="95"/>
        <v>7.3471999999999996E-2</v>
      </c>
      <c r="BA93" s="387">
        <f t="shared" si="113"/>
        <v>0.124704</v>
      </c>
      <c r="BB93" s="387">
        <f t="shared" si="114"/>
        <v>1.0518074137920088</v>
      </c>
      <c r="BC93">
        <f t="shared" si="96"/>
        <v>72</v>
      </c>
      <c r="BD93" s="606">
        <f t="shared" si="107"/>
        <v>0.98560189746115134</v>
      </c>
      <c r="BE93" s="616">
        <f t="shared" si="97"/>
        <v>18.650821049172841</v>
      </c>
      <c r="BF93" s="616">
        <f t="shared" si="98"/>
        <v>3.8830068888994673</v>
      </c>
      <c r="BG93" s="9"/>
      <c r="BH93" s="4">
        <f t="shared" si="108"/>
        <v>98.560189746115128</v>
      </c>
      <c r="BI93" s="387">
        <f t="shared" si="109"/>
        <v>0.27132520193295967</v>
      </c>
      <c r="BJ93" s="387">
        <f t="shared" si="110"/>
        <v>0.60404865540030928</v>
      </c>
      <c r="BK93" s="387">
        <f t="shared" si="111"/>
        <v>0.12244033416198935</v>
      </c>
      <c r="BL93" s="387">
        <f t="shared" si="112"/>
        <v>4.3445813590918765E-2</v>
      </c>
      <c r="BR93" s="18"/>
      <c r="BS93" s="19"/>
    </row>
    <row r="94" spans="1:71" x14ac:dyDescent="0.2">
      <c r="G94">
        <v>85</v>
      </c>
      <c r="H94" s="612">
        <f t="shared" si="59"/>
        <v>13.074999999999999</v>
      </c>
      <c r="I94" s="4" t="str">
        <f t="shared" si="60"/>
        <v>BUCK-BST</v>
      </c>
      <c r="J94">
        <f t="shared" si="99"/>
        <v>3</v>
      </c>
      <c r="K94">
        <f t="shared" si="61"/>
        <v>6</v>
      </c>
      <c r="L94" s="4">
        <f t="shared" si="62"/>
        <v>5.7361376673040159</v>
      </c>
      <c r="M94" s="4">
        <f t="shared" si="63"/>
        <v>6.2086092715231782</v>
      </c>
      <c r="N94" s="387">
        <f t="shared" si="64"/>
        <v>0.88694455066921618</v>
      </c>
      <c r="O94" s="387">
        <f t="shared" si="100"/>
        <v>3.3599999999999998E-2</v>
      </c>
      <c r="P94" s="4">
        <f t="shared" si="65"/>
        <v>1.6930126985418466</v>
      </c>
      <c r="Q94" s="387">
        <f t="shared" si="66"/>
        <v>6.2278155683108967</v>
      </c>
      <c r="R94" s="387">
        <f t="shared" si="101"/>
        <v>0.23712877771377514</v>
      </c>
      <c r="S94" s="387">
        <f t="shared" si="67"/>
        <v>4.2582312975526268E-2</v>
      </c>
      <c r="T94" s="387">
        <f t="shared" si="102"/>
        <v>0.27971109068930139</v>
      </c>
      <c r="U94" s="4">
        <f t="shared" si="68"/>
        <v>0.48873066862229497</v>
      </c>
      <c r="V94" s="387">
        <f t="shared" si="103"/>
        <v>1.6720036651639684E-3</v>
      </c>
      <c r="W94" s="387">
        <f t="shared" si="104"/>
        <v>1.6720036651639684E-3</v>
      </c>
      <c r="X94" s="387">
        <f t="shared" si="69"/>
        <v>1.9062560485777764</v>
      </c>
      <c r="Y94" s="387">
        <f t="shared" si="105"/>
        <v>7.2676242454787167E-3</v>
      </c>
      <c r="Z94" s="605">
        <f t="shared" si="106"/>
        <v>7.2676242454787167E-3</v>
      </c>
      <c r="AA94" s="387">
        <f t="shared" si="70"/>
        <v>5.8652155552412513</v>
      </c>
      <c r="AB94" s="387">
        <f t="shared" si="71"/>
        <v>0.19608429500383046</v>
      </c>
      <c r="AC94" s="387">
        <f t="shared" si="72"/>
        <v>3.0862848822294214E-2</v>
      </c>
      <c r="AD94">
        <f t="shared" si="73"/>
        <v>0</v>
      </c>
      <c r="AE94" s="387">
        <f t="shared" si="74"/>
        <v>0.23621058087061669</v>
      </c>
      <c r="AF94" s="387">
        <f t="shared" si="75"/>
        <v>2.0940232194155919</v>
      </c>
      <c r="AG94" s="387">
        <f t="shared" si="76"/>
        <v>2.4994119487674351E-2</v>
      </c>
      <c r="AH94" s="387">
        <f t="shared" si="77"/>
        <v>5.3760000000000002E-2</v>
      </c>
      <c r="AI94" s="387">
        <f t="shared" si="78"/>
        <v>7.9149775275807577E-2</v>
      </c>
      <c r="AJ94" s="387">
        <f t="shared" si="79"/>
        <v>1.1415774502403642</v>
      </c>
      <c r="AK94" s="387">
        <f t="shared" si="80"/>
        <v>2.4760782423048529E-3</v>
      </c>
      <c r="AL94" s="387">
        <f t="shared" si="81"/>
        <v>2.6195286713286716E-2</v>
      </c>
      <c r="AM94">
        <f t="shared" si="82"/>
        <v>0</v>
      </c>
      <c r="AN94" s="387">
        <f t="shared" si="83"/>
        <v>2.8685570498987699E-2</v>
      </c>
      <c r="AO94" s="387">
        <f t="shared" si="84"/>
        <v>6.1222943148788831</v>
      </c>
      <c r="AP94" s="387">
        <f t="shared" si="85"/>
        <v>7.1216726588196763E-2</v>
      </c>
      <c r="AQ94" s="387">
        <f t="shared" si="86"/>
        <v>5.1395793499043989E-2</v>
      </c>
      <c r="AR94" s="387">
        <f t="shared" si="87"/>
        <v>0.1243841667259655</v>
      </c>
      <c r="AS94" s="387">
        <f t="shared" si="88"/>
        <v>0</v>
      </c>
      <c r="AT94" s="387">
        <f t="shared" si="89"/>
        <v>0</v>
      </c>
      <c r="AU94" s="387">
        <f t="shared" si="90"/>
        <v>0.13636788479999998</v>
      </c>
      <c r="AV94" s="387">
        <f t="shared" si="91"/>
        <v>4.5505058546791453E-2</v>
      </c>
      <c r="AW94" s="387">
        <f t="shared" si="92"/>
        <v>0</v>
      </c>
      <c r="AX94" s="387">
        <f t="shared" si="93"/>
        <v>3.6000000000000004E-2</v>
      </c>
      <c r="AY94" s="387">
        <f t="shared" si="94"/>
        <v>8.8703999999999991E-2</v>
      </c>
      <c r="AZ94" s="387">
        <f t="shared" si="95"/>
        <v>7.3471999999999996E-2</v>
      </c>
      <c r="BA94" s="387">
        <f t="shared" si="113"/>
        <v>0.124704</v>
      </c>
      <c r="BB94" s="387">
        <f t="shared" si="114"/>
        <v>1.063657755318113</v>
      </c>
      <c r="BC94">
        <f t="shared" si="96"/>
        <v>72</v>
      </c>
      <c r="BD94" s="606">
        <f t="shared" si="107"/>
        <v>0.98544204070811525</v>
      </c>
      <c r="BE94" s="616">
        <f t="shared" si="97"/>
        <v>18.628923283530835</v>
      </c>
      <c r="BF94" s="616">
        <f t="shared" si="98"/>
        <v>3.9574887637903791</v>
      </c>
      <c r="BG94" s="9"/>
      <c r="BH94" s="4">
        <f t="shared" si="108"/>
        <v>98.544204070811531</v>
      </c>
      <c r="BI94" s="387">
        <f t="shared" si="109"/>
        <v>0.27971109068930139</v>
      </c>
      <c r="BJ94" s="387">
        <f t="shared" si="110"/>
        <v>0.60479797817137737</v>
      </c>
      <c r="BK94" s="387">
        <f t="shared" si="111"/>
        <v>0.12415117725980757</v>
      </c>
      <c r="BL94" s="387">
        <f t="shared" si="112"/>
        <v>4.5505058546791453E-2</v>
      </c>
      <c r="BR94" s="18"/>
      <c r="BS94" s="19"/>
    </row>
    <row r="95" spans="1:71" x14ac:dyDescent="0.2">
      <c r="G95">
        <v>86</v>
      </c>
      <c r="H95" s="612">
        <f t="shared" si="59"/>
        <v>13.17</v>
      </c>
      <c r="I95" s="4" t="str">
        <f t="shared" si="60"/>
        <v>BUCK-BST</v>
      </c>
      <c r="J95">
        <f t="shared" si="99"/>
        <v>3</v>
      </c>
      <c r="K95">
        <f t="shared" si="61"/>
        <v>6</v>
      </c>
      <c r="L95" s="4">
        <f t="shared" si="62"/>
        <v>5.6947608200455582</v>
      </c>
      <c r="M95" s="4">
        <f t="shared" si="63"/>
        <v>6.2086092715231782</v>
      </c>
      <c r="N95" s="387">
        <f t="shared" si="64"/>
        <v>0.88054669703872435</v>
      </c>
      <c r="O95" s="387">
        <f t="shared" si="100"/>
        <v>3.3599999999999998E-2</v>
      </c>
      <c r="P95" s="4">
        <f t="shared" si="65"/>
        <v>1.839713634884478</v>
      </c>
      <c r="Q95" s="387">
        <f t="shared" si="66"/>
        <v>6.231281939374532</v>
      </c>
      <c r="R95" s="387">
        <f t="shared" si="101"/>
        <v>0.23739783522031915</v>
      </c>
      <c r="S95" s="387">
        <f t="shared" si="67"/>
        <v>5.1568041088770174E-2</v>
      </c>
      <c r="T95" s="387">
        <f t="shared" si="102"/>
        <v>0.28896587630908932</v>
      </c>
      <c r="U95" s="4">
        <f t="shared" si="68"/>
        <v>0.53107958116618914</v>
      </c>
      <c r="V95" s="387">
        <f t="shared" si="103"/>
        <v>1.9743186507215839E-3</v>
      </c>
      <c r="W95" s="387">
        <f t="shared" si="104"/>
        <v>1.9743186507215839E-3</v>
      </c>
      <c r="X95" s="387">
        <f t="shared" si="69"/>
        <v>1.9535348333670928</v>
      </c>
      <c r="Y95" s="387">
        <f t="shared" si="105"/>
        <v>7.63259669035719E-3</v>
      </c>
      <c r="Z95" s="605">
        <f t="shared" si="106"/>
        <v>7.63259669035719E-3</v>
      </c>
      <c r="AA95" s="387">
        <f t="shared" si="70"/>
        <v>5.847276056916022</v>
      </c>
      <c r="AB95" s="387">
        <f t="shared" si="71"/>
        <v>0.19488663252896529</v>
      </c>
      <c r="AC95" s="387">
        <f t="shared" si="72"/>
        <v>3.1087091318517383E-2</v>
      </c>
      <c r="AD95">
        <f t="shared" si="73"/>
        <v>0</v>
      </c>
      <c r="AE95" s="387">
        <f t="shared" si="74"/>
        <v>0.23513880585757571</v>
      </c>
      <c r="AF95" s="387">
        <f t="shared" si="75"/>
        <v>2.1536567326739533</v>
      </c>
      <c r="AG95" s="387">
        <f t="shared" si="76"/>
        <v>2.6437952736493534E-2</v>
      </c>
      <c r="AH95" s="387">
        <f t="shared" si="77"/>
        <v>5.3760000000000002E-2</v>
      </c>
      <c r="AI95" s="387">
        <f t="shared" si="78"/>
        <v>8.0624260815866447E-2</v>
      </c>
      <c r="AJ95" s="387">
        <f t="shared" si="79"/>
        <v>1.1422128465518009</v>
      </c>
      <c r="AK95" s="387">
        <f t="shared" si="80"/>
        <v>2.478835354973139E-3</v>
      </c>
      <c r="AL95" s="387">
        <f t="shared" si="81"/>
        <v>2.6195286713286716E-2</v>
      </c>
      <c r="AM95">
        <f t="shared" si="82"/>
        <v>0</v>
      </c>
      <c r="AN95" s="387">
        <f t="shared" si="83"/>
        <v>2.8688344804935484E-2</v>
      </c>
      <c r="AO95" s="387">
        <f t="shared" si="84"/>
        <v>6.1257019533394921</v>
      </c>
      <c r="AP95" s="387">
        <f t="shared" si="85"/>
        <v>7.1296026400179804E-2</v>
      </c>
      <c r="AQ95" s="387">
        <f t="shared" si="86"/>
        <v>5.1025056947608206E-2</v>
      </c>
      <c r="AR95" s="387">
        <f t="shared" si="87"/>
        <v>0.12409051548134195</v>
      </c>
      <c r="AS95" s="387">
        <f t="shared" si="88"/>
        <v>0</v>
      </c>
      <c r="AT95" s="387">
        <f t="shared" si="89"/>
        <v>0</v>
      </c>
      <c r="AU95" s="387">
        <f t="shared" si="90"/>
        <v>0.13703820479999998</v>
      </c>
      <c r="AV95" s="387">
        <f t="shared" si="91"/>
        <v>4.7543100072158527E-2</v>
      </c>
      <c r="AW95" s="387">
        <f t="shared" si="92"/>
        <v>0</v>
      </c>
      <c r="AX95" s="387">
        <f t="shared" si="93"/>
        <v>3.6000000000000004E-2</v>
      </c>
      <c r="AY95" s="387">
        <f t="shared" si="94"/>
        <v>8.8703999999999991E-2</v>
      </c>
      <c r="AZ95" s="387">
        <f t="shared" si="95"/>
        <v>7.3471999999999996E-2</v>
      </c>
      <c r="BA95" s="387">
        <f t="shared" si="113"/>
        <v>0.124704</v>
      </c>
      <c r="BB95" s="387">
        <f t="shared" si="114"/>
        <v>1.0764000234820461</v>
      </c>
      <c r="BC95">
        <f t="shared" si="96"/>
        <v>72</v>
      </c>
      <c r="BD95" s="606">
        <f t="shared" si="107"/>
        <v>0.9852702100385875</v>
      </c>
      <c r="BE95" s="616">
        <f t="shared" si="97"/>
        <v>18.608850532878783</v>
      </c>
      <c r="BF95" s="616">
        <f t="shared" si="98"/>
        <v>4.0312130407933227</v>
      </c>
      <c r="BG95" s="9"/>
      <c r="BH95" s="4">
        <f t="shared" si="108"/>
        <v>98.527021003858749</v>
      </c>
      <c r="BI95" s="387">
        <f t="shared" si="109"/>
        <v>0.28896587630908932</v>
      </c>
      <c r="BJ95" s="387">
        <f t="shared" si="110"/>
        <v>0.60558013175971959</v>
      </c>
      <c r="BK95" s="387">
        <f t="shared" si="111"/>
        <v>0.12584686839986645</v>
      </c>
      <c r="BL95" s="387">
        <f t="shared" si="112"/>
        <v>4.7543100072158527E-2</v>
      </c>
      <c r="BR95" s="18"/>
      <c r="BS95" s="19"/>
    </row>
    <row r="96" spans="1:71" x14ac:dyDescent="0.2">
      <c r="G96">
        <v>87</v>
      </c>
      <c r="H96" s="612">
        <f t="shared" si="59"/>
        <v>13.265000000000001</v>
      </c>
      <c r="I96" s="4" t="str">
        <f t="shared" si="60"/>
        <v>BUCK-BST</v>
      </c>
      <c r="J96">
        <f t="shared" si="99"/>
        <v>3</v>
      </c>
      <c r="K96">
        <f t="shared" si="61"/>
        <v>6</v>
      </c>
      <c r="L96" s="4">
        <f t="shared" si="62"/>
        <v>5.6539766302299279</v>
      </c>
      <c r="M96" s="4">
        <f t="shared" si="63"/>
        <v>6.2086092715231782</v>
      </c>
      <c r="N96" s="387">
        <f t="shared" si="64"/>
        <v>0.87424048247267239</v>
      </c>
      <c r="O96" s="387">
        <f t="shared" si="100"/>
        <v>3.3599999999999998E-2</v>
      </c>
      <c r="P96" s="4">
        <f t="shared" si="65"/>
        <v>1.9843133139406339</v>
      </c>
      <c r="Q96" s="387">
        <f t="shared" si="66"/>
        <v>6.2349782702455139</v>
      </c>
      <c r="R96" s="387">
        <f t="shared" si="101"/>
        <v>0.23768491953654347</v>
      </c>
      <c r="S96" s="387">
        <f t="shared" si="67"/>
        <v>6.1388937740007553E-2</v>
      </c>
      <c r="T96" s="387">
        <f t="shared" si="102"/>
        <v>0.299073857276551</v>
      </c>
      <c r="U96" s="4">
        <f t="shared" si="68"/>
        <v>0.57282191298009177</v>
      </c>
      <c r="V96" s="387">
        <f t="shared" si="103"/>
        <v>2.2968746079312027E-3</v>
      </c>
      <c r="W96" s="387">
        <f t="shared" si="104"/>
        <v>2.2968746079312027E-3</v>
      </c>
      <c r="X96" s="387">
        <f t="shared" si="69"/>
        <v>1.9985148473252505</v>
      </c>
      <c r="Y96" s="387">
        <f t="shared" si="105"/>
        <v>7.988123189958939E-3</v>
      </c>
      <c r="Z96" s="605">
        <f t="shared" si="106"/>
        <v>7.988123189958939E-3</v>
      </c>
      <c r="AA96" s="387">
        <f t="shared" si="70"/>
        <v>5.8297563043123297</v>
      </c>
      <c r="AB96" s="387">
        <f t="shared" si="71"/>
        <v>0.19372053383571533</v>
      </c>
      <c r="AC96" s="387">
        <f t="shared" si="72"/>
        <v>3.1311333814740556E-2</v>
      </c>
      <c r="AD96">
        <f t="shared" si="73"/>
        <v>0</v>
      </c>
      <c r="AE96" s="387">
        <f t="shared" si="74"/>
        <v>0.23410193813599187</v>
      </c>
      <c r="AF96" s="387">
        <f t="shared" si="75"/>
        <v>2.2110846801432973</v>
      </c>
      <c r="AG96" s="387">
        <f t="shared" si="76"/>
        <v>2.786670413775701E-2</v>
      </c>
      <c r="AH96" s="387">
        <f t="shared" si="77"/>
        <v>5.3760000000000002E-2</v>
      </c>
      <c r="AI96" s="387">
        <f t="shared" si="78"/>
        <v>8.2084187290077174E-2</v>
      </c>
      <c r="AJ96" s="387">
        <f t="shared" si="79"/>
        <v>1.1428903951921958</v>
      </c>
      <c r="AK96" s="387">
        <f t="shared" si="80"/>
        <v>2.4817770653028899E-3</v>
      </c>
      <c r="AL96" s="387">
        <f t="shared" si="81"/>
        <v>2.6195286713286716E-2</v>
      </c>
      <c r="AM96">
        <f t="shared" si="82"/>
        <v>0</v>
      </c>
      <c r="AN96" s="387">
        <f t="shared" si="83"/>
        <v>2.8691304863066161E-2</v>
      </c>
      <c r="AO96" s="387">
        <f t="shared" si="84"/>
        <v>6.1293356552738381</v>
      </c>
      <c r="AP96" s="387">
        <f t="shared" si="85"/>
        <v>7.138063559252121E-2</v>
      </c>
      <c r="AQ96" s="387">
        <f t="shared" si="86"/>
        <v>5.0659630606860157E-2</v>
      </c>
      <c r="AR96" s="387">
        <f t="shared" si="87"/>
        <v>0.12380776154140391</v>
      </c>
      <c r="AS96" s="387">
        <f t="shared" si="88"/>
        <v>0</v>
      </c>
      <c r="AT96" s="387">
        <f t="shared" si="89"/>
        <v>0</v>
      </c>
      <c r="AU96" s="387">
        <f t="shared" si="90"/>
        <v>0.13770852479999998</v>
      </c>
      <c r="AV96" s="387">
        <f t="shared" si="91"/>
        <v>4.9560751345495688E-2</v>
      </c>
      <c r="AW96" s="387">
        <f t="shared" si="92"/>
        <v>0</v>
      </c>
      <c r="AX96" s="387">
        <f t="shared" si="93"/>
        <v>3.6000000000000004E-2</v>
      </c>
      <c r="AY96" s="387">
        <f t="shared" si="94"/>
        <v>8.8703999999999991E-2</v>
      </c>
      <c r="AZ96" s="387">
        <f t="shared" si="95"/>
        <v>7.3471999999999996E-2</v>
      </c>
      <c r="BA96" s="387">
        <f t="shared" si="113"/>
        <v>0.124704</v>
      </c>
      <c r="BB96" s="387">
        <f t="shared" si="114"/>
        <v>1.0900173230504759</v>
      </c>
      <c r="BC96">
        <f t="shared" si="96"/>
        <v>72</v>
      </c>
      <c r="BD96" s="606">
        <f t="shared" si="107"/>
        <v>0.98508664571479432</v>
      </c>
      <c r="BE96" s="616">
        <f t="shared" si="97"/>
        <v>18.590523146799594</v>
      </c>
      <c r="BF96" s="616">
        <f t="shared" si="98"/>
        <v>4.1042093645038591</v>
      </c>
      <c r="BG96" s="9"/>
      <c r="BH96" s="4">
        <f t="shared" si="108"/>
        <v>98.508664571479429</v>
      </c>
      <c r="BI96" s="387">
        <f t="shared" si="109"/>
        <v>0.299073857276551</v>
      </c>
      <c r="BJ96" s="387">
        <f t="shared" si="110"/>
        <v>0.60639371663053909</v>
      </c>
      <c r="BK96" s="387">
        <f t="shared" si="111"/>
        <v>0.12752800047407717</v>
      </c>
      <c r="BL96" s="387">
        <f t="shared" si="112"/>
        <v>4.9560751345495688E-2</v>
      </c>
      <c r="BR96" s="18"/>
      <c r="BS96" s="19"/>
    </row>
    <row r="97" spans="7:71" x14ac:dyDescent="0.2">
      <c r="G97">
        <v>88</v>
      </c>
      <c r="H97" s="612">
        <f t="shared" si="59"/>
        <v>13.36</v>
      </c>
      <c r="I97" s="4" t="str">
        <f t="shared" si="60"/>
        <v>BUCK-BST</v>
      </c>
      <c r="J97">
        <f t="shared" si="99"/>
        <v>3</v>
      </c>
      <c r="K97">
        <f t="shared" si="61"/>
        <v>6</v>
      </c>
      <c r="L97" s="4">
        <f t="shared" si="62"/>
        <v>5.6137724550898209</v>
      </c>
      <c r="M97" s="4">
        <f t="shared" si="63"/>
        <v>6.2086092715231782</v>
      </c>
      <c r="N97" s="387">
        <f t="shared" si="64"/>
        <v>0.86802395209580852</v>
      </c>
      <c r="O97" s="387">
        <f t="shared" si="100"/>
        <v>3.3599999999999998E-2</v>
      </c>
      <c r="P97" s="4">
        <f t="shared" si="65"/>
        <v>2.1268565604353604</v>
      </c>
      <c r="Q97" s="387">
        <f t="shared" si="66"/>
        <v>6.2388932503155141</v>
      </c>
      <c r="R97" s="387">
        <f t="shared" si="101"/>
        <v>0.2379891855359185</v>
      </c>
      <c r="S97" s="387">
        <f t="shared" si="67"/>
        <v>7.2028592186219251E-2</v>
      </c>
      <c r="T97" s="387">
        <f t="shared" si="102"/>
        <v>0.31001777772213773</v>
      </c>
      <c r="U97" s="4">
        <f t="shared" si="68"/>
        <v>0.61397060384753843</v>
      </c>
      <c r="V97" s="387">
        <f t="shared" si="103"/>
        <v>2.6387193167223769E-3</v>
      </c>
      <c r="W97" s="387">
        <f t="shared" si="104"/>
        <v>2.6387193167223769E-3</v>
      </c>
      <c r="X97" s="387">
        <f t="shared" si="69"/>
        <v>2.0413929697260507</v>
      </c>
      <c r="Y97" s="387">
        <f t="shared" si="105"/>
        <v>8.334570513693889E-3</v>
      </c>
      <c r="Z97" s="605">
        <f t="shared" si="106"/>
        <v>8.334570513693889E-3</v>
      </c>
      <c r="AA97" s="387">
        <f t="shared" si="70"/>
        <v>5.8126397745456133</v>
      </c>
      <c r="AB97" s="387">
        <f t="shared" si="71"/>
        <v>0.19258465254718918</v>
      </c>
      <c r="AC97" s="387">
        <f t="shared" si="72"/>
        <v>3.1535576310963723E-2</v>
      </c>
      <c r="AD97">
        <f t="shared" si="73"/>
        <v>0</v>
      </c>
      <c r="AE97" s="387">
        <f t="shared" si="74"/>
        <v>0.23309846628594522</v>
      </c>
      <c r="AF97" s="387">
        <f t="shared" si="75"/>
        <v>2.2664968211322947</v>
      </c>
      <c r="AG97" s="387">
        <f t="shared" si="76"/>
        <v>2.9280944689155944E-2</v>
      </c>
      <c r="AH97" s="387">
        <f t="shared" si="77"/>
        <v>5.3760000000000002E-2</v>
      </c>
      <c r="AI97" s="387">
        <f t="shared" si="78"/>
        <v>8.3530112811780091E-2</v>
      </c>
      <c r="AJ97" s="387">
        <f t="shared" si="79"/>
        <v>1.1436080228927967</v>
      </c>
      <c r="AK97" s="387">
        <f t="shared" si="80"/>
        <v>2.4848946890470656E-3</v>
      </c>
      <c r="AL97" s="387">
        <f t="shared" si="81"/>
        <v>2.6195286713286716E-2</v>
      </c>
      <c r="AM97">
        <f t="shared" si="82"/>
        <v>0</v>
      </c>
      <c r="AN97" s="387">
        <f t="shared" si="83"/>
        <v>2.8694441935607978E-2</v>
      </c>
      <c r="AO97" s="387">
        <f t="shared" si="84"/>
        <v>6.1331843017153584</v>
      </c>
      <c r="AP97" s="387">
        <f t="shared" si="85"/>
        <v>7.1470304389734646E-2</v>
      </c>
      <c r="AQ97" s="387">
        <f t="shared" si="86"/>
        <v>5.0299401197604801E-2</v>
      </c>
      <c r="AR97" s="387">
        <f t="shared" si="87"/>
        <v>0.12353552997336821</v>
      </c>
      <c r="AS97" s="387">
        <f t="shared" si="88"/>
        <v>0</v>
      </c>
      <c r="AT97" s="387">
        <f t="shared" si="89"/>
        <v>0</v>
      </c>
      <c r="AU97" s="387">
        <f t="shared" si="90"/>
        <v>0.13837884479999998</v>
      </c>
      <c r="AV97" s="387">
        <f t="shared" si="91"/>
        <v>5.1558777201820546E-2</v>
      </c>
      <c r="AW97" s="387">
        <f t="shared" si="92"/>
        <v>0</v>
      </c>
      <c r="AX97" s="387">
        <f t="shared" si="93"/>
        <v>3.6000000000000004E-2</v>
      </c>
      <c r="AY97" s="387">
        <f t="shared" si="94"/>
        <v>8.8703999999999991E-2</v>
      </c>
      <c r="AZ97" s="387">
        <f t="shared" si="95"/>
        <v>7.3471999999999996E-2</v>
      </c>
      <c r="BA97" s="387">
        <f t="shared" si="113"/>
        <v>0.124704</v>
      </c>
      <c r="BB97" s="387">
        <f t="shared" si="114"/>
        <v>1.1044912405610761</v>
      </c>
      <c r="BC97">
        <f t="shared" si="96"/>
        <v>72</v>
      </c>
      <c r="BD97" s="606">
        <f t="shared" si="107"/>
        <v>0.98489160895838013</v>
      </c>
      <c r="BE97" s="616">
        <f t="shared" si="97"/>
        <v>18.57386555429726</v>
      </c>
      <c r="BF97" s="616">
        <f t="shared" si="98"/>
        <v>4.1765056405890046</v>
      </c>
      <c r="BG97" s="9"/>
      <c r="BH97" s="4">
        <f t="shared" si="108"/>
        <v>98.489160895838012</v>
      </c>
      <c r="BI97" s="387">
        <f t="shared" si="109"/>
        <v>0.31001777772213773</v>
      </c>
      <c r="BJ97" s="387">
        <f t="shared" si="110"/>
        <v>0.60723739580670144</v>
      </c>
      <c r="BK97" s="387">
        <f t="shared" si="111"/>
        <v>0.12919513159578008</v>
      </c>
      <c r="BL97" s="387">
        <f t="shared" si="112"/>
        <v>5.1558777201820546E-2</v>
      </c>
      <c r="BR97" s="18"/>
      <c r="BS97" s="19"/>
    </row>
    <row r="98" spans="7:71" x14ac:dyDescent="0.2">
      <c r="G98">
        <v>89</v>
      </c>
      <c r="H98" s="612">
        <f t="shared" si="59"/>
        <v>13.455</v>
      </c>
      <c r="I98" s="4" t="str">
        <f t="shared" si="60"/>
        <v>BUCK</v>
      </c>
      <c r="J98">
        <f t="shared" si="99"/>
        <v>1</v>
      </c>
      <c r="K98">
        <f t="shared" si="61"/>
        <v>6</v>
      </c>
      <c r="L98" s="4">
        <f t="shared" si="62"/>
        <v>5.5741360089186172</v>
      </c>
      <c r="M98" s="4">
        <f t="shared" si="63"/>
        <v>6</v>
      </c>
      <c r="N98" s="387">
        <f t="shared" si="64"/>
        <v>0.89744501221950679</v>
      </c>
      <c r="O98" s="387">
        <f t="shared" si="100"/>
        <v>0</v>
      </c>
      <c r="P98" s="4">
        <f t="shared" si="65"/>
        <v>1.18045388765347</v>
      </c>
      <c r="Q98" s="387">
        <f t="shared" si="66"/>
        <v>6.0096690936417634</v>
      </c>
      <c r="R98" s="387">
        <f t="shared" si="101"/>
        <v>0.22051960599238135</v>
      </c>
      <c r="S98" s="387">
        <f t="shared" si="67"/>
        <v>1.8552270535645406E-2</v>
      </c>
      <c r="T98" s="387">
        <f t="shared" si="102"/>
        <v>0.23907187652802675</v>
      </c>
      <c r="U98" s="4">
        <f t="shared" si="68"/>
        <v>0.34076768490133563</v>
      </c>
      <c r="V98" s="387">
        <f t="shared" si="103"/>
        <v>8.1285830551111181E-4</v>
      </c>
      <c r="W98" s="387">
        <f t="shared" si="104"/>
        <v>8.1285830551111181E-4</v>
      </c>
      <c r="X98" s="387">
        <f t="shared" si="69"/>
        <v>1.8231939754805651</v>
      </c>
      <c r="Y98" s="387">
        <f t="shared" si="105"/>
        <v>6.6480725444572541E-3</v>
      </c>
      <c r="Z98" s="605">
        <f t="shared" si="106"/>
        <v>6.6480725444572541E-3</v>
      </c>
      <c r="AA98" s="387">
        <f t="shared" si="70"/>
        <v>5.6931743431591313</v>
      </c>
      <c r="AB98" s="387">
        <f t="shared" si="71"/>
        <v>0.18474973437915082</v>
      </c>
      <c r="AC98" s="387">
        <f t="shared" si="72"/>
        <v>6.1385377790530833E-2</v>
      </c>
      <c r="AD98">
        <f t="shared" si="73"/>
        <v>0</v>
      </c>
      <c r="AE98" s="387">
        <f t="shared" si="74"/>
        <v>0.25557873276805321</v>
      </c>
      <c r="AF98" s="387">
        <f t="shared" si="75"/>
        <v>1.9245489116849193</v>
      </c>
      <c r="AG98" s="387">
        <f t="shared" si="76"/>
        <v>2.1112164526765363E-2</v>
      </c>
      <c r="AH98" s="387">
        <f t="shared" si="77"/>
        <v>0.10752</v>
      </c>
      <c r="AI98" s="387">
        <f t="shared" si="78"/>
        <v>0.12917760831073141</v>
      </c>
      <c r="AJ98" s="387">
        <f t="shared" si="79"/>
        <v>0</v>
      </c>
      <c r="AK98" s="387">
        <f t="shared" si="80"/>
        <v>0</v>
      </c>
      <c r="AL98" s="387">
        <f t="shared" si="81"/>
        <v>0</v>
      </c>
      <c r="AM98">
        <f t="shared" si="82"/>
        <v>0</v>
      </c>
      <c r="AN98" s="387">
        <f t="shared" si="83"/>
        <v>0</v>
      </c>
      <c r="AO98" s="387">
        <f t="shared" si="84"/>
        <v>6.0096690936417634</v>
      </c>
      <c r="AP98" s="387">
        <f t="shared" si="85"/>
        <v>6.862063296863874E-2</v>
      </c>
      <c r="AQ98" s="387">
        <f t="shared" si="86"/>
        <v>0</v>
      </c>
      <c r="AR98" s="387">
        <f t="shared" si="87"/>
        <v>6.9575495881943922E-2</v>
      </c>
      <c r="AS98" s="387">
        <f t="shared" si="88"/>
        <v>6.862063296863874E-2</v>
      </c>
      <c r="AT98" s="387">
        <f t="shared" si="89"/>
        <v>0</v>
      </c>
      <c r="AU98" s="387">
        <f t="shared" si="90"/>
        <v>0.18939432959999999</v>
      </c>
      <c r="AV98" s="387">
        <f t="shared" si="91"/>
        <v>2.9631108107740858E-2</v>
      </c>
      <c r="AW98" s="387">
        <f t="shared" si="92"/>
        <v>0</v>
      </c>
      <c r="AX98" s="387">
        <f t="shared" si="93"/>
        <v>3.6000000000000004E-2</v>
      </c>
      <c r="AY98" s="387">
        <f t="shared" si="94"/>
        <v>5.9136000000000001E-2</v>
      </c>
      <c r="AZ98" s="387">
        <f t="shared" si="95"/>
        <v>7.3471999999999996E-2</v>
      </c>
      <c r="BA98" s="387">
        <f t="shared" si="113"/>
        <v>9.5135999999999998E-2</v>
      </c>
      <c r="BB98" s="387">
        <f t="shared" si="114"/>
        <v>1.0150260820464645</v>
      </c>
      <c r="BC98">
        <f t="shared" si="96"/>
        <v>72</v>
      </c>
      <c r="BD98" s="606">
        <f t="shared" si="107"/>
        <v>0.98609839458379589</v>
      </c>
      <c r="BE98" s="616">
        <f t="shared" si="97"/>
        <v>22.248653118402661</v>
      </c>
      <c r="BF98" s="616">
        <f t="shared" si="98"/>
        <v>6.4588804155365702</v>
      </c>
      <c r="BG98" s="9"/>
      <c r="BH98" s="4">
        <f t="shared" si="108"/>
        <v>98.609839458379582</v>
      </c>
      <c r="BI98" s="387">
        <f t="shared" si="109"/>
        <v>0.23907187652802675</v>
      </c>
      <c r="BJ98" s="387">
        <f t="shared" si="110"/>
        <v>0.64372616656072856</v>
      </c>
      <c r="BK98" s="387">
        <f t="shared" si="111"/>
        <v>0.19167773707873142</v>
      </c>
      <c r="BL98" s="387">
        <f t="shared" si="112"/>
        <v>2.9631108107740858E-2</v>
      </c>
      <c r="BR98" s="18"/>
      <c r="BS98" s="19"/>
    </row>
    <row r="99" spans="7:71" x14ac:dyDescent="0.2">
      <c r="G99">
        <v>90</v>
      </c>
      <c r="H99" s="612">
        <f t="shared" si="59"/>
        <v>13.55</v>
      </c>
      <c r="I99" s="4" t="str">
        <f t="shared" si="60"/>
        <v>BUCK</v>
      </c>
      <c r="J99">
        <f t="shared" si="99"/>
        <v>1</v>
      </c>
      <c r="K99">
        <f t="shared" si="61"/>
        <v>6</v>
      </c>
      <c r="L99" s="4">
        <f t="shared" si="62"/>
        <v>5.5350553505535052</v>
      </c>
      <c r="M99" s="4">
        <f t="shared" si="63"/>
        <v>6</v>
      </c>
      <c r="N99" s="387">
        <f t="shared" si="64"/>
        <v>0.89117517281953218</v>
      </c>
      <c r="O99" s="387">
        <f t="shared" si="100"/>
        <v>0</v>
      </c>
      <c r="P99" s="4">
        <f t="shared" si="65"/>
        <v>1.2526225500934123</v>
      </c>
      <c r="Q99" s="387">
        <f t="shared" si="66"/>
        <v>6.010886396454648</v>
      </c>
      <c r="R99" s="387">
        <f t="shared" si="101"/>
        <v>0.22061052761863578</v>
      </c>
      <c r="S99" s="387">
        <f t="shared" si="67"/>
        <v>2.1270314484970226E-2</v>
      </c>
      <c r="T99" s="387">
        <f t="shared" si="102"/>
        <v>0.241880842103606</v>
      </c>
      <c r="U99" s="4">
        <f t="shared" si="68"/>
        <v>0.36160098324471357</v>
      </c>
      <c r="V99" s="387">
        <f t="shared" si="103"/>
        <v>9.1528689758480538E-4</v>
      </c>
      <c r="W99" s="387">
        <f t="shared" si="104"/>
        <v>9.1528689758480538E-4</v>
      </c>
      <c r="X99" s="387">
        <f t="shared" si="69"/>
        <v>1.8719060702226076</v>
      </c>
      <c r="Y99" s="387">
        <f t="shared" si="105"/>
        <v>7.0080646714724918E-3</v>
      </c>
      <c r="Z99" s="605">
        <f t="shared" si="106"/>
        <v>7.0080646714724918E-3</v>
      </c>
      <c r="AA99" s="387">
        <f t="shared" si="70"/>
        <v>5.6744014726496133</v>
      </c>
      <c r="AB99" s="387">
        <f t="shared" si="71"/>
        <v>0.18353334281500619</v>
      </c>
      <c r="AC99" s="387">
        <f t="shared" si="72"/>
        <v>6.1818793687230991E-2</v>
      </c>
      <c r="AD99">
        <f t="shared" si="73"/>
        <v>0</v>
      </c>
      <c r="AE99" s="387">
        <f t="shared" si="74"/>
        <v>0.25470137547431332</v>
      </c>
      <c r="AF99" s="387">
        <f t="shared" si="75"/>
        <v>1.9829077634311292</v>
      </c>
      <c r="AG99" s="387">
        <f t="shared" si="76"/>
        <v>2.2411962230170026E-2</v>
      </c>
      <c r="AH99" s="387">
        <f t="shared" si="77"/>
        <v>0.10752</v>
      </c>
      <c r="AI99" s="387">
        <f t="shared" si="78"/>
        <v>0.13051699060292768</v>
      </c>
      <c r="AJ99" s="387">
        <f t="shared" si="79"/>
        <v>0</v>
      </c>
      <c r="AK99" s="387">
        <f t="shared" si="80"/>
        <v>0</v>
      </c>
      <c r="AL99" s="387">
        <f t="shared" si="81"/>
        <v>0</v>
      </c>
      <c r="AM99">
        <f t="shared" si="82"/>
        <v>0</v>
      </c>
      <c r="AN99" s="387">
        <f t="shared" si="83"/>
        <v>0</v>
      </c>
      <c r="AO99" s="387">
        <f t="shared" si="84"/>
        <v>6.010886396454648</v>
      </c>
      <c r="AP99" s="387">
        <f t="shared" si="85"/>
        <v>6.864843501505874E-2</v>
      </c>
      <c r="AQ99" s="387">
        <f t="shared" si="86"/>
        <v>0</v>
      </c>
      <c r="AR99" s="387">
        <f t="shared" si="87"/>
        <v>6.9604077209275556E-2</v>
      </c>
      <c r="AS99" s="387">
        <f t="shared" si="88"/>
        <v>6.864843501505874E-2</v>
      </c>
      <c r="AT99" s="387">
        <f t="shared" si="89"/>
        <v>0</v>
      </c>
      <c r="AU99" s="387">
        <f t="shared" si="90"/>
        <v>0.1907349696</v>
      </c>
      <c r="AV99" s="387">
        <f t="shared" si="91"/>
        <v>3.1455385586203546E-2</v>
      </c>
      <c r="AW99" s="387">
        <f t="shared" si="92"/>
        <v>0</v>
      </c>
      <c r="AX99" s="387">
        <f t="shared" si="93"/>
        <v>3.6000000000000004E-2</v>
      </c>
      <c r="AY99" s="387">
        <f t="shared" si="94"/>
        <v>5.9136000000000001E-2</v>
      </c>
      <c r="AZ99" s="387">
        <f t="shared" si="95"/>
        <v>7.3471999999999996E-2</v>
      </c>
      <c r="BA99" s="387">
        <f t="shared" si="113"/>
        <v>9.5135999999999998E-2</v>
      </c>
      <c r="BB99" s="387">
        <f t="shared" si="114"/>
        <v>1.0219529921453834</v>
      </c>
      <c r="BC99">
        <f t="shared" si="96"/>
        <v>72</v>
      </c>
      <c r="BD99" s="606">
        <f t="shared" si="107"/>
        <v>0.9860048526467744</v>
      </c>
      <c r="BE99" s="616">
        <f t="shared" si="97"/>
        <v>22.271817253715664</v>
      </c>
      <c r="BF99" s="616">
        <f t="shared" si="98"/>
        <v>6.5258495301463837</v>
      </c>
      <c r="BG99" s="9"/>
      <c r="BH99" s="4">
        <f t="shared" si="108"/>
        <v>98.600485264677445</v>
      </c>
      <c r="BI99" s="387">
        <f t="shared" si="109"/>
        <v>0.241880842103606</v>
      </c>
      <c r="BJ99" s="387">
        <f t="shared" si="110"/>
        <v>0.64555741288651658</v>
      </c>
      <c r="BK99" s="387">
        <f t="shared" si="111"/>
        <v>0.19345953057092768</v>
      </c>
      <c r="BL99" s="387">
        <f t="shared" si="112"/>
        <v>3.1455385586203546E-2</v>
      </c>
      <c r="BR99" s="18"/>
      <c r="BS99" s="19"/>
    </row>
    <row r="100" spans="7:71" x14ac:dyDescent="0.2">
      <c r="G100">
        <v>91</v>
      </c>
      <c r="H100" s="612">
        <f t="shared" si="59"/>
        <v>13.645</v>
      </c>
      <c r="I100" s="4" t="str">
        <f t="shared" si="60"/>
        <v>BUCK</v>
      </c>
      <c r="J100">
        <f t="shared" si="99"/>
        <v>1</v>
      </c>
      <c r="K100">
        <f t="shared" si="61"/>
        <v>6</v>
      </c>
      <c r="L100" s="4">
        <f t="shared" si="62"/>
        <v>5.4965188713814586</v>
      </c>
      <c r="M100" s="4">
        <f t="shared" si="63"/>
        <v>6</v>
      </c>
      <c r="N100" s="387">
        <f t="shared" si="64"/>
        <v>0.88499233184838966</v>
      </c>
      <c r="O100" s="387">
        <f t="shared" si="100"/>
        <v>0</v>
      </c>
      <c r="P100" s="4">
        <f t="shared" si="65"/>
        <v>1.3237898216136434</v>
      </c>
      <c r="Q100" s="387">
        <f t="shared" si="66"/>
        <v>6.0121572632168112</v>
      </c>
      <c r="R100" s="387">
        <f t="shared" si="101"/>
        <v>0.22070547102804366</v>
      </c>
      <c r="S100" s="387">
        <f t="shared" si="67"/>
        <v>2.4158344690891467E-2</v>
      </c>
      <c r="T100" s="387">
        <f t="shared" si="102"/>
        <v>0.24486381571893512</v>
      </c>
      <c r="U100" s="4">
        <f t="shared" si="68"/>
        <v>0.38214520492956189</v>
      </c>
      <c r="V100" s="387">
        <f t="shared" si="103"/>
        <v>1.0222447035545981E-3</v>
      </c>
      <c r="W100" s="387">
        <f t="shared" si="104"/>
        <v>1.0222447035545981E-3</v>
      </c>
      <c r="X100" s="387">
        <f t="shared" si="69"/>
        <v>1.9180657259625222</v>
      </c>
      <c r="Y100" s="387">
        <f t="shared" si="105"/>
        <v>7.3579522582242754E-3</v>
      </c>
      <c r="Z100" s="605">
        <f t="shared" si="106"/>
        <v>7.3579522582242754E-3</v>
      </c>
      <c r="AA100" s="387">
        <f t="shared" si="70"/>
        <v>5.6558786907292014</v>
      </c>
      <c r="AB100" s="387">
        <f t="shared" si="71"/>
        <v>0.18233709345619462</v>
      </c>
      <c r="AC100" s="387">
        <f t="shared" si="72"/>
        <v>6.2252209583931122E-2</v>
      </c>
      <c r="AD100">
        <f t="shared" si="73"/>
        <v>0</v>
      </c>
      <c r="AE100" s="387">
        <f t="shared" si="74"/>
        <v>0.25384642697593207</v>
      </c>
      <c r="AF100" s="387">
        <f t="shared" si="75"/>
        <v>2.0388896962332201</v>
      </c>
      <c r="AG100" s="387">
        <f t="shared" si="76"/>
        <v>2.3695305802414159E-2</v>
      </c>
      <c r="AH100" s="387">
        <f t="shared" si="77"/>
        <v>0.10752</v>
      </c>
      <c r="AI100" s="387">
        <f t="shared" si="78"/>
        <v>0.13184010411923966</v>
      </c>
      <c r="AJ100" s="387">
        <f t="shared" si="79"/>
        <v>0</v>
      </c>
      <c r="AK100" s="387">
        <f t="shared" si="80"/>
        <v>0</v>
      </c>
      <c r="AL100" s="387">
        <f t="shared" si="81"/>
        <v>0</v>
      </c>
      <c r="AM100">
        <f t="shared" si="82"/>
        <v>0</v>
      </c>
      <c r="AN100" s="387">
        <f t="shared" si="83"/>
        <v>0</v>
      </c>
      <c r="AO100" s="387">
        <f t="shared" si="84"/>
        <v>6.0121572632168112</v>
      </c>
      <c r="AP100" s="387">
        <f t="shared" si="85"/>
        <v>6.8677466419536246E-2</v>
      </c>
      <c r="AQ100" s="387">
        <f t="shared" si="86"/>
        <v>0</v>
      </c>
      <c r="AR100" s="387">
        <f t="shared" si="87"/>
        <v>6.9633922697074024E-2</v>
      </c>
      <c r="AS100" s="387">
        <f t="shared" si="88"/>
        <v>6.8677466419536246E-2</v>
      </c>
      <c r="AT100" s="387">
        <f t="shared" si="89"/>
        <v>0</v>
      </c>
      <c r="AU100" s="387">
        <f t="shared" si="90"/>
        <v>0.19207560959999997</v>
      </c>
      <c r="AV100" s="387">
        <f t="shared" si="91"/>
        <v>3.3256569547247941E-2</v>
      </c>
      <c r="AW100" s="387">
        <f t="shared" si="92"/>
        <v>0</v>
      </c>
      <c r="AX100" s="387">
        <f t="shared" si="93"/>
        <v>3.6000000000000004E-2</v>
      </c>
      <c r="AY100" s="387">
        <f t="shared" si="94"/>
        <v>5.9136000000000001E-2</v>
      </c>
      <c r="AZ100" s="387">
        <f t="shared" si="95"/>
        <v>7.3471999999999996E-2</v>
      </c>
      <c r="BA100" s="387">
        <f t="shared" si="113"/>
        <v>9.5135999999999998E-2</v>
      </c>
      <c r="BB100" s="387">
        <f t="shared" si="114"/>
        <v>1.0290326456202075</v>
      </c>
      <c r="BC100">
        <f t="shared" si="96"/>
        <v>72</v>
      </c>
      <c r="BD100" s="606">
        <f t="shared" si="107"/>
        <v>0.98590926637884313</v>
      </c>
      <c r="BE100" s="616">
        <f t="shared" si="97"/>
        <v>22.296101828796601</v>
      </c>
      <c r="BF100" s="616">
        <f t="shared" si="98"/>
        <v>6.5920052059619829</v>
      </c>
      <c r="BG100" s="9"/>
      <c r="BH100" s="4">
        <f t="shared" si="108"/>
        <v>98.590926637884309</v>
      </c>
      <c r="BI100" s="387">
        <f t="shared" si="109"/>
        <v>0.24486381571893512</v>
      </c>
      <c r="BJ100" s="387">
        <f t="shared" si="110"/>
        <v>0.64739606339224576</v>
      </c>
      <c r="BK100" s="387">
        <f t="shared" si="111"/>
        <v>0.19522505528723966</v>
      </c>
      <c r="BL100" s="387">
        <f t="shared" si="112"/>
        <v>3.3256569547247941E-2</v>
      </c>
      <c r="BR100" s="18"/>
      <c r="BS100" s="19"/>
    </row>
    <row r="101" spans="7:71" x14ac:dyDescent="0.2">
      <c r="G101">
        <v>92</v>
      </c>
      <c r="H101" s="612">
        <f t="shared" si="59"/>
        <v>13.74</v>
      </c>
      <c r="I101" s="4" t="str">
        <f t="shared" si="60"/>
        <v>BUCK</v>
      </c>
      <c r="J101">
        <f t="shared" si="99"/>
        <v>1</v>
      </c>
      <c r="K101">
        <f t="shared" si="61"/>
        <v>6</v>
      </c>
      <c r="L101" s="4">
        <f t="shared" si="62"/>
        <v>5.4585152838427948</v>
      </c>
      <c r="M101" s="4">
        <f t="shared" si="63"/>
        <v>6</v>
      </c>
      <c r="N101" s="387">
        <f t="shared" si="64"/>
        <v>0.87889469103568318</v>
      </c>
      <c r="O101" s="387">
        <f t="shared" si="100"/>
        <v>0</v>
      </c>
      <c r="P101" s="4">
        <f t="shared" si="65"/>
        <v>1.393976401112637</v>
      </c>
      <c r="Q101" s="387">
        <f t="shared" si="66"/>
        <v>6.0134790970428744</v>
      </c>
      <c r="R101" s="387">
        <f t="shared" si="101"/>
        <v>0.22080424486388414</v>
      </c>
      <c r="S101" s="387">
        <f t="shared" si="67"/>
        <v>2.7212008770635655E-2</v>
      </c>
      <c r="T101" s="387">
        <f t="shared" si="102"/>
        <v>0.24801625363451979</v>
      </c>
      <c r="U101" s="4">
        <f t="shared" si="68"/>
        <v>0.40240632521318337</v>
      </c>
      <c r="V101" s="387">
        <f t="shared" si="103"/>
        <v>1.1335159540010482E-3</v>
      </c>
      <c r="W101" s="387">
        <f t="shared" si="104"/>
        <v>1.1335159540010482E-3</v>
      </c>
      <c r="X101" s="387">
        <f t="shared" si="69"/>
        <v>1.9618952569693899</v>
      </c>
      <c r="Y101" s="387">
        <f t="shared" si="105"/>
        <v>7.6980659986379775E-3</v>
      </c>
      <c r="Z101" s="605">
        <f t="shared" si="106"/>
        <v>7.6980659986379775E-3</v>
      </c>
      <c r="AA101" s="387">
        <f t="shared" si="70"/>
        <v>5.6375995815743121</v>
      </c>
      <c r="AB101" s="387">
        <f t="shared" si="71"/>
        <v>0.18116041554035109</v>
      </c>
      <c r="AC101" s="387">
        <f t="shared" si="72"/>
        <v>6.2685625480631266E-2</v>
      </c>
      <c r="AD101">
        <f t="shared" si="73"/>
        <v>0</v>
      </c>
      <c r="AE101" s="387">
        <f t="shared" si="74"/>
        <v>0.2530132376758974</v>
      </c>
      <c r="AF101" s="387">
        <f t="shared" si="75"/>
        <v>2.0927020352655874</v>
      </c>
      <c r="AG101" s="387">
        <f t="shared" si="76"/>
        <v>2.4962590307906974E-2</v>
      </c>
      <c r="AH101" s="387">
        <f t="shared" si="77"/>
        <v>0.10752</v>
      </c>
      <c r="AI101" s="387">
        <f t="shared" si="78"/>
        <v>0.13314733076158555</v>
      </c>
      <c r="AJ101" s="387">
        <f t="shared" si="79"/>
        <v>0</v>
      </c>
      <c r="AK101" s="387">
        <f t="shared" si="80"/>
        <v>0</v>
      </c>
      <c r="AL101" s="387">
        <f t="shared" si="81"/>
        <v>0</v>
      </c>
      <c r="AM101">
        <f t="shared" si="82"/>
        <v>0</v>
      </c>
      <c r="AN101" s="387">
        <f t="shared" si="83"/>
        <v>0</v>
      </c>
      <c r="AO101" s="387">
        <f t="shared" si="84"/>
        <v>6.0134790970428744</v>
      </c>
      <c r="AP101" s="387">
        <f t="shared" si="85"/>
        <v>6.8707668616086015E-2</v>
      </c>
      <c r="AQ101" s="387">
        <f t="shared" si="86"/>
        <v>0</v>
      </c>
      <c r="AR101" s="387">
        <f t="shared" si="87"/>
        <v>6.9664972180633167E-2</v>
      </c>
      <c r="AS101" s="387">
        <f t="shared" si="88"/>
        <v>6.8707668616086015E-2</v>
      </c>
      <c r="AT101" s="387">
        <f t="shared" si="89"/>
        <v>0</v>
      </c>
      <c r="AU101" s="387">
        <f t="shared" si="90"/>
        <v>0.19341624960000001</v>
      </c>
      <c r="AV101" s="387">
        <f t="shared" si="91"/>
        <v>3.5035214467237855E-2</v>
      </c>
      <c r="AW101" s="387">
        <f t="shared" si="92"/>
        <v>0</v>
      </c>
      <c r="AX101" s="387">
        <f t="shared" si="93"/>
        <v>3.6000000000000004E-2</v>
      </c>
      <c r="AY101" s="387">
        <f t="shared" si="94"/>
        <v>5.9136000000000001E-2</v>
      </c>
      <c r="AZ101" s="387">
        <f t="shared" si="95"/>
        <v>7.3471999999999996E-2</v>
      </c>
      <c r="BA101" s="387">
        <f t="shared" si="113"/>
        <v>9.5135999999999998E-2</v>
      </c>
      <c r="BB101" s="387">
        <f t="shared" si="114"/>
        <v>1.0362608402725129</v>
      </c>
      <c r="BC101">
        <f t="shared" si="96"/>
        <v>72</v>
      </c>
      <c r="BD101" s="606">
        <f t="shared" si="107"/>
        <v>0.98581169369364652</v>
      </c>
      <c r="BE101" s="616">
        <f t="shared" si="97"/>
        <v>22.32147436379487</v>
      </c>
      <c r="BF101" s="616">
        <f t="shared" si="98"/>
        <v>6.6573665380792777</v>
      </c>
      <c r="BG101" s="9"/>
      <c r="BH101" s="4">
        <f t="shared" si="108"/>
        <v>98.581169369364659</v>
      </c>
      <c r="BI101" s="387">
        <f t="shared" si="109"/>
        <v>0.24801625363451979</v>
      </c>
      <c r="BJ101" s="387">
        <f t="shared" si="110"/>
        <v>0.64924179021811612</v>
      </c>
      <c r="BK101" s="387">
        <f t="shared" si="111"/>
        <v>0.19697469312958554</v>
      </c>
      <c r="BL101" s="387">
        <f t="shared" si="112"/>
        <v>3.5035214467237855E-2</v>
      </c>
      <c r="BR101" s="18"/>
      <c r="BS101" s="19"/>
    </row>
    <row r="102" spans="7:71" x14ac:dyDescent="0.2">
      <c r="G102">
        <v>93</v>
      </c>
      <c r="H102" s="612">
        <f t="shared" si="59"/>
        <v>13.835000000000001</v>
      </c>
      <c r="I102" s="4" t="str">
        <f t="shared" si="60"/>
        <v>BUCK</v>
      </c>
      <c r="J102">
        <f t="shared" si="99"/>
        <v>1</v>
      </c>
      <c r="K102">
        <f t="shared" si="61"/>
        <v>6</v>
      </c>
      <c r="L102" s="4">
        <f t="shared" si="62"/>
        <v>5.4210336104083838</v>
      </c>
      <c r="M102" s="4">
        <f t="shared" si="63"/>
        <v>6</v>
      </c>
      <c r="N102" s="387">
        <f t="shared" si="64"/>
        <v>0.8728805013325649</v>
      </c>
      <c r="O102" s="387">
        <f t="shared" si="100"/>
        <v>0</v>
      </c>
      <c r="P102" s="4">
        <f t="shared" si="65"/>
        <v>1.4632024209267775</v>
      </c>
      <c r="Q102" s="387">
        <f t="shared" si="66"/>
        <v>6.0148494115577966</v>
      </c>
      <c r="R102" s="387">
        <f t="shared" si="101"/>
        <v>0.22090666595513408</v>
      </c>
      <c r="S102" s="387">
        <f t="shared" si="67"/>
        <v>3.0426883662730247E-2</v>
      </c>
      <c r="T102" s="387">
        <f t="shared" si="102"/>
        <v>0.25133354961786436</v>
      </c>
      <c r="U102" s="4">
        <f t="shared" si="68"/>
        <v>0.42239015580049361</v>
      </c>
      <c r="V102" s="387">
        <f t="shared" si="103"/>
        <v>1.2488941060201568E-3</v>
      </c>
      <c r="W102" s="387">
        <f t="shared" si="104"/>
        <v>1.2488941060201568E-3</v>
      </c>
      <c r="X102" s="387">
        <f t="shared" si="69"/>
        <v>2.0035871634025919</v>
      </c>
      <c r="Y102" s="387">
        <f t="shared" si="105"/>
        <v>8.0287230427032886E-3</v>
      </c>
      <c r="Z102" s="605">
        <f t="shared" si="106"/>
        <v>8.0287230427032886E-3</v>
      </c>
      <c r="AA102" s="387">
        <f t="shared" si="70"/>
        <v>5.619557959854907</v>
      </c>
      <c r="AB102" s="387">
        <f t="shared" si="71"/>
        <v>0.18000276048576128</v>
      </c>
      <c r="AC102" s="387">
        <f t="shared" si="72"/>
        <v>6.3119041377331403E-2</v>
      </c>
      <c r="AD102">
        <f t="shared" si="73"/>
        <v>0</v>
      </c>
      <c r="AE102" s="387">
        <f t="shared" si="74"/>
        <v>0.25220118371643985</v>
      </c>
      <c r="AF102" s="387">
        <f t="shared" si="75"/>
        <v>2.1445236719487433</v>
      </c>
      <c r="AG102" s="387">
        <f t="shared" si="76"/>
        <v>2.6214196143426571E-2</v>
      </c>
      <c r="AH102" s="387">
        <f t="shared" si="77"/>
        <v>0.10752</v>
      </c>
      <c r="AI102" s="387">
        <f t="shared" si="78"/>
        <v>0.13443903840785804</v>
      </c>
      <c r="AJ102" s="387">
        <f t="shared" si="79"/>
        <v>0</v>
      </c>
      <c r="AK102" s="387">
        <f t="shared" si="80"/>
        <v>0</v>
      </c>
      <c r="AL102" s="387">
        <f t="shared" si="81"/>
        <v>0</v>
      </c>
      <c r="AM102">
        <f t="shared" si="82"/>
        <v>0</v>
      </c>
      <c r="AN102" s="387">
        <f t="shared" si="83"/>
        <v>0</v>
      </c>
      <c r="AO102" s="387">
        <f t="shared" si="84"/>
        <v>6.0148494115577966</v>
      </c>
      <c r="AP102" s="387">
        <f t="shared" si="85"/>
        <v>6.8738985543062639E-2</v>
      </c>
      <c r="AQ102" s="387">
        <f t="shared" si="86"/>
        <v>0</v>
      </c>
      <c r="AR102" s="387">
        <f t="shared" si="87"/>
        <v>6.9697168068716217E-2</v>
      </c>
      <c r="AS102" s="387">
        <f t="shared" si="88"/>
        <v>6.8738985543062639E-2</v>
      </c>
      <c r="AT102" s="387">
        <f t="shared" si="89"/>
        <v>0</v>
      </c>
      <c r="AU102" s="387">
        <f t="shared" si="90"/>
        <v>0.19475688960000001</v>
      </c>
      <c r="AV102" s="387">
        <f t="shared" si="91"/>
        <v>3.6791854236388172E-2</v>
      </c>
      <c r="AW102" s="387">
        <f t="shared" si="92"/>
        <v>0</v>
      </c>
      <c r="AX102" s="387">
        <f t="shared" si="93"/>
        <v>3.6000000000000004E-2</v>
      </c>
      <c r="AY102" s="387">
        <f t="shared" si="94"/>
        <v>5.9136000000000001E-2</v>
      </c>
      <c r="AZ102" s="387">
        <f t="shared" si="95"/>
        <v>7.3471999999999996E-2</v>
      </c>
      <c r="BA102" s="387">
        <f t="shared" si="113"/>
        <v>9.5135999999999998E-2</v>
      </c>
      <c r="BB102" s="387">
        <f t="shared" si="114"/>
        <v>1.0436333007959899</v>
      </c>
      <c r="BC102">
        <f t="shared" si="96"/>
        <v>72</v>
      </c>
      <c r="BD102" s="606">
        <f t="shared" si="107"/>
        <v>0.98571219347074002</v>
      </c>
      <c r="BE102" s="616">
        <f t="shared" si="97"/>
        <v>22.347903665821995</v>
      </c>
      <c r="BF102" s="616">
        <f t="shared" si="98"/>
        <v>6.7219519203929021</v>
      </c>
      <c r="BG102" s="9"/>
      <c r="BH102" s="4">
        <f t="shared" si="108"/>
        <v>98.571219347074006</v>
      </c>
      <c r="BI102" s="387">
        <f t="shared" si="109"/>
        <v>0.25133354961786436</v>
      </c>
      <c r="BJ102" s="387">
        <f t="shared" si="110"/>
        <v>0.65109427979301415</v>
      </c>
      <c r="BK102" s="387">
        <f t="shared" si="111"/>
        <v>0.19870881197585805</v>
      </c>
      <c r="BL102" s="387">
        <f t="shared" si="112"/>
        <v>3.6791854236388172E-2</v>
      </c>
      <c r="BR102" s="18"/>
      <c r="BS102" s="19"/>
    </row>
    <row r="103" spans="7:71" x14ac:dyDescent="0.2">
      <c r="G103">
        <v>94</v>
      </c>
      <c r="H103" s="612">
        <f t="shared" si="59"/>
        <v>13.93</v>
      </c>
      <c r="I103" s="4" t="str">
        <f t="shared" si="60"/>
        <v>BUCK</v>
      </c>
      <c r="J103">
        <f t="shared" si="99"/>
        <v>1</v>
      </c>
      <c r="K103">
        <f t="shared" si="61"/>
        <v>6</v>
      </c>
      <c r="L103" s="4">
        <f t="shared" si="62"/>
        <v>5.3840631730078963</v>
      </c>
      <c r="M103" s="4">
        <f t="shared" si="63"/>
        <v>6</v>
      </c>
      <c r="N103" s="387">
        <f t="shared" si="64"/>
        <v>0.86694806123908996</v>
      </c>
      <c r="O103" s="387">
        <f t="shared" si="100"/>
        <v>0</v>
      </c>
      <c r="P103" s="4">
        <f t="shared" si="65"/>
        <v>1.5314874660832631</v>
      </c>
      <c r="Q103" s="387">
        <f t="shared" si="66"/>
        <v>6.0162658259281434</v>
      </c>
      <c r="R103" s="387">
        <f t="shared" si="101"/>
        <v>0.22101255893820521</v>
      </c>
      <c r="S103" s="387">
        <f t="shared" si="67"/>
        <v>3.3798505138618838E-2</v>
      </c>
      <c r="T103" s="387">
        <f t="shared" si="102"/>
        <v>0.25481106407682402</v>
      </c>
      <c r="U103" s="4">
        <f t="shared" si="68"/>
        <v>0.44210235040185492</v>
      </c>
      <c r="V103" s="387">
        <f t="shared" si="103"/>
        <v>1.3681814176159115E-3</v>
      </c>
      <c r="W103" s="387">
        <f t="shared" si="104"/>
        <v>1.3681814176159115E-3</v>
      </c>
      <c r="X103" s="387">
        <f t="shared" si="69"/>
        <v>2.0433095301470798</v>
      </c>
      <c r="Y103" s="387">
        <f t="shared" si="105"/>
        <v>8.3502276719797618E-3</v>
      </c>
      <c r="Z103" s="605">
        <f t="shared" si="106"/>
        <v>8.3502276719797618E-3</v>
      </c>
      <c r="AA103" s="387">
        <f t="shared" si="70"/>
        <v>5.6017478606448767</v>
      </c>
      <c r="AB103" s="387">
        <f t="shared" si="71"/>
        <v>0.17886360083716488</v>
      </c>
      <c r="AC103" s="387">
        <f t="shared" si="72"/>
        <v>6.3552457274031554E-2</v>
      </c>
      <c r="AD103">
        <f t="shared" si="73"/>
        <v>0</v>
      </c>
      <c r="AE103" s="387">
        <f t="shared" si="74"/>
        <v>0.25140966573077117</v>
      </c>
      <c r="AF103" s="387">
        <f t="shared" si="75"/>
        <v>2.1945102856882208</v>
      </c>
      <c r="AG103" s="387">
        <f t="shared" si="76"/>
        <v>2.7450489745750963E-2</v>
      </c>
      <c r="AH103" s="387">
        <f t="shared" si="77"/>
        <v>0.10752</v>
      </c>
      <c r="AI103" s="387">
        <f t="shared" si="78"/>
        <v>0.13571558158186126</v>
      </c>
      <c r="AJ103" s="387">
        <f t="shared" si="79"/>
        <v>0</v>
      </c>
      <c r="AK103" s="387">
        <f t="shared" si="80"/>
        <v>0</v>
      </c>
      <c r="AL103" s="387">
        <f t="shared" si="81"/>
        <v>0</v>
      </c>
      <c r="AM103">
        <f t="shared" si="82"/>
        <v>0</v>
      </c>
      <c r="AN103" s="387">
        <f t="shared" si="83"/>
        <v>0</v>
      </c>
      <c r="AO103" s="387">
        <f t="shared" si="84"/>
        <v>6.0162658259281434</v>
      </c>
      <c r="AP103" s="387">
        <f t="shared" si="85"/>
        <v>6.8771363527638601E-2</v>
      </c>
      <c r="AQ103" s="387">
        <f t="shared" si="86"/>
        <v>0</v>
      </c>
      <c r="AR103" s="387">
        <f t="shared" si="87"/>
        <v>6.9730455224679438E-2</v>
      </c>
      <c r="AS103" s="387">
        <f t="shared" si="88"/>
        <v>6.8771363527638601E-2</v>
      </c>
      <c r="AT103" s="387">
        <f t="shared" si="89"/>
        <v>0</v>
      </c>
      <c r="AU103" s="387">
        <f t="shared" si="90"/>
        <v>0.19609752959999999</v>
      </c>
      <c r="AV103" s="387">
        <f t="shared" si="91"/>
        <v>3.8527003151931173E-2</v>
      </c>
      <c r="AW103" s="387">
        <f t="shared" si="92"/>
        <v>0</v>
      </c>
      <c r="AX103" s="387">
        <f t="shared" si="93"/>
        <v>3.6000000000000004E-2</v>
      </c>
      <c r="AY103" s="387">
        <f t="shared" si="94"/>
        <v>5.9136000000000001E-2</v>
      </c>
      <c r="AZ103" s="387">
        <f t="shared" si="95"/>
        <v>7.3471999999999996E-2</v>
      </c>
      <c r="BA103" s="387">
        <f t="shared" si="113"/>
        <v>9.5135999999999998E-2</v>
      </c>
      <c r="BB103" s="387">
        <f t="shared" si="114"/>
        <v>1.0511457084556628</v>
      </c>
      <c r="BC103">
        <f t="shared" si="96"/>
        <v>72</v>
      </c>
      <c r="BD103" s="606">
        <f t="shared" si="107"/>
        <v>0.98561082515186349</v>
      </c>
      <c r="BE103" s="616">
        <f t="shared" si="97"/>
        <v>22.375359766538558</v>
      </c>
      <c r="BF103" s="616">
        <f t="shared" si="98"/>
        <v>6.7857790790930625</v>
      </c>
      <c r="BG103" s="9"/>
      <c r="BH103" s="4">
        <f t="shared" si="108"/>
        <v>98.561082515186342</v>
      </c>
      <c r="BI103" s="387">
        <f t="shared" si="109"/>
        <v>0.25481106407682402</v>
      </c>
      <c r="BJ103" s="387">
        <f t="shared" si="110"/>
        <v>0.65295323213731193</v>
      </c>
      <c r="BK103" s="387">
        <f t="shared" si="111"/>
        <v>0.20042776634986126</v>
      </c>
      <c r="BL103" s="387">
        <f t="shared" si="112"/>
        <v>3.8527003151931173E-2</v>
      </c>
      <c r="BR103" s="18"/>
      <c r="BS103" s="19"/>
    </row>
    <row r="104" spans="7:71" x14ac:dyDescent="0.2">
      <c r="G104">
        <v>95</v>
      </c>
      <c r="H104" s="612">
        <f t="shared" si="59"/>
        <v>14.025</v>
      </c>
      <c r="I104" s="4" t="str">
        <f t="shared" si="60"/>
        <v>BUCK</v>
      </c>
      <c r="J104">
        <f t="shared" si="99"/>
        <v>1</v>
      </c>
      <c r="K104">
        <f t="shared" si="61"/>
        <v>6</v>
      </c>
      <c r="L104" s="4">
        <f t="shared" si="62"/>
        <v>5.3475935828877006</v>
      </c>
      <c r="M104" s="4">
        <f t="shared" si="63"/>
        <v>6</v>
      </c>
      <c r="N104" s="387">
        <f t="shared" si="64"/>
        <v>0.86109571519931782</v>
      </c>
      <c r="O104" s="387">
        <f t="shared" si="100"/>
        <v>0</v>
      </c>
      <c r="P104" s="4">
        <f t="shared" si="65"/>
        <v>1.598850592773202</v>
      </c>
      <c r="Q104" s="387">
        <f t="shared" si="66"/>
        <v>6.0177260601355282</v>
      </c>
      <c r="R104" s="387">
        <f t="shared" si="101"/>
        <v>0.22112175589806862</v>
      </c>
      <c r="S104" s="387">
        <f t="shared" si="67"/>
        <v>3.7322392149826508E-2</v>
      </c>
      <c r="T104" s="387">
        <f t="shared" si="102"/>
        <v>0.25844414804789512</v>
      </c>
      <c r="U104" s="4">
        <f t="shared" si="68"/>
        <v>0.46154841006580044</v>
      </c>
      <c r="V104" s="387">
        <f t="shared" si="103"/>
        <v>1.4911885438398779E-3</v>
      </c>
      <c r="W104" s="387">
        <f t="shared" si="104"/>
        <v>1.4911885438398779E-3</v>
      </c>
      <c r="X104" s="387">
        <f t="shared" si="69"/>
        <v>2.081210217107428</v>
      </c>
      <c r="Y104" s="387">
        <f t="shared" si="105"/>
        <v>8.6628719355846956E-3</v>
      </c>
      <c r="Z104" s="605">
        <f t="shared" si="106"/>
        <v>8.6628719355846956E-3</v>
      </c>
      <c r="AA104" s="387">
        <f t="shared" si="70"/>
        <v>5.5841635298389383</v>
      </c>
      <c r="AB104" s="387">
        <f t="shared" si="71"/>
        <v>0.17774242926950465</v>
      </c>
      <c r="AC104" s="387">
        <f t="shared" si="72"/>
        <v>6.3985873170731691E-2</v>
      </c>
      <c r="AD104">
        <f t="shared" si="73"/>
        <v>0</v>
      </c>
      <c r="AE104" s="387">
        <f t="shared" si="74"/>
        <v>0.2506381076650146</v>
      </c>
      <c r="AF104" s="387">
        <f t="shared" si="75"/>
        <v>2.2427983874728894</v>
      </c>
      <c r="AG104" s="387">
        <f t="shared" si="76"/>
        <v>2.8671824259050658E-2</v>
      </c>
      <c r="AH104" s="387">
        <f t="shared" si="77"/>
        <v>0.10752</v>
      </c>
      <c r="AI104" s="387">
        <f t="shared" si="78"/>
        <v>0.13697730208562625</v>
      </c>
      <c r="AJ104" s="387">
        <f t="shared" si="79"/>
        <v>0</v>
      </c>
      <c r="AK104" s="387">
        <f t="shared" si="80"/>
        <v>0</v>
      </c>
      <c r="AL104" s="387">
        <f t="shared" si="81"/>
        <v>0</v>
      </c>
      <c r="AM104">
        <f t="shared" si="82"/>
        <v>0</v>
      </c>
      <c r="AN104" s="387">
        <f t="shared" si="83"/>
        <v>0</v>
      </c>
      <c r="AO104" s="387">
        <f t="shared" si="84"/>
        <v>6.0177260601355282</v>
      </c>
      <c r="AP104" s="387">
        <f t="shared" si="85"/>
        <v>6.8804751176185105E-2</v>
      </c>
      <c r="AQ104" s="387">
        <f t="shared" si="86"/>
        <v>0</v>
      </c>
      <c r="AR104" s="387">
        <f t="shared" si="87"/>
        <v>6.9764780853684885E-2</v>
      </c>
      <c r="AS104" s="387">
        <f t="shared" si="88"/>
        <v>6.8804751176185105E-2</v>
      </c>
      <c r="AT104" s="387">
        <f t="shared" si="89"/>
        <v>0</v>
      </c>
      <c r="AU104" s="387">
        <f t="shared" si="90"/>
        <v>0.19743816959999999</v>
      </c>
      <c r="AV104" s="387">
        <f t="shared" si="91"/>
        <v>4.024115685480794E-2</v>
      </c>
      <c r="AW104" s="387">
        <f t="shared" si="92"/>
        <v>0</v>
      </c>
      <c r="AX104" s="387">
        <f t="shared" si="93"/>
        <v>3.6000000000000004E-2</v>
      </c>
      <c r="AY104" s="387">
        <f t="shared" si="94"/>
        <v>5.9136000000000001E-2</v>
      </c>
      <c r="AZ104" s="387">
        <f t="shared" si="95"/>
        <v>7.3471999999999996E-2</v>
      </c>
      <c r="BA104" s="387">
        <f t="shared" si="113"/>
        <v>9.5135999999999998E-2</v>
      </c>
      <c r="BB104" s="387">
        <f t="shared" si="114"/>
        <v>1.0587937255864535</v>
      </c>
      <c r="BC104">
        <f t="shared" si="96"/>
        <v>72</v>
      </c>
      <c r="BD104" s="606">
        <f t="shared" si="107"/>
        <v>0.98550764840761873</v>
      </c>
      <c r="BE104" s="616">
        <f t="shared" si="97"/>
        <v>22.403813863250729</v>
      </c>
      <c r="BF104" s="616">
        <f t="shared" si="98"/>
        <v>6.8488651042813125</v>
      </c>
      <c r="BG104" s="9"/>
      <c r="BH104" s="4">
        <f t="shared" si="108"/>
        <v>98.550764840761872</v>
      </c>
      <c r="BI104" s="387">
        <f t="shared" si="109"/>
        <v>0.25844414804789512</v>
      </c>
      <c r="BJ104" s="387">
        <f t="shared" si="110"/>
        <v>0.65481836020432571</v>
      </c>
      <c r="BK104" s="387">
        <f t="shared" si="111"/>
        <v>0.20213189805362625</v>
      </c>
      <c r="BL104" s="387">
        <f t="shared" si="112"/>
        <v>4.024115685480794E-2</v>
      </c>
      <c r="BR104" s="18"/>
      <c r="BS104" s="19"/>
    </row>
    <row r="105" spans="7:71" x14ac:dyDescent="0.2">
      <c r="G105">
        <v>96</v>
      </c>
      <c r="H105" s="612">
        <f t="shared" si="59"/>
        <v>14.12</v>
      </c>
      <c r="I105" s="4" t="str">
        <f t="shared" si="60"/>
        <v>BUCK</v>
      </c>
      <c r="J105">
        <f t="shared" si="99"/>
        <v>1</v>
      </c>
      <c r="K105">
        <f t="shared" si="61"/>
        <v>6</v>
      </c>
      <c r="L105" s="4">
        <f t="shared" si="62"/>
        <v>5.3116147308781869</v>
      </c>
      <c r="M105" s="4">
        <f t="shared" si="63"/>
        <v>6</v>
      </c>
      <c r="N105" s="387">
        <f t="shared" si="64"/>
        <v>0.85532185206098255</v>
      </c>
      <c r="O105" s="387">
        <f t="shared" si="100"/>
        <v>0</v>
      </c>
      <c r="P105" s="4">
        <f t="shared" si="65"/>
        <v>1.6653103460814984</v>
      </c>
      <c r="Q105" s="387">
        <f t="shared" si="66"/>
        <v>6.0192279304794436</v>
      </c>
      <c r="R105" s="387">
        <f t="shared" si="101"/>
        <v>0.22123409602766458</v>
      </c>
      <c r="S105" s="387">
        <f t="shared" si="67"/>
        <v>4.0994066959347264E-2</v>
      </c>
      <c r="T105" s="387">
        <f t="shared" si="102"/>
        <v>0.26222816298701185</v>
      </c>
      <c r="U105" s="4">
        <f t="shared" si="68"/>
        <v>0.48073368829721103</v>
      </c>
      <c r="V105" s="387">
        <f t="shared" si="103"/>
        <v>1.6177341534468804E-3</v>
      </c>
      <c r="W105" s="387">
        <f t="shared" si="104"/>
        <v>1.6177341534468804E-3</v>
      </c>
      <c r="X105" s="387">
        <f t="shared" si="69"/>
        <v>2.1174201577970853</v>
      </c>
      <c r="Y105" s="387">
        <f t="shared" si="105"/>
        <v>8.9669362492908675E-3</v>
      </c>
      <c r="Z105" s="605">
        <f t="shared" si="106"/>
        <v>8.9669362492908675E-3</v>
      </c>
      <c r="AA105" s="387">
        <f t="shared" si="70"/>
        <v>5.5667994150478055</v>
      </c>
      <c r="AB105" s="387">
        <f t="shared" si="71"/>
        <v>0.17663875764604658</v>
      </c>
      <c r="AC105" s="387">
        <f t="shared" si="72"/>
        <v>6.4419289067431842E-2</v>
      </c>
      <c r="AD105">
        <f t="shared" si="73"/>
        <v>0</v>
      </c>
      <c r="AE105" s="387">
        <f t="shared" si="74"/>
        <v>0.2498859556658817</v>
      </c>
      <c r="AF105" s="387">
        <f t="shared" si="75"/>
        <v>2.2895084956573659</v>
      </c>
      <c r="AG105" s="387">
        <f t="shared" si="76"/>
        <v>2.9878540164617353E-2</v>
      </c>
      <c r="AH105" s="387">
        <f t="shared" si="77"/>
        <v>0.10752</v>
      </c>
      <c r="AI105" s="387">
        <f t="shared" si="78"/>
        <v>0.13822452959647408</v>
      </c>
      <c r="AJ105" s="387">
        <f t="shared" si="79"/>
        <v>0</v>
      </c>
      <c r="AK105" s="387">
        <f t="shared" si="80"/>
        <v>0</v>
      </c>
      <c r="AL105" s="387">
        <f t="shared" si="81"/>
        <v>0</v>
      </c>
      <c r="AM105">
        <f t="shared" si="82"/>
        <v>0</v>
      </c>
      <c r="AN105" s="387">
        <f t="shared" si="83"/>
        <v>0</v>
      </c>
      <c r="AO105" s="387">
        <f t="shared" si="84"/>
        <v>6.0192279304794436</v>
      </c>
      <c r="AP105" s="387">
        <f t="shared" si="85"/>
        <v>6.8839099270221304E-2</v>
      </c>
      <c r="AQ105" s="387">
        <f t="shared" si="86"/>
        <v>0</v>
      </c>
      <c r="AR105" s="387">
        <f t="shared" si="87"/>
        <v>6.9800094395655987E-2</v>
      </c>
      <c r="AS105" s="387">
        <f t="shared" si="88"/>
        <v>6.8839099270221304E-2</v>
      </c>
      <c r="AT105" s="387">
        <f t="shared" si="89"/>
        <v>0</v>
      </c>
      <c r="AU105" s="387">
        <f t="shared" si="90"/>
        <v>0.19877880959999997</v>
      </c>
      <c r="AV105" s="387">
        <f t="shared" si="91"/>
        <v>4.1934793213498044E-2</v>
      </c>
      <c r="AW105" s="387">
        <f t="shared" si="92"/>
        <v>0</v>
      </c>
      <c r="AX105" s="387">
        <f t="shared" si="93"/>
        <v>3.6000000000000004E-2</v>
      </c>
      <c r="AY105" s="387">
        <f t="shared" si="94"/>
        <v>5.9136000000000001E-2</v>
      </c>
      <c r="AZ105" s="387">
        <f t="shared" si="95"/>
        <v>7.3471999999999996E-2</v>
      </c>
      <c r="BA105" s="387">
        <f t="shared" si="113"/>
        <v>9.5135999999999998E-2</v>
      </c>
      <c r="BB105" s="387">
        <f t="shared" si="114"/>
        <v>1.0665730158612594</v>
      </c>
      <c r="BC105">
        <f t="shared" si="96"/>
        <v>72</v>
      </c>
      <c r="BD105" s="606">
        <f t="shared" si="107"/>
        <v>0.9854027228616602</v>
      </c>
      <c r="BE105" s="616">
        <f t="shared" si="97"/>
        <v>22.433238263294083</v>
      </c>
      <c r="BF105" s="616">
        <f t="shared" si="98"/>
        <v>6.9112264798237035</v>
      </c>
      <c r="BG105" s="9"/>
      <c r="BH105" s="4">
        <f t="shared" si="108"/>
        <v>98.540272286166015</v>
      </c>
      <c r="BI105" s="387">
        <f t="shared" si="109"/>
        <v>0.26222816298701185</v>
      </c>
      <c r="BJ105" s="387">
        <f t="shared" si="110"/>
        <v>0.65668938925801179</v>
      </c>
      <c r="BK105" s="387">
        <f t="shared" si="111"/>
        <v>0.20382153676447406</v>
      </c>
      <c r="BL105" s="387">
        <f t="shared" si="112"/>
        <v>4.1934793213498044E-2</v>
      </c>
      <c r="BR105" s="18"/>
      <c r="BS105" s="19"/>
    </row>
    <row r="106" spans="7:71" x14ac:dyDescent="0.2">
      <c r="G106">
        <v>97</v>
      </c>
      <c r="H106" s="612">
        <f t="shared" si="59"/>
        <v>14.215</v>
      </c>
      <c r="I106" s="4" t="str">
        <f t="shared" si="60"/>
        <v>BUCK</v>
      </c>
      <c r="J106">
        <f t="shared" si="99"/>
        <v>1</v>
      </c>
      <c r="K106">
        <f t="shared" si="61"/>
        <v>6</v>
      </c>
      <c r="L106" s="4">
        <f t="shared" si="62"/>
        <v>5.276116778051354</v>
      </c>
      <c r="M106" s="4">
        <f t="shared" si="63"/>
        <v>6</v>
      </c>
      <c r="N106" s="387">
        <f t="shared" si="64"/>
        <v>0.84962490359671883</v>
      </c>
      <c r="O106" s="387">
        <f t="shared" ref="O106:O137" si="115">CHOOSE(J106,0,(Vout+(Rdson3+Rdcr)*L106-H106)/(Vout+(Rdson3-Rdson4-Rs)*L106),IF(H106&gt;Vout,D_min_boost_exitBB_to_buck, (Vout-H106*D_max_buck_BB)/Vout))</f>
        <v>0</v>
      </c>
      <c r="P106" s="4">
        <f t="shared" si="65"/>
        <v>1.7308847770082092</v>
      </c>
      <c r="Q106" s="387">
        <f t="shared" si="66"/>
        <v>6.0207693452974294</v>
      </c>
      <c r="R106" s="387">
        <f t="shared" si="101"/>
        <v>0.22134942530456492</v>
      </c>
      <c r="S106" s="387">
        <f t="shared" si="67"/>
        <v>4.4809071803191797E-2</v>
      </c>
      <c r="T106" s="387">
        <f t="shared" si="102"/>
        <v>0.26615849710775674</v>
      </c>
      <c r="U106" s="4">
        <f t="shared" si="68"/>
        <v>0.49966339597095749</v>
      </c>
      <c r="V106" s="387">
        <f t="shared" si="103"/>
        <v>1.7476445649126091E-3</v>
      </c>
      <c r="W106" s="387">
        <f t="shared" si="104"/>
        <v>1.7476445649126091E-3</v>
      </c>
      <c r="X106" s="387">
        <f t="shared" si="69"/>
        <v>2.152055989068097</v>
      </c>
      <c r="Y106" s="387">
        <f t="shared" si="105"/>
        <v>9.2626899601677311E-3</v>
      </c>
      <c r="Z106" s="605">
        <f t="shared" si="106"/>
        <v>9.2626899601677311E-3</v>
      </c>
      <c r="AA106" s="387">
        <f t="shared" si="70"/>
        <v>5.5496501569450096</v>
      </c>
      <c r="AB106" s="387">
        <f t="shared" si="71"/>
        <v>0.17555211612753469</v>
      </c>
      <c r="AC106" s="387">
        <f t="shared" si="72"/>
        <v>6.485270496413198E-2</v>
      </c>
      <c r="AD106">
        <f t="shared" si="73"/>
        <v>0</v>
      </c>
      <c r="AE106" s="387">
        <f t="shared" si="74"/>
        <v>0.24915267702995647</v>
      </c>
      <c r="AF106" s="387">
        <f t="shared" si="75"/>
        <v>2.3347476619098404</v>
      </c>
      <c r="AG106" s="387">
        <f t="shared" si="76"/>
        <v>3.1070965875322761E-2</v>
      </c>
      <c r="AH106" s="387">
        <f t="shared" si="77"/>
        <v>0.10752</v>
      </c>
      <c r="AI106" s="387">
        <f t="shared" si="78"/>
        <v>0.13945758223103386</v>
      </c>
      <c r="AJ106" s="387">
        <f t="shared" si="79"/>
        <v>0</v>
      </c>
      <c r="AK106" s="387">
        <f t="shared" si="80"/>
        <v>0</v>
      </c>
      <c r="AL106" s="387">
        <f t="shared" si="81"/>
        <v>0</v>
      </c>
      <c r="AM106">
        <f t="shared" si="82"/>
        <v>0</v>
      </c>
      <c r="AN106" s="387">
        <f t="shared" si="83"/>
        <v>0</v>
      </c>
      <c r="AO106" s="387">
        <f t="shared" si="84"/>
        <v>6.0207693452974294</v>
      </c>
      <c r="AP106" s="387">
        <f t="shared" si="85"/>
        <v>6.887436066761915E-2</v>
      </c>
      <c r="AQ106" s="387">
        <f t="shared" si="86"/>
        <v>0</v>
      </c>
      <c r="AR106" s="387">
        <f t="shared" si="87"/>
        <v>6.9836347423652301E-2</v>
      </c>
      <c r="AS106" s="387">
        <f t="shared" si="88"/>
        <v>6.887436066761915E-2</v>
      </c>
      <c r="AT106" s="387">
        <f t="shared" si="89"/>
        <v>0</v>
      </c>
      <c r="AU106" s="387">
        <f t="shared" si="90"/>
        <v>0.2001194496</v>
      </c>
      <c r="AV106" s="387">
        <f t="shared" si="91"/>
        <v>4.360837315834773E-2</v>
      </c>
      <c r="AW106" s="387">
        <f t="shared" si="92"/>
        <v>0</v>
      </c>
      <c r="AX106" s="387">
        <f t="shared" si="93"/>
        <v>3.6000000000000004E-2</v>
      </c>
      <c r="AY106" s="387">
        <f t="shared" si="94"/>
        <v>5.9136000000000001E-2</v>
      </c>
      <c r="AZ106" s="387">
        <f t="shared" si="95"/>
        <v>7.3471999999999996E-2</v>
      </c>
      <c r="BA106" s="387">
        <f t="shared" si="113"/>
        <v>9.5135999999999998E-2</v>
      </c>
      <c r="BB106" s="387">
        <f t="shared" si="114"/>
        <v>1.0744792610758274</v>
      </c>
      <c r="BC106">
        <f t="shared" si="96"/>
        <v>72</v>
      </c>
      <c r="BD106" s="606">
        <f t="shared" si="107"/>
        <v>0.98529610786226762</v>
      </c>
      <c r="BE106" s="616">
        <f t="shared" si="97"/>
        <v>22.463606331497825</v>
      </c>
      <c r="BF106" s="616">
        <f t="shared" si="98"/>
        <v>6.972879111551693</v>
      </c>
      <c r="BG106" s="9"/>
      <c r="BH106" s="4">
        <f t="shared" si="108"/>
        <v>98.529610786226769</v>
      </c>
      <c r="BI106" s="387">
        <f t="shared" si="109"/>
        <v>0.26615849710775674</v>
      </c>
      <c r="BJ106" s="387">
        <f t="shared" si="110"/>
        <v>0.65856605628464271</v>
      </c>
      <c r="BK106" s="387">
        <f t="shared" si="111"/>
        <v>0.20549700059903386</v>
      </c>
      <c r="BL106" s="387">
        <f t="shared" si="112"/>
        <v>4.360837315834773E-2</v>
      </c>
      <c r="BR106" s="18"/>
      <c r="BS106" s="19"/>
    </row>
    <row r="107" spans="7:71" x14ac:dyDescent="0.2">
      <c r="G107">
        <v>98</v>
      </c>
      <c r="H107" s="612">
        <f t="shared" si="59"/>
        <v>14.31</v>
      </c>
      <c r="I107" s="4" t="str">
        <f t="shared" si="60"/>
        <v>BUCK</v>
      </c>
      <c r="J107">
        <f t="shared" si="99"/>
        <v>1</v>
      </c>
      <c r="K107">
        <f t="shared" si="61"/>
        <v>6</v>
      </c>
      <c r="L107" s="4">
        <f t="shared" si="62"/>
        <v>5.2410901467505235</v>
      </c>
      <c r="M107" s="4">
        <f t="shared" si="63"/>
        <v>6</v>
      </c>
      <c r="N107" s="387">
        <f t="shared" si="64"/>
        <v>0.84400334308399494</v>
      </c>
      <c r="O107" s="387">
        <f t="shared" si="115"/>
        <v>0</v>
      </c>
      <c r="P107" s="4">
        <f t="shared" si="65"/>
        <v>1.7955914588141457</v>
      </c>
      <c r="Q107" s="387">
        <f t="shared" si="66"/>
        <v>6.0223483008912053</v>
      </c>
      <c r="R107" s="387">
        <f t="shared" si="101"/>
        <v>0.22146759618391895</v>
      </c>
      <c r="S107" s="387">
        <f t="shared" si="67"/>
        <v>4.876298267574903E-2</v>
      </c>
      <c r="T107" s="387">
        <f t="shared" si="102"/>
        <v>0.270230578859668</v>
      </c>
      <c r="U107" s="4">
        <f t="shared" si="68"/>
        <v>0.51834260605047</v>
      </c>
      <c r="V107" s="387">
        <f t="shared" si="103"/>
        <v>1.8807534007303495E-3</v>
      </c>
      <c r="W107" s="387">
        <f t="shared" si="104"/>
        <v>1.8807534007303495E-3</v>
      </c>
      <c r="X107" s="387">
        <f t="shared" si="69"/>
        <v>2.1852221716591202</v>
      </c>
      <c r="Y107" s="387">
        <f t="shared" si="105"/>
        <v>9.5503918790212031E-3</v>
      </c>
      <c r="Z107" s="605">
        <f t="shared" si="106"/>
        <v>9.5503918790212031E-3</v>
      </c>
      <c r="AA107" s="387">
        <f t="shared" si="70"/>
        <v>5.5327105810404626</v>
      </c>
      <c r="AB107" s="387">
        <f t="shared" si="71"/>
        <v>0.17448205232927544</v>
      </c>
      <c r="AC107" s="387">
        <f t="shared" si="72"/>
        <v>6.5286120860832131E-2</v>
      </c>
      <c r="AD107">
        <f t="shared" si="73"/>
        <v>0</v>
      </c>
      <c r="AE107" s="387">
        <f t="shared" si="74"/>
        <v>0.24843775921074293</v>
      </c>
      <c r="AF107" s="387">
        <f t="shared" si="75"/>
        <v>2.3786115033124027</v>
      </c>
      <c r="AG107" s="387">
        <f t="shared" si="76"/>
        <v>3.2249418297033504E-2</v>
      </c>
      <c r="AH107" s="387">
        <f t="shared" si="77"/>
        <v>0.10752</v>
      </c>
      <c r="AI107" s="387">
        <f t="shared" si="78"/>
        <v>0.14067676707826982</v>
      </c>
      <c r="AJ107" s="387">
        <f t="shared" si="79"/>
        <v>0</v>
      </c>
      <c r="AK107" s="387">
        <f t="shared" si="80"/>
        <v>0</v>
      </c>
      <c r="AL107" s="387">
        <f t="shared" si="81"/>
        <v>0</v>
      </c>
      <c r="AM107">
        <f t="shared" si="82"/>
        <v>0</v>
      </c>
      <c r="AN107" s="387">
        <f t="shared" si="83"/>
        <v>0</v>
      </c>
      <c r="AO107" s="387">
        <f t="shared" si="84"/>
        <v>6.0223483008912053</v>
      </c>
      <c r="AP107" s="387">
        <f t="shared" si="85"/>
        <v>6.8910490208769659E-2</v>
      </c>
      <c r="AQ107" s="387">
        <f t="shared" si="86"/>
        <v>0</v>
      </c>
      <c r="AR107" s="387">
        <f t="shared" si="87"/>
        <v>6.9873493547359222E-2</v>
      </c>
      <c r="AS107" s="387">
        <f t="shared" si="88"/>
        <v>6.8910490208769659E-2</v>
      </c>
      <c r="AT107" s="387">
        <f t="shared" si="89"/>
        <v>0</v>
      </c>
      <c r="AU107" s="387">
        <f t="shared" si="90"/>
        <v>0.2014600896</v>
      </c>
      <c r="AV107" s="387">
        <f t="shared" si="91"/>
        <v>4.5262341469520705E-2</v>
      </c>
      <c r="AW107" s="387">
        <f t="shared" si="92"/>
        <v>0</v>
      </c>
      <c r="AX107" s="387">
        <f t="shared" si="93"/>
        <v>3.6000000000000004E-2</v>
      </c>
      <c r="AY107" s="387">
        <f t="shared" si="94"/>
        <v>5.9136000000000001E-2</v>
      </c>
      <c r="AZ107" s="387">
        <f t="shared" si="95"/>
        <v>7.3471999999999996E-2</v>
      </c>
      <c r="BA107" s="387">
        <f t="shared" si="113"/>
        <v>9.5135999999999998E-2</v>
      </c>
      <c r="BB107" s="387">
        <f t="shared" si="114"/>
        <v>1.0825081750453123</v>
      </c>
      <c r="BC107">
        <f t="shared" si="96"/>
        <v>72</v>
      </c>
      <c r="BD107" s="606">
        <f t="shared" si="107"/>
        <v>0.98518786229322453</v>
      </c>
      <c r="BE107" s="616">
        <f t="shared" si="97"/>
        <v>22.494892440537146</v>
      </c>
      <c r="BF107" s="616">
        <f t="shared" si="98"/>
        <v>7.0338383539134908</v>
      </c>
      <c r="BG107" s="9"/>
      <c r="BH107" s="4">
        <f t="shared" si="108"/>
        <v>98.518786229322458</v>
      </c>
      <c r="BI107" s="387">
        <f t="shared" si="109"/>
        <v>0.270230578859668</v>
      </c>
      <c r="BJ107" s="387">
        <f t="shared" si="110"/>
        <v>0.660448109436372</v>
      </c>
      <c r="BK107" s="387">
        <f t="shared" si="111"/>
        <v>0.20715859664626982</v>
      </c>
      <c r="BL107" s="387">
        <f t="shared" si="112"/>
        <v>4.5262341469520705E-2</v>
      </c>
      <c r="BR107" s="18"/>
      <c r="BS107" s="19"/>
    </row>
    <row r="108" spans="7:71" x14ac:dyDescent="0.2">
      <c r="G108">
        <v>99</v>
      </c>
      <c r="H108" s="612">
        <f t="shared" si="59"/>
        <v>14.404999999999999</v>
      </c>
      <c r="I108" s="4" t="str">
        <f t="shared" si="60"/>
        <v>BUCK</v>
      </c>
      <c r="J108">
        <f t="shared" si="99"/>
        <v>1</v>
      </c>
      <c r="K108">
        <f t="shared" si="61"/>
        <v>6</v>
      </c>
      <c r="L108" s="4">
        <f t="shared" si="62"/>
        <v>5.2065255119750091</v>
      </c>
      <c r="M108" s="4">
        <f t="shared" si="63"/>
        <v>6</v>
      </c>
      <c r="N108" s="387">
        <f t="shared" si="64"/>
        <v>0.8384556839410503</v>
      </c>
      <c r="O108" s="387">
        <f t="shared" si="115"/>
        <v>0</v>
      </c>
      <c r="P108" s="4">
        <f t="shared" si="65"/>
        <v>1.8594475027218502</v>
      </c>
      <c r="Q108" s="387">
        <f t="shared" si="66"/>
        <v>6.0239628776480307</v>
      </c>
      <c r="R108" s="387">
        <f t="shared" si="101"/>
        <v>0.22158846730677437</v>
      </c>
      <c r="S108" s="387">
        <f t="shared" si="67"/>
        <v>5.2851420716506503E-2</v>
      </c>
      <c r="T108" s="387">
        <f t="shared" si="102"/>
        <v>0.2744398880232809</v>
      </c>
      <c r="U108" s="4">
        <f t="shared" si="68"/>
        <v>0.53677625812021879</v>
      </c>
      <c r="V108" s="387">
        <f t="shared" si="103"/>
        <v>2.0169012589708064E-3</v>
      </c>
      <c r="W108" s="387">
        <f t="shared" si="104"/>
        <v>2.0169012589708064E-3</v>
      </c>
      <c r="X108" s="387">
        <f t="shared" si="69"/>
        <v>2.2170127179070374</v>
      </c>
      <c r="Y108" s="387">
        <f t="shared" si="105"/>
        <v>9.8302907827230966E-3</v>
      </c>
      <c r="Z108" s="605">
        <f t="shared" si="106"/>
        <v>9.8302907827230966E-3</v>
      </c>
      <c r="AA108" s="387">
        <f t="shared" si="70"/>
        <v>5.5159756898572949</v>
      </c>
      <c r="AB108" s="387">
        <f t="shared" si="71"/>
        <v>0.17342813052325098</v>
      </c>
      <c r="AC108" s="387">
        <f t="shared" si="72"/>
        <v>6.5719536757532268E-2</v>
      </c>
      <c r="AD108">
        <f t="shared" si="73"/>
        <v>0</v>
      </c>
      <c r="AE108" s="387">
        <f t="shared" si="74"/>
        <v>0.24774070887989216</v>
      </c>
      <c r="AF108" s="387">
        <f t="shared" si="75"/>
        <v>2.4211858541187801</v>
      </c>
      <c r="AG108" s="387">
        <f t="shared" si="76"/>
        <v>3.3414203359053853E-2</v>
      </c>
      <c r="AH108" s="387">
        <f t="shared" si="77"/>
        <v>0.10752</v>
      </c>
      <c r="AI108" s="387">
        <f t="shared" si="78"/>
        <v>0.14188238070343209</v>
      </c>
      <c r="AJ108" s="387">
        <f t="shared" si="79"/>
        <v>0</v>
      </c>
      <c r="AK108" s="387">
        <f t="shared" si="80"/>
        <v>0</v>
      </c>
      <c r="AL108" s="387">
        <f t="shared" si="81"/>
        <v>0</v>
      </c>
      <c r="AM108">
        <f t="shared" si="82"/>
        <v>0</v>
      </c>
      <c r="AN108" s="387">
        <f t="shared" si="83"/>
        <v>0</v>
      </c>
      <c r="AO108" s="387">
        <f t="shared" si="84"/>
        <v>6.0239628776480307</v>
      </c>
      <c r="AP108" s="387">
        <f t="shared" si="85"/>
        <v>6.894744462743492E-2</v>
      </c>
      <c r="AQ108" s="387">
        <f t="shared" si="86"/>
        <v>0</v>
      </c>
      <c r="AR108" s="387">
        <f t="shared" si="87"/>
        <v>6.9911488321407284E-2</v>
      </c>
      <c r="AS108" s="387">
        <f t="shared" si="88"/>
        <v>6.894744462743492E-2</v>
      </c>
      <c r="AT108" s="387">
        <f t="shared" si="89"/>
        <v>0</v>
      </c>
      <c r="AU108" s="387">
        <f t="shared" si="90"/>
        <v>0.20280072959999998</v>
      </c>
      <c r="AV108" s="387">
        <f t="shared" si="91"/>
        <v>4.6897127521479093E-2</v>
      </c>
      <c r="AW108" s="387">
        <f t="shared" si="92"/>
        <v>0</v>
      </c>
      <c r="AX108" s="387">
        <f t="shared" si="93"/>
        <v>3.6000000000000004E-2</v>
      </c>
      <c r="AY108" s="387">
        <f t="shared" si="94"/>
        <v>5.9136000000000001E-2</v>
      </c>
      <c r="AZ108" s="387">
        <f t="shared" si="95"/>
        <v>7.3471999999999996E-2</v>
      </c>
      <c r="BA108" s="387">
        <f t="shared" si="113"/>
        <v>9.5135999999999998E-2</v>
      </c>
      <c r="BB108" s="387">
        <f t="shared" si="114"/>
        <v>1.0906555150911852</v>
      </c>
      <c r="BC108">
        <f t="shared" si="96"/>
        <v>72</v>
      </c>
      <c r="BD108" s="606">
        <f t="shared" si="107"/>
        <v>0.98507804441751112</v>
      </c>
      <c r="BE108" s="616">
        <f t="shared" si="97"/>
        <v>22.527071923994608</v>
      </c>
      <c r="BF108" s="616">
        <f t="shared" si="98"/>
        <v>7.0941190351716044</v>
      </c>
      <c r="BG108" s="9"/>
      <c r="BH108" s="4">
        <f t="shared" si="108"/>
        <v>98.507804441751119</v>
      </c>
      <c r="BI108" s="387">
        <f t="shared" si="109"/>
        <v>0.2744398880232809</v>
      </c>
      <c r="BJ108" s="387">
        <f t="shared" si="110"/>
        <v>0.66233530750473146</v>
      </c>
      <c r="BK108" s="387">
        <f t="shared" si="111"/>
        <v>0.20880662147143209</v>
      </c>
      <c r="BL108" s="387">
        <f t="shared" si="112"/>
        <v>4.6897127521479093E-2</v>
      </c>
      <c r="BR108" s="18"/>
      <c r="BS108" s="19"/>
    </row>
    <row r="109" spans="7:71" x14ac:dyDescent="0.2">
      <c r="G109">
        <v>100</v>
      </c>
      <c r="H109" s="612">
        <f t="shared" si="59"/>
        <v>14.5</v>
      </c>
      <c r="I109" s="4" t="str">
        <f t="shared" si="60"/>
        <v>BUCK</v>
      </c>
      <c r="J109">
        <f t="shared" si="99"/>
        <v>1</v>
      </c>
      <c r="K109">
        <f t="shared" si="61"/>
        <v>6</v>
      </c>
      <c r="L109" s="4">
        <f t="shared" si="62"/>
        <v>5.1724137931034484</v>
      </c>
      <c r="M109" s="4">
        <f t="shared" si="63"/>
        <v>6</v>
      </c>
      <c r="N109" s="387">
        <f t="shared" si="64"/>
        <v>0.83298047841627709</v>
      </c>
      <c r="O109" s="387">
        <f t="shared" si="115"/>
        <v>0</v>
      </c>
      <c r="P109" s="4">
        <f t="shared" si="65"/>
        <v>1.9224695730013965</v>
      </c>
      <c r="Q109" s="387">
        <f t="shared" si="66"/>
        <v>6.0256112363471486</v>
      </c>
      <c r="R109" s="387">
        <f t="shared" si="101"/>
        <v>0.22171190322291973</v>
      </c>
      <c r="S109" s="387">
        <f t="shared" si="67"/>
        <v>5.7070061585923836E-2</v>
      </c>
      <c r="T109" s="387">
        <f t="shared" si="102"/>
        <v>0.27878196480884354</v>
      </c>
      <c r="U109" s="4">
        <f t="shared" si="68"/>
        <v>0.55496916274061059</v>
      </c>
      <c r="V109" s="387">
        <f t="shared" si="103"/>
        <v>2.1559354011511001E-3</v>
      </c>
      <c r="W109" s="387">
        <f t="shared" si="104"/>
        <v>2.1559354011511001E-3</v>
      </c>
      <c r="X109" s="387">
        <f t="shared" si="69"/>
        <v>2.2475126126865601</v>
      </c>
      <c r="Y109" s="387">
        <f t="shared" si="105"/>
        <v>1.0102625888370336E-2</v>
      </c>
      <c r="Z109" s="605">
        <f t="shared" si="106"/>
        <v>1.0102625888370336E-2</v>
      </c>
      <c r="AA109" s="387">
        <f t="shared" si="70"/>
        <v>5.4994406554899129</v>
      </c>
      <c r="AB109" s="387">
        <f t="shared" si="71"/>
        <v>0.17238993088255533</v>
      </c>
      <c r="AC109" s="387">
        <f t="shared" si="72"/>
        <v>6.6152952654232419E-2</v>
      </c>
      <c r="AD109">
        <f t="shared" si="73"/>
        <v>0</v>
      </c>
      <c r="AE109" s="387">
        <f t="shared" si="74"/>
        <v>0.24706105103927417</v>
      </c>
      <c r="AF109" s="387">
        <f t="shared" si="75"/>
        <v>2.4625481210197075</v>
      </c>
      <c r="AG109" s="387">
        <f t="shared" si="76"/>
        <v>3.4565616515524845E-2</v>
      </c>
      <c r="AH109" s="387">
        <f t="shared" si="77"/>
        <v>0.10752</v>
      </c>
      <c r="AI109" s="387">
        <f t="shared" si="78"/>
        <v>0.14307470962471644</v>
      </c>
      <c r="AJ109" s="387">
        <f t="shared" si="79"/>
        <v>0</v>
      </c>
      <c r="AK109" s="387">
        <f t="shared" si="80"/>
        <v>0</v>
      </c>
      <c r="AL109" s="387">
        <f t="shared" si="81"/>
        <v>0</v>
      </c>
      <c r="AM109">
        <f t="shared" si="82"/>
        <v>0</v>
      </c>
      <c r="AN109" s="387">
        <f t="shared" si="83"/>
        <v>0</v>
      </c>
      <c r="AO109" s="387">
        <f t="shared" si="84"/>
        <v>6.0256112363471486</v>
      </c>
      <c r="AP109" s="387">
        <f t="shared" si="85"/>
        <v>6.8985182466026723E-2</v>
      </c>
      <c r="AQ109" s="387">
        <f t="shared" si="86"/>
        <v>0</v>
      </c>
      <c r="AR109" s="387">
        <f t="shared" si="87"/>
        <v>6.9950289158253409E-2</v>
      </c>
      <c r="AS109" s="387">
        <f t="shared" si="88"/>
        <v>6.8985182466026723E-2</v>
      </c>
      <c r="AT109" s="387">
        <f t="shared" si="89"/>
        <v>0</v>
      </c>
      <c r="AU109" s="387">
        <f t="shared" si="90"/>
        <v>0.20414136959999998</v>
      </c>
      <c r="AV109" s="387">
        <f t="shared" si="91"/>
        <v>4.851314598670154E-2</v>
      </c>
      <c r="AW109" s="387">
        <f t="shared" si="92"/>
        <v>0</v>
      </c>
      <c r="AX109" s="387">
        <f t="shared" si="93"/>
        <v>3.6000000000000004E-2</v>
      </c>
      <c r="AY109" s="387">
        <f t="shared" si="94"/>
        <v>5.9136000000000001E-2</v>
      </c>
      <c r="AZ109" s="387">
        <f t="shared" si="95"/>
        <v>7.3471999999999996E-2</v>
      </c>
      <c r="BA109" s="387">
        <f t="shared" si="113"/>
        <v>9.5135999999999998E-2</v>
      </c>
      <c r="BB109" s="387">
        <f t="shared" si="114"/>
        <v>1.0989170915073108</v>
      </c>
      <c r="BC109">
        <f t="shared" si="96"/>
        <v>72</v>
      </c>
      <c r="BD109" s="606">
        <f t="shared" si="107"/>
        <v>0.98496671174852479</v>
      </c>
      <c r="BE109" s="616">
        <f t="shared" si="97"/>
        <v>22.56012103196371</v>
      </c>
      <c r="BF109" s="616">
        <f t="shared" si="98"/>
        <v>7.153735481235822</v>
      </c>
      <c r="BG109" s="9"/>
      <c r="BH109" s="4">
        <f t="shared" si="108"/>
        <v>98.49667117485248</v>
      </c>
      <c r="BI109" s="387">
        <f t="shared" si="109"/>
        <v>0.27878196480884354</v>
      </c>
      <c r="BJ109" s="387">
        <f t="shared" si="110"/>
        <v>0.66422741942224395</v>
      </c>
      <c r="BK109" s="387">
        <f t="shared" si="111"/>
        <v>0.21044136159271642</v>
      </c>
      <c r="BL109" s="387">
        <f t="shared" si="112"/>
        <v>4.851314598670154E-2</v>
      </c>
      <c r="BR109" s="18"/>
      <c r="BS109" s="19"/>
    </row>
    <row r="110" spans="7:71" x14ac:dyDescent="0.2">
      <c r="G110">
        <v>101</v>
      </c>
      <c r="H110" s="612">
        <f t="shared" si="59"/>
        <v>14.595000000000001</v>
      </c>
      <c r="I110" s="4" t="str">
        <f t="shared" si="60"/>
        <v>BUCK</v>
      </c>
      <c r="J110">
        <f t="shared" si="99"/>
        <v>1</v>
      </c>
      <c r="K110">
        <f t="shared" si="61"/>
        <v>6</v>
      </c>
      <c r="L110" s="4">
        <f t="shared" si="62"/>
        <v>5.1387461459403907</v>
      </c>
      <c r="M110" s="4">
        <f t="shared" si="63"/>
        <v>6</v>
      </c>
      <c r="N110" s="387">
        <f t="shared" si="64"/>
        <v>0.82757631632862116</v>
      </c>
      <c r="O110" s="387">
        <f t="shared" si="115"/>
        <v>0</v>
      </c>
      <c r="P110" s="4">
        <f t="shared" si="65"/>
        <v>1.9846739014689432</v>
      </c>
      <c r="Q110" s="387">
        <f t="shared" si="66"/>
        <v>6.0272916146417694</v>
      </c>
      <c r="R110" s="387">
        <f t="shared" ref="R110:R173" si="116">(Q110^2*Rdcr*(1+Ltc*Ta-Ltc*25))/(1-Q110^2*Rdcr*Ltc*ThetaCa)</f>
        <v>0.2218377741274479</v>
      </c>
      <c r="S110" s="387">
        <f t="shared" ref="S110:S173" si="117">7.759*10^-3*Fsw^0.9458*(0.00787*P110)^2.304</f>
        <v>6.1414643148042909E-2</v>
      </c>
      <c r="T110" s="387">
        <f t="shared" ref="T110:T173" si="118">R110+S110</f>
        <v>0.28325241727549083</v>
      </c>
      <c r="U110" s="4">
        <f t="shared" si="68"/>
        <v>0.5729260056333596</v>
      </c>
      <c r="V110" s="387">
        <f t="shared" ref="V110:V173" si="119">RCoutEsr*U110^2</f>
        <v>2.297709455516975E-3</v>
      </c>
      <c r="W110" s="387">
        <f t="shared" ref="W110:W173" si="120">V110</f>
        <v>2.297709455516975E-3</v>
      </c>
      <c r="X110" s="387">
        <f t="shared" si="69"/>
        <v>2.2767989921241059</v>
      </c>
      <c r="Y110" s="387">
        <f t="shared" ref="Y110:Y173" si="121">RCinEsr*X110^2</f>
        <v>1.036762730107469E-2</v>
      </c>
      <c r="Z110" s="605">
        <f t="shared" ref="Z110:Z173" si="122">Y110</f>
        <v>1.036762730107469E-2</v>
      </c>
      <c r="AA110" s="387">
        <f t="shared" si="70"/>
        <v>5.4831008125226086</v>
      </c>
      <c r="AB110" s="387">
        <f t="shared" si="71"/>
        <v>0.17136704876563072</v>
      </c>
      <c r="AC110" s="387">
        <f t="shared" si="72"/>
        <v>6.6586368550932556E-2</v>
      </c>
      <c r="AD110">
        <f t="shared" si="73"/>
        <v>0</v>
      </c>
      <c r="AE110" s="387">
        <f t="shared" si="74"/>
        <v>0.24639832818078869</v>
      </c>
      <c r="AF110" s="387">
        <f t="shared" si="75"/>
        <v>2.5027684047160443</v>
      </c>
      <c r="AG110" s="387">
        <f t="shared" si="76"/>
        <v>3.5703943219575894E-2</v>
      </c>
      <c r="AH110" s="387">
        <f t="shared" si="77"/>
        <v>0.10752</v>
      </c>
      <c r="AI110" s="387">
        <f t="shared" si="78"/>
        <v>0.14425403076429658</v>
      </c>
      <c r="AJ110" s="387">
        <f t="shared" si="79"/>
        <v>0</v>
      </c>
      <c r="AK110" s="387">
        <f t="shared" si="80"/>
        <v>0</v>
      </c>
      <c r="AL110" s="387">
        <f t="shared" si="81"/>
        <v>0</v>
      </c>
      <c r="AM110">
        <f t="shared" si="82"/>
        <v>0</v>
      </c>
      <c r="AN110" s="387">
        <f t="shared" si="83"/>
        <v>0</v>
      </c>
      <c r="AO110" s="387">
        <f t="shared" si="84"/>
        <v>6.0272916146417694</v>
      </c>
      <c r="AP110" s="387">
        <f t="shared" si="85"/>
        <v>6.9023663995068874E-2</v>
      </c>
      <c r="AQ110" s="387">
        <f t="shared" si="86"/>
        <v>0</v>
      </c>
      <c r="AR110" s="387">
        <f t="shared" si="87"/>
        <v>6.9989855245372892E-2</v>
      </c>
      <c r="AS110" s="387">
        <f t="shared" si="88"/>
        <v>6.9023663995068874E-2</v>
      </c>
      <c r="AT110" s="387">
        <f t="shared" si="89"/>
        <v>0</v>
      </c>
      <c r="AU110" s="387">
        <f t="shared" si="90"/>
        <v>0.20548200959999999</v>
      </c>
      <c r="AV110" s="387">
        <f t="shared" si="91"/>
        <v>5.0110797501159147E-2</v>
      </c>
      <c r="AW110" s="387">
        <f t="shared" si="92"/>
        <v>0</v>
      </c>
      <c r="AX110" s="387">
        <f t="shared" si="93"/>
        <v>3.6000000000000004E-2</v>
      </c>
      <c r="AY110" s="387">
        <f t="shared" si="94"/>
        <v>5.9136000000000001E-2</v>
      </c>
      <c r="AZ110" s="387">
        <f t="shared" si="95"/>
        <v>7.3471999999999996E-2</v>
      </c>
      <c r="BA110" s="387">
        <f t="shared" ref="BA110:BA173" si="123">SUM(AX110:AY110)</f>
        <v>9.5135999999999998E-2</v>
      </c>
      <c r="BB110" s="387">
        <f t="shared" ref="BB110:BB173" si="124">SUM(T110,W110,Z110,AE110,AI110,AN110,AR110, AT110,AU110,BA110,AV110,AW110)</f>
        <v>1.1072887753236997</v>
      </c>
      <c r="BC110">
        <f t="shared" si="96"/>
        <v>72</v>
      </c>
      <c r="BD110" s="606">
        <f t="shared" ref="BD110:BD173" si="125">BC110/(BC110+BB110)</f>
        <v>0.98485392094450852</v>
      </c>
      <c r="BE110" s="616">
        <f t="shared" si="97"/>
        <v>22.594016889039434</v>
      </c>
      <c r="BF110" s="616">
        <f t="shared" si="98"/>
        <v>7.2127015382148292</v>
      </c>
      <c r="BG110" s="9"/>
      <c r="BH110" s="4">
        <f t="shared" ref="BH110:BH173" si="126">BD110*100</f>
        <v>98.485392094450859</v>
      </c>
      <c r="BI110" s="387">
        <f t="shared" ref="BI110:BI173" si="127">T110</f>
        <v>0.28325241727549083</v>
      </c>
      <c r="BJ110" s="387">
        <f t="shared" ref="BJ110:BJ173" si="128">AE110+AI110+AN110+AR110+AU110</f>
        <v>0.6661242237904581</v>
      </c>
      <c r="BK110" s="387">
        <f t="shared" ref="BK110:BK173" si="129">AI110+AU110*0.33</f>
        <v>0.21206309393229658</v>
      </c>
      <c r="BL110" s="387">
        <f t="shared" ref="BL110:BL173" si="130">AV110</f>
        <v>5.0110797501159147E-2</v>
      </c>
    </row>
    <row r="111" spans="7:71" x14ac:dyDescent="0.2">
      <c r="G111">
        <v>102</v>
      </c>
      <c r="H111" s="612">
        <f t="shared" si="59"/>
        <v>14.69</v>
      </c>
      <c r="I111" s="4" t="str">
        <f t="shared" si="60"/>
        <v>BUCK</v>
      </c>
      <c r="J111">
        <f t="shared" si="99"/>
        <v>1</v>
      </c>
      <c r="K111">
        <f t="shared" si="61"/>
        <v>6</v>
      </c>
      <c r="L111" s="4">
        <f t="shared" si="62"/>
        <v>5.1055139550714772</v>
      </c>
      <c r="M111" s="4">
        <f t="shared" si="63"/>
        <v>6</v>
      </c>
      <c r="N111" s="387">
        <f t="shared" si="64"/>
        <v>0.82224182385669697</v>
      </c>
      <c r="O111" s="387">
        <f t="shared" si="115"/>
        <v>0</v>
      </c>
      <c r="P111" s="4">
        <f t="shared" si="65"/>
        <v>2.046076301424558</v>
      </c>
      <c r="Q111" s="387">
        <f t="shared" si="66"/>
        <v>6.0290023237075419</v>
      </c>
      <c r="R111" s="387">
        <f t="shared" si="116"/>
        <v>0.22196595561028917</v>
      </c>
      <c r="S111" s="387">
        <f t="shared" si="117"/>
        <v>6.5880971721880927E-2</v>
      </c>
      <c r="T111" s="387">
        <f t="shared" si="118"/>
        <v>0.2878469273321701</v>
      </c>
      <c r="U111" s="4">
        <f t="shared" si="68"/>
        <v>0.59065135170499128</v>
      </c>
      <c r="V111" s="387">
        <f t="shared" si="119"/>
        <v>2.442083134896533E-3</v>
      </c>
      <c r="W111" s="387">
        <f t="shared" si="120"/>
        <v>2.442083134896533E-3</v>
      </c>
      <c r="X111" s="387">
        <f t="shared" si="69"/>
        <v>2.3049421291060748</v>
      </c>
      <c r="Y111" s="387">
        <f t="shared" si="121"/>
        <v>1.0625516437056091E-2</v>
      </c>
      <c r="Z111" s="605">
        <f t="shared" si="122"/>
        <v>1.0625516437056091E-2</v>
      </c>
      <c r="AA111" s="387">
        <f t="shared" si="70"/>
        <v>5.4669516512891825</v>
      </c>
      <c r="AB111" s="387">
        <f t="shared" si="71"/>
        <v>0.17035909403794106</v>
      </c>
      <c r="AC111" s="387">
        <f t="shared" si="72"/>
        <v>6.7019784447632694E-2</v>
      </c>
      <c r="AD111">
        <f t="shared" si="73"/>
        <v>0</v>
      </c>
      <c r="AE111" s="387">
        <f t="shared" si="74"/>
        <v>0.24575209949101606</v>
      </c>
      <c r="AF111" s="387">
        <f t="shared" si="75"/>
        <v>2.5419104354279312</v>
      </c>
      <c r="AG111" s="387">
        <f t="shared" si="76"/>
        <v>3.6829459371903267E-2</v>
      </c>
      <c r="AH111" s="387">
        <f t="shared" si="77"/>
        <v>0.10752</v>
      </c>
      <c r="AI111" s="387">
        <f t="shared" si="78"/>
        <v>0.14542061187528288</v>
      </c>
      <c r="AJ111" s="387">
        <f t="shared" si="79"/>
        <v>0</v>
      </c>
      <c r="AK111" s="387">
        <f t="shared" si="80"/>
        <v>0</v>
      </c>
      <c r="AL111" s="387">
        <f t="shared" si="81"/>
        <v>0</v>
      </c>
      <c r="AM111">
        <f t="shared" si="82"/>
        <v>0</v>
      </c>
      <c r="AN111" s="387">
        <f t="shared" si="83"/>
        <v>0</v>
      </c>
      <c r="AO111" s="387">
        <f t="shared" si="84"/>
        <v>6.0290023237075419</v>
      </c>
      <c r="AP111" s="387">
        <f t="shared" si="85"/>
        <v>6.9062851136614797E-2</v>
      </c>
      <c r="AQ111" s="387">
        <f t="shared" si="86"/>
        <v>0</v>
      </c>
      <c r="AR111" s="387">
        <f t="shared" si="87"/>
        <v>7.0030147466525972E-2</v>
      </c>
      <c r="AS111" s="387">
        <f t="shared" si="88"/>
        <v>6.9062851136614797E-2</v>
      </c>
      <c r="AT111" s="387">
        <f t="shared" si="89"/>
        <v>0</v>
      </c>
      <c r="AU111" s="387">
        <f t="shared" si="90"/>
        <v>0.20682264959999999</v>
      </c>
      <c r="AV111" s="387">
        <f t="shared" si="91"/>
        <v>5.1690469293899317E-2</v>
      </c>
      <c r="AW111" s="387">
        <f t="shared" si="92"/>
        <v>0</v>
      </c>
      <c r="AX111" s="387">
        <f t="shared" si="93"/>
        <v>3.6000000000000004E-2</v>
      </c>
      <c r="AY111" s="387">
        <f t="shared" si="94"/>
        <v>5.9136000000000001E-2</v>
      </c>
      <c r="AZ111" s="387">
        <f t="shared" si="95"/>
        <v>7.3471999999999996E-2</v>
      </c>
      <c r="BA111" s="387">
        <f t="shared" si="123"/>
        <v>9.5135999999999998E-2</v>
      </c>
      <c r="BB111" s="387">
        <f t="shared" si="124"/>
        <v>1.1157665046308469</v>
      </c>
      <c r="BC111">
        <f t="shared" si="96"/>
        <v>72</v>
      </c>
      <c r="BD111" s="606">
        <f t="shared" si="125"/>
        <v>0.98473972772260865</v>
      </c>
      <c r="BE111" s="616">
        <f t="shared" si="97"/>
        <v>22.628737454550802</v>
      </c>
      <c r="BF111" s="616">
        <f t="shared" si="98"/>
        <v>7.2710305937641442</v>
      </c>
      <c r="BG111" s="9"/>
      <c r="BH111" s="4">
        <f t="shared" si="126"/>
        <v>98.473972772260865</v>
      </c>
      <c r="BI111" s="387">
        <f t="shared" si="127"/>
        <v>0.2878469273321701</v>
      </c>
      <c r="BJ111" s="387">
        <f t="shared" si="128"/>
        <v>0.66802550843282493</v>
      </c>
      <c r="BK111" s="387">
        <f t="shared" si="129"/>
        <v>0.21367208624328288</v>
      </c>
      <c r="BL111" s="387">
        <f t="shared" si="130"/>
        <v>5.1690469293899317E-2</v>
      </c>
    </row>
    <row r="112" spans="7:71" x14ac:dyDescent="0.2">
      <c r="G112">
        <v>103</v>
      </c>
      <c r="H112" s="612">
        <f t="shared" si="59"/>
        <v>14.785</v>
      </c>
      <c r="I112" s="4" t="str">
        <f t="shared" si="60"/>
        <v>BUCK</v>
      </c>
      <c r="J112">
        <f t="shared" si="99"/>
        <v>1</v>
      </c>
      <c r="K112">
        <f t="shared" si="61"/>
        <v>6</v>
      </c>
      <c r="L112" s="4">
        <f t="shared" si="62"/>
        <v>5.0727088265133577</v>
      </c>
      <c r="M112" s="4">
        <f t="shared" si="63"/>
        <v>6</v>
      </c>
      <c r="N112" s="387">
        <f t="shared" si="64"/>
        <v>0.81697566237443531</v>
      </c>
      <c r="O112" s="387">
        <f t="shared" si="115"/>
        <v>0</v>
      </c>
      <c r="P112" s="4">
        <f t="shared" si="65"/>
        <v>2.1066921810544423</v>
      </c>
      <c r="Q112" s="387">
        <f t="shared" si="66"/>
        <v>6.0307417450489726</v>
      </c>
      <c r="R112" s="387">
        <f t="shared" si="116"/>
        <v>0.22209632841800528</v>
      </c>
      <c r="S112" s="387">
        <f t="shared" si="117"/>
        <v>7.0464927119286994E-2</v>
      </c>
      <c r="T112" s="387">
        <f t="shared" si="118"/>
        <v>0.29256125553729229</v>
      </c>
      <c r="U112" s="4">
        <f t="shared" si="68"/>
        <v>0.60814964891573109</v>
      </c>
      <c r="V112" s="387">
        <f t="shared" si="119"/>
        <v>2.5889219683342887E-3</v>
      </c>
      <c r="W112" s="387">
        <f t="shared" si="120"/>
        <v>2.5889219683342887E-3</v>
      </c>
      <c r="X112" s="387">
        <f t="shared" si="69"/>
        <v>2.3320062632413467</v>
      </c>
      <c r="Y112" s="387">
        <f t="shared" si="121"/>
        <v>1.0876506423593739E-2</v>
      </c>
      <c r="Z112" s="605">
        <f t="shared" si="122"/>
        <v>1.0876506423593739E-2</v>
      </c>
      <c r="AA112" s="387">
        <f t="shared" si="70"/>
        <v>5.4509888114552645</v>
      </c>
      <c r="AB112" s="387">
        <f t="shared" si="71"/>
        <v>0.16936569042887972</v>
      </c>
      <c r="AC112" s="387">
        <f t="shared" si="72"/>
        <v>6.7453200344332845E-2</v>
      </c>
      <c r="AD112">
        <f t="shared" si="73"/>
        <v>0</v>
      </c>
      <c r="AE112" s="387">
        <f t="shared" si="74"/>
        <v>0.24512194009800561</v>
      </c>
      <c r="AF112" s="387">
        <f t="shared" si="75"/>
        <v>2.5800323588796035</v>
      </c>
      <c r="AG112" s="387">
        <f t="shared" si="76"/>
        <v>3.7942431745335348E-2</v>
      </c>
      <c r="AH112" s="387">
        <f t="shared" si="77"/>
        <v>0.10752</v>
      </c>
      <c r="AI112" s="387">
        <f t="shared" si="78"/>
        <v>0.14657471194605642</v>
      </c>
      <c r="AJ112" s="387">
        <f t="shared" si="79"/>
        <v>0</v>
      </c>
      <c r="AK112" s="387">
        <f t="shared" si="80"/>
        <v>0</v>
      </c>
      <c r="AL112" s="387">
        <f t="shared" si="81"/>
        <v>0</v>
      </c>
      <c r="AM112">
        <f t="shared" si="82"/>
        <v>0</v>
      </c>
      <c r="AN112" s="387">
        <f t="shared" si="83"/>
        <v>0</v>
      </c>
      <c r="AO112" s="387">
        <f t="shared" si="84"/>
        <v>6.0307417450489726</v>
      </c>
      <c r="AP112" s="387">
        <f t="shared" si="85"/>
        <v>6.9102707391405019E-2</v>
      </c>
      <c r="AQ112" s="387">
        <f t="shared" si="86"/>
        <v>0</v>
      </c>
      <c r="AR112" s="387">
        <f t="shared" si="87"/>
        <v>7.0071128326876564E-2</v>
      </c>
      <c r="AS112" s="387">
        <f t="shared" si="88"/>
        <v>6.9102707391405019E-2</v>
      </c>
      <c r="AT112" s="387">
        <f t="shared" si="89"/>
        <v>0</v>
      </c>
      <c r="AU112" s="387">
        <f t="shared" si="90"/>
        <v>0.2081632896</v>
      </c>
      <c r="AV112" s="387">
        <f t="shared" si="91"/>
        <v>5.325253578292681E-2</v>
      </c>
      <c r="AW112" s="387">
        <f t="shared" si="92"/>
        <v>0</v>
      </c>
      <c r="AX112" s="387">
        <f t="shared" si="93"/>
        <v>3.6000000000000004E-2</v>
      </c>
      <c r="AY112" s="387">
        <f t="shared" si="94"/>
        <v>5.9136000000000001E-2</v>
      </c>
      <c r="AZ112" s="387">
        <f t="shared" si="95"/>
        <v>7.3471999999999996E-2</v>
      </c>
      <c r="BA112" s="387">
        <f t="shared" si="123"/>
        <v>9.5135999999999998E-2</v>
      </c>
      <c r="BB112" s="387">
        <f t="shared" si="124"/>
        <v>1.1243462896830856</v>
      </c>
      <c r="BC112">
        <f t="shared" si="96"/>
        <v>72</v>
      </c>
      <c r="BD112" s="606">
        <f t="shared" si="125"/>
        <v>0.98462418678959573</v>
      </c>
      <c r="BE112" s="616">
        <f t="shared" si="97"/>
        <v>22.66426148490028</v>
      </c>
      <c r="BF112" s="616">
        <f t="shared" si="98"/>
        <v>7.3287355973028214</v>
      </c>
      <c r="BG112" s="9"/>
      <c r="BH112" s="4">
        <f t="shared" si="126"/>
        <v>98.46241867895958</v>
      </c>
      <c r="BI112" s="387">
        <f t="shared" si="127"/>
        <v>0.29256125553729229</v>
      </c>
      <c r="BJ112" s="387">
        <f t="shared" si="128"/>
        <v>0.66993106997093854</v>
      </c>
      <c r="BK112" s="387">
        <f t="shared" si="129"/>
        <v>0.21526859751405641</v>
      </c>
      <c r="BL112" s="387">
        <f t="shared" si="130"/>
        <v>5.325253578292681E-2</v>
      </c>
    </row>
    <row r="113" spans="7:64" x14ac:dyDescent="0.2">
      <c r="G113">
        <v>104</v>
      </c>
      <c r="H113" s="612">
        <f t="shared" si="59"/>
        <v>14.88</v>
      </c>
      <c r="I113" s="4" t="str">
        <f t="shared" si="60"/>
        <v>BUCK</v>
      </c>
      <c r="J113">
        <f t="shared" si="99"/>
        <v>1</v>
      </c>
      <c r="K113">
        <f t="shared" si="61"/>
        <v>6</v>
      </c>
      <c r="L113" s="4">
        <f t="shared" si="62"/>
        <v>5.040322580645161</v>
      </c>
      <c r="M113" s="4">
        <f t="shared" si="63"/>
        <v>6</v>
      </c>
      <c r="N113" s="387">
        <f t="shared" si="64"/>
        <v>0.81177652733118966</v>
      </c>
      <c r="O113" s="387">
        <f t="shared" si="115"/>
        <v>0</v>
      </c>
      <c r="P113" s="4">
        <f t="shared" si="65"/>
        <v>2.1665365563214074</v>
      </c>
      <c r="Q113" s="387">
        <f t="shared" si="66"/>
        <v>6.0325083274557594</v>
      </c>
      <c r="R113" s="387">
        <f t="shared" si="116"/>
        <v>0.2222287782271829</v>
      </c>
      <c r="S113" s="387">
        <f t="shared" si="117"/>
        <v>7.5162466651180329E-2</v>
      </c>
      <c r="T113" s="387">
        <f t="shared" si="118"/>
        <v>0.29739124487836321</v>
      </c>
      <c r="U113" s="4">
        <f t="shared" si="68"/>
        <v>0.62542523200066469</v>
      </c>
      <c r="V113" s="387">
        <f t="shared" si="119"/>
        <v>2.7380970457615964E-3</v>
      </c>
      <c r="W113" s="387">
        <f t="shared" si="120"/>
        <v>2.7380970457615964E-3</v>
      </c>
      <c r="X113" s="387">
        <f t="shared" si="69"/>
        <v>2.358050304518629</v>
      </c>
      <c r="Y113" s="387">
        <f t="shared" si="121"/>
        <v>1.1120802477280797E-2</v>
      </c>
      <c r="Z113" s="605">
        <f t="shared" si="122"/>
        <v>1.1120802477280797E-2</v>
      </c>
      <c r="AA113" s="387">
        <f t="shared" si="70"/>
        <v>5.4352080759060959</v>
      </c>
      <c r="AB113" s="387">
        <f t="shared" si="71"/>
        <v>0.16838647492185063</v>
      </c>
      <c r="AC113" s="387">
        <f t="shared" si="72"/>
        <v>6.7886616241032982E-2</v>
      </c>
      <c r="AD113">
        <f t="shared" si="73"/>
        <v>0</v>
      </c>
      <c r="AE113" s="387">
        <f t="shared" si="74"/>
        <v>0.24450744035768257</v>
      </c>
      <c r="AF113" s="387">
        <f t="shared" si="75"/>
        <v>2.6171874010907659</v>
      </c>
      <c r="AG113" s="387">
        <f t="shared" si="76"/>
        <v>3.9043118386840957E-2</v>
      </c>
      <c r="AH113" s="387">
        <f t="shared" si="77"/>
        <v>0.10752</v>
      </c>
      <c r="AI113" s="387">
        <f t="shared" si="78"/>
        <v>0.14771658158333248</v>
      </c>
      <c r="AJ113" s="387">
        <f t="shared" si="79"/>
        <v>0</v>
      </c>
      <c r="AK113" s="387">
        <f t="shared" si="80"/>
        <v>0</v>
      </c>
      <c r="AL113" s="387">
        <f t="shared" si="81"/>
        <v>0</v>
      </c>
      <c r="AM113">
        <f t="shared" si="82"/>
        <v>0</v>
      </c>
      <c r="AN113" s="387">
        <f t="shared" si="83"/>
        <v>0</v>
      </c>
      <c r="AO113" s="387">
        <f t="shared" si="84"/>
        <v>6.0325083274557594</v>
      </c>
      <c r="AP113" s="387">
        <f t="shared" si="85"/>
        <v>6.9143197769563861E-2</v>
      </c>
      <c r="AQ113" s="387">
        <f t="shared" si="86"/>
        <v>0</v>
      </c>
      <c r="AR113" s="387">
        <f t="shared" si="87"/>
        <v>7.0112761881755983E-2</v>
      </c>
      <c r="AS113" s="387">
        <f t="shared" si="88"/>
        <v>6.9143197769563861E-2</v>
      </c>
      <c r="AT113" s="387">
        <f t="shared" si="89"/>
        <v>0</v>
      </c>
      <c r="AU113" s="387">
        <f t="shared" si="90"/>
        <v>0.2095039296</v>
      </c>
      <c r="AV113" s="387">
        <f t="shared" si="91"/>
        <v>5.4797359139425898E-2</v>
      </c>
      <c r="AW113" s="387">
        <f t="shared" si="92"/>
        <v>0</v>
      </c>
      <c r="AX113" s="387">
        <f t="shared" si="93"/>
        <v>3.6000000000000004E-2</v>
      </c>
      <c r="AY113" s="387">
        <f t="shared" si="94"/>
        <v>5.9136000000000001E-2</v>
      </c>
      <c r="AZ113" s="387">
        <f t="shared" si="95"/>
        <v>7.3471999999999996E-2</v>
      </c>
      <c r="BA113" s="387">
        <f t="shared" si="123"/>
        <v>9.5135999999999998E-2</v>
      </c>
      <c r="BB113" s="387">
        <f t="shared" si="124"/>
        <v>1.1330242169636024</v>
      </c>
      <c r="BC113">
        <f t="shared" si="96"/>
        <v>72</v>
      </c>
      <c r="BD113" s="606">
        <f t="shared" si="125"/>
        <v>0.98450735178676241</v>
      </c>
      <c r="BE113" s="616">
        <f t="shared" si="97"/>
        <v>22.700568497884127</v>
      </c>
      <c r="BF113" s="616">
        <f t="shared" si="98"/>
        <v>7.3858290791666237</v>
      </c>
      <c r="BG113" s="9"/>
      <c r="BH113" s="4">
        <f t="shared" si="126"/>
        <v>98.45073517867624</v>
      </c>
      <c r="BI113" s="387">
        <f t="shared" si="127"/>
        <v>0.29739124487836321</v>
      </c>
      <c r="BJ113" s="387">
        <f t="shared" si="128"/>
        <v>0.67184071342277096</v>
      </c>
      <c r="BK113" s="387">
        <f t="shared" si="129"/>
        <v>0.21685287835133249</v>
      </c>
      <c r="BL113" s="387">
        <f t="shared" si="130"/>
        <v>5.4797359139425898E-2</v>
      </c>
    </row>
    <row r="114" spans="7:64" x14ac:dyDescent="0.2">
      <c r="G114">
        <v>105</v>
      </c>
      <c r="H114" s="612">
        <f t="shared" si="59"/>
        <v>14.975</v>
      </c>
      <c r="I114" s="4" t="str">
        <f t="shared" si="60"/>
        <v>BUCK</v>
      </c>
      <c r="J114">
        <f t="shared" si="99"/>
        <v>1</v>
      </c>
      <c r="K114">
        <f t="shared" si="61"/>
        <v>6</v>
      </c>
      <c r="L114" s="4">
        <f t="shared" si="62"/>
        <v>5.0083472454090154</v>
      </c>
      <c r="M114" s="4">
        <f t="shared" si="63"/>
        <v>6</v>
      </c>
      <c r="N114" s="387">
        <f t="shared" si="64"/>
        <v>0.80664314717433272</v>
      </c>
      <c r="O114" s="387">
        <f t="shared" si="115"/>
        <v>0</v>
      </c>
      <c r="P114" s="4">
        <f t="shared" si="65"/>
        <v>2.2256240633662627</v>
      </c>
      <c r="Q114" s="387">
        <f t="shared" si="66"/>
        <v>6.0343005841013788</v>
      </c>
      <c r="R114" s="387">
        <f t="shared" si="116"/>
        <v>0.22236319542879884</v>
      </c>
      <c r="S114" s="387">
        <f t="shared" si="117"/>
        <v>7.9969628255021075E-2</v>
      </c>
      <c r="T114" s="387">
        <f t="shared" si="118"/>
        <v>0.30233282368381992</v>
      </c>
      <c r="U114" s="4">
        <f t="shared" si="68"/>
        <v>0.64248232604971034</v>
      </c>
      <c r="V114" s="387">
        <f t="shared" si="119"/>
        <v>2.8894847750037238E-3</v>
      </c>
      <c r="W114" s="387">
        <f t="shared" si="120"/>
        <v>2.8894847750037238E-3</v>
      </c>
      <c r="X114" s="387">
        <f t="shared" si="69"/>
        <v>2.3831284335854983</v>
      </c>
      <c r="Y114" s="387">
        <f t="shared" si="121"/>
        <v>1.1358602261927342E-2</v>
      </c>
      <c r="Z114" s="605">
        <f t="shared" si="122"/>
        <v>1.1358602261927342E-2</v>
      </c>
      <c r="AA114" s="387">
        <f t="shared" si="70"/>
        <v>5.419605364923501</v>
      </c>
      <c r="AB114" s="387">
        <f t="shared" si="71"/>
        <v>0.16742109717559331</v>
      </c>
      <c r="AC114" s="387">
        <f t="shared" si="72"/>
        <v>6.8320032137733133E-2</v>
      </c>
      <c r="AD114">
        <f t="shared" si="73"/>
        <v>0</v>
      </c>
      <c r="AE114" s="387">
        <f t="shared" si="74"/>
        <v>0.24390820517751635</v>
      </c>
      <c r="AF114" s="387">
        <f t="shared" si="75"/>
        <v>2.6534244341564825</v>
      </c>
      <c r="AG114" s="387">
        <f t="shared" si="76"/>
        <v>4.0131768998338306E-2</v>
      </c>
      <c r="AH114" s="387">
        <f t="shared" si="77"/>
        <v>0.10752</v>
      </c>
      <c r="AI114" s="387">
        <f t="shared" si="78"/>
        <v>0.14884646337521709</v>
      </c>
      <c r="AJ114" s="387">
        <f t="shared" si="79"/>
        <v>0</v>
      </c>
      <c r="AK114" s="387">
        <f t="shared" si="80"/>
        <v>0</v>
      </c>
      <c r="AL114" s="387">
        <f t="shared" si="81"/>
        <v>0</v>
      </c>
      <c r="AM114">
        <f t="shared" si="82"/>
        <v>0</v>
      </c>
      <c r="AN114" s="387">
        <f t="shared" si="83"/>
        <v>0</v>
      </c>
      <c r="AO114" s="387">
        <f t="shared" si="84"/>
        <v>6.0343005841013788</v>
      </c>
      <c r="AP114" s="387">
        <f t="shared" si="85"/>
        <v>6.9184288724643869E-2</v>
      </c>
      <c r="AQ114" s="387">
        <f t="shared" si="86"/>
        <v>0</v>
      </c>
      <c r="AR114" s="387">
        <f t="shared" si="87"/>
        <v>7.0155013668873611E-2</v>
      </c>
      <c r="AS114" s="387">
        <f t="shared" si="88"/>
        <v>6.9184288724643869E-2</v>
      </c>
      <c r="AT114" s="387">
        <f t="shared" si="89"/>
        <v>0</v>
      </c>
      <c r="AU114" s="387">
        <f t="shared" si="90"/>
        <v>0.21084456959999998</v>
      </c>
      <c r="AV114" s="387">
        <f t="shared" si="91"/>
        <v>5.6325289822229195E-2</v>
      </c>
      <c r="AW114" s="387">
        <f t="shared" si="92"/>
        <v>0</v>
      </c>
      <c r="AX114" s="387">
        <f t="shared" si="93"/>
        <v>3.6000000000000004E-2</v>
      </c>
      <c r="AY114" s="387">
        <f t="shared" si="94"/>
        <v>5.9136000000000001E-2</v>
      </c>
      <c r="AZ114" s="387">
        <f t="shared" si="95"/>
        <v>7.3471999999999996E-2</v>
      </c>
      <c r="BA114" s="387">
        <f t="shared" si="123"/>
        <v>9.5135999999999998E-2</v>
      </c>
      <c r="BB114" s="387">
        <f t="shared" si="124"/>
        <v>1.1417964523645874</v>
      </c>
      <c r="BC114">
        <f t="shared" si="96"/>
        <v>72</v>
      </c>
      <c r="BD114" s="606">
        <f t="shared" si="125"/>
        <v>0.98438927524690745</v>
      </c>
      <c r="BE114" s="616">
        <f t="shared" si="97"/>
        <v>22.737638738875816</v>
      </c>
      <c r="BF114" s="616">
        <f t="shared" si="98"/>
        <v>7.4423231687608542</v>
      </c>
      <c r="BG114" s="9"/>
      <c r="BH114" s="4">
        <f t="shared" si="126"/>
        <v>98.43892752469074</v>
      </c>
      <c r="BI114" s="387">
        <f t="shared" si="127"/>
        <v>0.30233282368381992</v>
      </c>
      <c r="BJ114" s="387">
        <f t="shared" si="128"/>
        <v>0.67375425182160709</v>
      </c>
      <c r="BK114" s="387">
        <f t="shared" si="129"/>
        <v>0.21842517134321709</v>
      </c>
      <c r="BL114" s="387">
        <f t="shared" si="130"/>
        <v>5.6325289822229195E-2</v>
      </c>
    </row>
    <row r="115" spans="7:64" x14ac:dyDescent="0.2">
      <c r="G115">
        <v>106</v>
      </c>
      <c r="H115" s="612">
        <f t="shared" si="59"/>
        <v>15.07</v>
      </c>
      <c r="I115" s="4" t="str">
        <f t="shared" si="60"/>
        <v>BUCK</v>
      </c>
      <c r="J115">
        <f t="shared" si="99"/>
        <v>1</v>
      </c>
      <c r="K115">
        <f t="shared" si="61"/>
        <v>6</v>
      </c>
      <c r="L115" s="4">
        <f t="shared" si="62"/>
        <v>4.9767750497677508</v>
      </c>
      <c r="M115" s="4">
        <f t="shared" si="63"/>
        <v>6</v>
      </c>
      <c r="N115" s="387">
        <f t="shared" si="64"/>
        <v>0.80157428231247518</v>
      </c>
      <c r="O115" s="387">
        <f t="shared" si="115"/>
        <v>0</v>
      </c>
      <c r="P115" s="4">
        <f t="shared" si="65"/>
        <v>2.283968970441645</v>
      </c>
      <c r="Q115" s="387">
        <f t="shared" si="66"/>
        <v>6.0361170897767567</v>
      </c>
      <c r="R115" s="387">
        <f t="shared" si="116"/>
        <v>0.2224994749229719</v>
      </c>
      <c r="S115" s="387">
        <f t="shared" si="117"/>
        <v>8.4882532872575328E-2</v>
      </c>
      <c r="T115" s="387">
        <f t="shared" si="118"/>
        <v>0.30738200779554725</v>
      </c>
      <c r="U115" s="4">
        <f t="shared" si="68"/>
        <v>0.65932504995261809</v>
      </c>
      <c r="V115" s="387">
        <f t="shared" si="119"/>
        <v>3.0429666504651564E-3</v>
      </c>
      <c r="W115" s="387">
        <f t="shared" si="120"/>
        <v>3.0429666504651564E-3</v>
      </c>
      <c r="X115" s="387">
        <f t="shared" si="69"/>
        <v>2.4072906167892842</v>
      </c>
      <c r="Y115" s="387">
        <f t="shared" si="121"/>
        <v>1.1590096227363466E-2</v>
      </c>
      <c r="Z115" s="605">
        <f t="shared" si="122"/>
        <v>1.1590096227363466E-2</v>
      </c>
      <c r="AA115" s="387">
        <f t="shared" si="70"/>
        <v>5.4041767306367658</v>
      </c>
      <c r="AB115" s="387">
        <f t="shared" si="71"/>
        <v>0.16646921897494854</v>
      </c>
      <c r="AC115" s="387">
        <f t="shared" si="72"/>
        <v>6.875344803443327E-2</v>
      </c>
      <c r="AD115">
        <f t="shared" si="73"/>
        <v>0</v>
      </c>
      <c r="AE115" s="387">
        <f t="shared" si="74"/>
        <v>0.24332385337525245</v>
      </c>
      <c r="AF115" s="387">
        <f t="shared" si="75"/>
        <v>2.6887884605411307</v>
      </c>
      <c r="AG115" s="387">
        <f t="shared" si="76"/>
        <v>4.1208625297573118E-2</v>
      </c>
      <c r="AH115" s="387">
        <f t="shared" si="77"/>
        <v>0.10752</v>
      </c>
      <c r="AI115" s="387">
        <f t="shared" si="78"/>
        <v>0.14996459223543984</v>
      </c>
      <c r="AJ115" s="387">
        <f t="shared" si="79"/>
        <v>0</v>
      </c>
      <c r="AK115" s="387">
        <f t="shared" si="80"/>
        <v>0</v>
      </c>
      <c r="AL115" s="387">
        <f t="shared" si="81"/>
        <v>0</v>
      </c>
      <c r="AM115">
        <f t="shared" si="82"/>
        <v>0</v>
      </c>
      <c r="AN115" s="387">
        <f t="shared" si="83"/>
        <v>0</v>
      </c>
      <c r="AO115" s="387">
        <f t="shared" si="84"/>
        <v>6.0361170897767567</v>
      </c>
      <c r="AP115" s="387">
        <f t="shared" si="85"/>
        <v>6.9225948090840539E-2</v>
      </c>
      <c r="AQ115" s="387">
        <f t="shared" si="86"/>
        <v>0</v>
      </c>
      <c r="AR115" s="387">
        <f t="shared" si="87"/>
        <v>7.0197850643791679E-2</v>
      </c>
      <c r="AS115" s="387">
        <f t="shared" si="88"/>
        <v>6.9225948090840539E-2</v>
      </c>
      <c r="AT115" s="387">
        <f t="shared" si="89"/>
        <v>0</v>
      </c>
      <c r="AU115" s="387">
        <f t="shared" si="90"/>
        <v>0.21218520960000001</v>
      </c>
      <c r="AV115" s="387">
        <f t="shared" si="91"/>
        <v>5.7836667084313148E-2</v>
      </c>
      <c r="AW115" s="387">
        <f t="shared" si="92"/>
        <v>0</v>
      </c>
      <c r="AX115" s="387">
        <f t="shared" si="93"/>
        <v>3.6000000000000004E-2</v>
      </c>
      <c r="AY115" s="387">
        <f t="shared" si="94"/>
        <v>5.9136000000000001E-2</v>
      </c>
      <c r="AZ115" s="387">
        <f t="shared" si="95"/>
        <v>7.3471999999999996E-2</v>
      </c>
      <c r="BA115" s="387">
        <f t="shared" si="123"/>
        <v>9.5135999999999998E-2</v>
      </c>
      <c r="BB115" s="387">
        <f t="shared" si="124"/>
        <v>1.150659243612173</v>
      </c>
      <c r="BC115">
        <f t="shared" si="96"/>
        <v>72</v>
      </c>
      <c r="BD115" s="606">
        <f t="shared" si="125"/>
        <v>0.98427000856164326</v>
      </c>
      <c r="BE115" s="616">
        <f t="shared" si="97"/>
        <v>22.775453148762622</v>
      </c>
      <c r="BF115" s="616">
        <f t="shared" si="98"/>
        <v>7.4982296117719924</v>
      </c>
      <c r="BG115" s="9"/>
      <c r="BH115" s="4">
        <f t="shared" si="126"/>
        <v>98.427000856164327</v>
      </c>
      <c r="BI115" s="387">
        <f t="shared" si="127"/>
        <v>0.30738200779554725</v>
      </c>
      <c r="BJ115" s="387">
        <f t="shared" si="128"/>
        <v>0.67567150585448399</v>
      </c>
      <c r="BK115" s="387">
        <f t="shared" si="129"/>
        <v>0.21998571140343987</v>
      </c>
      <c r="BL115" s="387">
        <f t="shared" si="130"/>
        <v>5.7836667084313148E-2</v>
      </c>
    </row>
    <row r="116" spans="7:64" x14ac:dyDescent="0.2">
      <c r="G116">
        <v>107</v>
      </c>
      <c r="H116" s="612">
        <f t="shared" si="59"/>
        <v>15.165000000000001</v>
      </c>
      <c r="I116" s="4" t="str">
        <f t="shared" si="60"/>
        <v>BUCK</v>
      </c>
      <c r="J116">
        <f t="shared" si="99"/>
        <v>1</v>
      </c>
      <c r="K116">
        <f t="shared" si="61"/>
        <v>6</v>
      </c>
      <c r="L116" s="4">
        <f t="shared" si="62"/>
        <v>4.9455984174085064</v>
      </c>
      <c r="M116" s="4">
        <f t="shared" si="63"/>
        <v>6</v>
      </c>
      <c r="N116" s="387">
        <f t="shared" si="64"/>
        <v>0.79656872411753099</v>
      </c>
      <c r="O116" s="387">
        <f t="shared" si="115"/>
        <v>0</v>
      </c>
      <c r="P116" s="4">
        <f t="shared" si="65"/>
        <v>2.341585189398685</v>
      </c>
      <c r="Q116" s="387">
        <f t="shared" si="66"/>
        <v>6.0379564782521911</v>
      </c>
      <c r="R116" s="387">
        <f t="shared" si="116"/>
        <v>0.22263751592354644</v>
      </c>
      <c r="S116" s="387">
        <f t="shared" si="117"/>
        <v>8.9897386187403144E-2</v>
      </c>
      <c r="T116" s="387">
        <f t="shared" si="118"/>
        <v>0.31253490211094959</v>
      </c>
      <c r="U116" s="4">
        <f t="shared" si="68"/>
        <v>0.67595741971488588</v>
      </c>
      <c r="V116" s="387">
        <f t="shared" si="119"/>
        <v>3.198429032873245E-3</v>
      </c>
      <c r="W116" s="387">
        <f t="shared" si="120"/>
        <v>3.198429032873245E-3</v>
      </c>
      <c r="X116" s="387">
        <f t="shared" si="69"/>
        <v>2.4305830504539814</v>
      </c>
      <c r="Y116" s="387">
        <f t="shared" si="121"/>
        <v>1.1815467930308365E-2</v>
      </c>
      <c r="Z116" s="605">
        <f t="shared" si="122"/>
        <v>1.1815467930308365E-2</v>
      </c>
      <c r="AA116" s="387">
        <f t="shared" si="70"/>
        <v>5.3889183517330146</v>
      </c>
      <c r="AB116" s="387">
        <f t="shared" si="71"/>
        <v>0.16553051370937577</v>
      </c>
      <c r="AC116" s="387">
        <f t="shared" si="72"/>
        <v>6.9186863931133435E-2</v>
      </c>
      <c r="AD116">
        <f t="shared" si="73"/>
        <v>0</v>
      </c>
      <c r="AE116" s="387">
        <f t="shared" si="74"/>
        <v>0.24275401707065317</v>
      </c>
      <c r="AF116" s="387">
        <f t="shared" si="75"/>
        <v>2.723321029849902</v>
      </c>
      <c r="AG116" s="387">
        <f t="shared" si="76"/>
        <v>4.2273921360249565E-2</v>
      </c>
      <c r="AH116" s="387">
        <f t="shared" si="77"/>
        <v>0.10752</v>
      </c>
      <c r="AI116" s="387">
        <f t="shared" si="78"/>
        <v>0.15107119572986621</v>
      </c>
      <c r="AJ116" s="387">
        <f t="shared" si="79"/>
        <v>0</v>
      </c>
      <c r="AK116" s="387">
        <f t="shared" si="80"/>
        <v>0</v>
      </c>
      <c r="AL116" s="387">
        <f t="shared" si="81"/>
        <v>0</v>
      </c>
      <c r="AM116">
        <f t="shared" si="82"/>
        <v>0</v>
      </c>
      <c r="AN116" s="387">
        <f t="shared" si="83"/>
        <v>0</v>
      </c>
      <c r="AO116" s="387">
        <f t="shared" si="84"/>
        <v>6.0379564782521911</v>
      </c>
      <c r="AP116" s="387">
        <f t="shared" si="85"/>
        <v>6.9268145023208452E-2</v>
      </c>
      <c r="AQ116" s="387">
        <f t="shared" si="86"/>
        <v>0</v>
      </c>
      <c r="AR116" s="387">
        <f t="shared" si="87"/>
        <v>7.0241241118489589E-2</v>
      </c>
      <c r="AS116" s="387">
        <f t="shared" si="88"/>
        <v>6.9268145023208452E-2</v>
      </c>
      <c r="AT116" s="387">
        <f t="shared" si="89"/>
        <v>0</v>
      </c>
      <c r="AU116" s="387">
        <f t="shared" si="90"/>
        <v>0.21352584960000001</v>
      </c>
      <c r="AV116" s="387">
        <f t="shared" si="91"/>
        <v>5.9331819452981847E-2</v>
      </c>
      <c r="AW116" s="387">
        <f t="shared" si="92"/>
        <v>0</v>
      </c>
      <c r="AX116" s="387">
        <f t="shared" si="93"/>
        <v>3.6000000000000004E-2</v>
      </c>
      <c r="AY116" s="387">
        <f t="shared" si="94"/>
        <v>5.9136000000000001E-2</v>
      </c>
      <c r="AZ116" s="387">
        <f t="shared" si="95"/>
        <v>7.3471999999999996E-2</v>
      </c>
      <c r="BA116" s="387">
        <f t="shared" si="123"/>
        <v>9.5135999999999998E-2</v>
      </c>
      <c r="BB116" s="387">
        <f t="shared" si="124"/>
        <v>1.1596089220461223</v>
      </c>
      <c r="BC116">
        <f t="shared" si="96"/>
        <v>72</v>
      </c>
      <c r="BD116" s="606">
        <f t="shared" si="125"/>
        <v>0.98414960195752665</v>
      </c>
      <c r="BE116" s="616">
        <f t="shared" si="97"/>
        <v>22.813993333532657</v>
      </c>
      <c r="BF116" s="616">
        <f t="shared" si="98"/>
        <v>7.5535597864933104</v>
      </c>
      <c r="BG116" s="9"/>
      <c r="BH116" s="4">
        <f t="shared" si="126"/>
        <v>98.41496019575267</v>
      </c>
      <c r="BI116" s="387">
        <f t="shared" si="127"/>
        <v>0.31253490211094959</v>
      </c>
      <c r="BJ116" s="387">
        <f t="shared" si="128"/>
        <v>0.67759230351900901</v>
      </c>
      <c r="BK116" s="387">
        <f t="shared" si="129"/>
        <v>0.22153472609786623</v>
      </c>
      <c r="BL116" s="387">
        <f t="shared" si="130"/>
        <v>5.9331819452981847E-2</v>
      </c>
    </row>
    <row r="117" spans="7:64" x14ac:dyDescent="0.2">
      <c r="G117">
        <v>108</v>
      </c>
      <c r="H117" s="612">
        <f t="shared" si="59"/>
        <v>15.260000000000002</v>
      </c>
      <c r="I117" s="4" t="str">
        <f t="shared" si="60"/>
        <v>BUCK</v>
      </c>
      <c r="J117">
        <f t="shared" si="99"/>
        <v>1</v>
      </c>
      <c r="K117">
        <f t="shared" si="61"/>
        <v>6</v>
      </c>
      <c r="L117" s="4">
        <f t="shared" si="62"/>
        <v>4.9148099606815201</v>
      </c>
      <c r="M117" s="4">
        <f t="shared" si="63"/>
        <v>6</v>
      </c>
      <c r="N117" s="387">
        <f t="shared" si="64"/>
        <v>0.79162529396394032</v>
      </c>
      <c r="O117" s="387">
        <f t="shared" si="115"/>
        <v>0</v>
      </c>
      <c r="P117" s="4">
        <f t="shared" si="65"/>
        <v>2.3984862867459902</v>
      </c>
      <c r="Q117" s="387">
        <f t="shared" si="66"/>
        <v>6.0398174397611042</v>
      </c>
      <c r="R117" s="387">
        <f t="shared" si="116"/>
        <v>0.22277722177198872</v>
      </c>
      <c r="S117" s="387">
        <f t="shared" si="117"/>
        <v>9.5010479815244686E-2</v>
      </c>
      <c r="T117" s="387">
        <f t="shared" si="118"/>
        <v>0.31778770158723341</v>
      </c>
      <c r="U117" s="4">
        <f t="shared" si="68"/>
        <v>0.6923833516502117</v>
      </c>
      <c r="V117" s="387">
        <f t="shared" si="119"/>
        <v>3.3557629394966653E-3</v>
      </c>
      <c r="W117" s="387">
        <f t="shared" si="120"/>
        <v>3.3557629394966653E-3</v>
      </c>
      <c r="X117" s="387">
        <f t="shared" si="69"/>
        <v>2.4530485460332798</v>
      </c>
      <c r="Y117" s="387">
        <f t="shared" si="121"/>
        <v>1.2034894338391977E-2</v>
      </c>
      <c r="Z117" s="605">
        <f t="shared" si="122"/>
        <v>1.2034894338391977E-2</v>
      </c>
      <c r="AA117" s="387">
        <f t="shared" si="70"/>
        <v>5.3738265284135061</v>
      </c>
      <c r="AB117" s="387">
        <f t="shared" si="71"/>
        <v>0.1646046658776403</v>
      </c>
      <c r="AC117" s="387">
        <f t="shared" si="72"/>
        <v>6.9620279827833559E-2</v>
      </c>
      <c r="AD117">
        <f t="shared" si="73"/>
        <v>0</v>
      </c>
      <c r="AE117" s="387">
        <f t="shared" si="74"/>
        <v>0.24219834110832478</v>
      </c>
      <c r="AF117" s="387">
        <f t="shared" si="75"/>
        <v>2.757060599290778</v>
      </c>
      <c r="AG117" s="387">
        <f t="shared" si="76"/>
        <v>4.3327883944521257E-2</v>
      </c>
      <c r="AH117" s="387">
        <f t="shared" si="77"/>
        <v>0.10752</v>
      </c>
      <c r="AI117" s="387">
        <f t="shared" si="78"/>
        <v>0.15216649438632432</v>
      </c>
      <c r="AJ117" s="387">
        <f t="shared" si="79"/>
        <v>0</v>
      </c>
      <c r="AK117" s="387">
        <f t="shared" si="80"/>
        <v>0</v>
      </c>
      <c r="AL117" s="387">
        <f t="shared" si="81"/>
        <v>0</v>
      </c>
      <c r="AM117">
        <f t="shared" si="82"/>
        <v>0</v>
      </c>
      <c r="AN117" s="387">
        <f t="shared" si="83"/>
        <v>0</v>
      </c>
      <c r="AO117" s="387">
        <f t="shared" si="84"/>
        <v>6.0398174397611042</v>
      </c>
      <c r="AP117" s="387">
        <f t="shared" si="85"/>
        <v>6.9310849940720523E-2</v>
      </c>
      <c r="AQ117" s="387">
        <f t="shared" si="86"/>
        <v>0</v>
      </c>
      <c r="AR117" s="387">
        <f t="shared" si="87"/>
        <v>7.0285154702854499E-2</v>
      </c>
      <c r="AS117" s="387">
        <f t="shared" si="88"/>
        <v>6.9310849940720523E-2</v>
      </c>
      <c r="AT117" s="387">
        <f t="shared" si="89"/>
        <v>0</v>
      </c>
      <c r="AU117" s="387">
        <f t="shared" si="90"/>
        <v>0.21486648960000002</v>
      </c>
      <c r="AV117" s="387">
        <f t="shared" si="91"/>
        <v>6.0811065185292994E-2</v>
      </c>
      <c r="AW117" s="387">
        <f t="shared" si="92"/>
        <v>0</v>
      </c>
      <c r="AX117" s="387">
        <f t="shared" si="93"/>
        <v>3.6000000000000004E-2</v>
      </c>
      <c r="AY117" s="387">
        <f t="shared" si="94"/>
        <v>5.9136000000000001E-2</v>
      </c>
      <c r="AZ117" s="387">
        <f t="shared" si="95"/>
        <v>7.3471999999999996E-2</v>
      </c>
      <c r="BA117" s="387">
        <f t="shared" si="123"/>
        <v>9.5135999999999998E-2</v>
      </c>
      <c r="BB117" s="387">
        <f t="shared" si="124"/>
        <v>1.1686419038479188</v>
      </c>
      <c r="BC117">
        <f t="shared" si="96"/>
        <v>72</v>
      </c>
      <c r="BD117" s="606">
        <f t="shared" si="125"/>
        <v>0.98402810447973543</v>
      </c>
      <c r="BE117" s="616">
        <f t="shared" si="97"/>
        <v>22.853241535416242</v>
      </c>
      <c r="BF117" s="616">
        <f t="shared" si="98"/>
        <v>7.608324719316216</v>
      </c>
      <c r="BG117" s="9"/>
      <c r="BH117" s="4">
        <f t="shared" si="126"/>
        <v>98.402810447973536</v>
      </c>
      <c r="BI117" s="387">
        <f t="shared" si="127"/>
        <v>0.31778770158723341</v>
      </c>
      <c r="BJ117" s="387">
        <f t="shared" si="128"/>
        <v>0.67951647979750363</v>
      </c>
      <c r="BK117" s="387">
        <f t="shared" si="129"/>
        <v>0.22307243595432433</v>
      </c>
      <c r="BL117" s="387">
        <f t="shared" si="130"/>
        <v>6.0811065185292994E-2</v>
      </c>
    </row>
    <row r="118" spans="7:64" x14ac:dyDescent="0.2">
      <c r="G118">
        <v>109</v>
      </c>
      <c r="H118" s="612">
        <f t="shared" si="59"/>
        <v>15.355</v>
      </c>
      <c r="I118" s="4" t="str">
        <f t="shared" si="60"/>
        <v>BUCK</v>
      </c>
      <c r="J118">
        <f t="shared" si="99"/>
        <v>1</v>
      </c>
      <c r="K118">
        <f t="shared" si="61"/>
        <v>6</v>
      </c>
      <c r="L118" s="4">
        <f t="shared" si="62"/>
        <v>4.8844024747639203</v>
      </c>
      <c r="M118" s="4">
        <f t="shared" si="63"/>
        <v>6</v>
      </c>
      <c r="N118" s="387">
        <f t="shared" si="64"/>
        <v>0.78674284230344738</v>
      </c>
      <c r="O118" s="387">
        <f t="shared" si="115"/>
        <v>0</v>
      </c>
      <c r="P118" s="4">
        <f t="shared" si="65"/>
        <v>2.4546854942993583</v>
      </c>
      <c r="Q118" s="387">
        <f t="shared" si="66"/>
        <v>6.0416987185995108</v>
      </c>
      <c r="R118" s="387">
        <f t="shared" si="116"/>
        <v>0.22291849976010419</v>
      </c>
      <c r="S118" s="387">
        <f t="shared" si="117"/>
        <v>0.10021819202687809</v>
      </c>
      <c r="T118" s="387">
        <f t="shared" si="118"/>
        <v>0.32313669178698229</v>
      </c>
      <c r="U118" s="4">
        <f t="shared" si="68"/>
        <v>0.70860666545480211</v>
      </c>
      <c r="V118" s="387">
        <f t="shared" si="119"/>
        <v>3.5148638442888168E-3</v>
      </c>
      <c r="W118" s="387">
        <f t="shared" si="120"/>
        <v>3.5148638442888168E-3</v>
      </c>
      <c r="X118" s="387">
        <f t="shared" si="69"/>
        <v>2.4747268655694024</v>
      </c>
      <c r="Y118" s="387">
        <f t="shared" si="121"/>
        <v>1.2248546118341917E-2</v>
      </c>
      <c r="Z118" s="605">
        <f t="shared" si="122"/>
        <v>1.2248546118341917E-2</v>
      </c>
      <c r="AA118" s="387">
        <f t="shared" si="70"/>
        <v>5.3588976775830375</v>
      </c>
      <c r="AB118" s="387">
        <f t="shared" si="71"/>
        <v>0.16369137061718778</v>
      </c>
      <c r="AC118" s="387">
        <f t="shared" si="72"/>
        <v>7.005369572453371E-2</v>
      </c>
      <c r="AD118">
        <f t="shared" si="73"/>
        <v>0</v>
      </c>
      <c r="AE118" s="387">
        <f t="shared" si="74"/>
        <v>0.24165648250983413</v>
      </c>
      <c r="AF118" s="387">
        <f t="shared" si="75"/>
        <v>2.7900428468971756</v>
      </c>
      <c r="AG118" s="387">
        <f t="shared" si="76"/>
        <v>4.4370732798875948E-2</v>
      </c>
      <c r="AH118" s="387">
        <f t="shared" si="77"/>
        <v>0.10752</v>
      </c>
      <c r="AI118" s="387">
        <f t="shared" si="78"/>
        <v>0.15325070198871218</v>
      </c>
      <c r="AJ118" s="387">
        <f t="shared" si="79"/>
        <v>0</v>
      </c>
      <c r="AK118" s="387">
        <f t="shared" si="80"/>
        <v>0</v>
      </c>
      <c r="AL118" s="387">
        <f t="shared" si="81"/>
        <v>0</v>
      </c>
      <c r="AM118">
        <f t="shared" si="82"/>
        <v>0</v>
      </c>
      <c r="AN118" s="387">
        <f t="shared" si="83"/>
        <v>0</v>
      </c>
      <c r="AO118" s="387">
        <f t="shared" si="84"/>
        <v>6.0416987185995108</v>
      </c>
      <c r="AP118" s="387">
        <f t="shared" si="85"/>
        <v>6.935403447202125E-2</v>
      </c>
      <c r="AQ118" s="387">
        <f t="shared" si="86"/>
        <v>0</v>
      </c>
      <c r="AR118" s="387">
        <f t="shared" si="87"/>
        <v>7.0329562248944336E-2</v>
      </c>
      <c r="AS118" s="387">
        <f t="shared" si="88"/>
        <v>6.935403447202125E-2</v>
      </c>
      <c r="AT118" s="387">
        <f t="shared" si="89"/>
        <v>0</v>
      </c>
      <c r="AU118" s="387">
        <f t="shared" si="90"/>
        <v>0.21620712959999999</v>
      </c>
      <c r="AV118" s="387">
        <f t="shared" si="91"/>
        <v>6.2274712700176774E-2</v>
      </c>
      <c r="AW118" s="387">
        <f t="shared" si="92"/>
        <v>0</v>
      </c>
      <c r="AX118" s="387">
        <f t="shared" si="93"/>
        <v>3.6000000000000004E-2</v>
      </c>
      <c r="AY118" s="387">
        <f t="shared" si="94"/>
        <v>5.9136000000000001E-2</v>
      </c>
      <c r="AZ118" s="387">
        <f t="shared" si="95"/>
        <v>7.3471999999999996E-2</v>
      </c>
      <c r="BA118" s="387">
        <f t="shared" si="123"/>
        <v>9.5135999999999998E-2</v>
      </c>
      <c r="BB118" s="387">
        <f t="shared" si="124"/>
        <v>1.1777546907972807</v>
      </c>
      <c r="BC118">
        <f t="shared" si="96"/>
        <v>72</v>
      </c>
      <c r="BD118" s="606">
        <f t="shared" si="125"/>
        <v>0.98390556398220019</v>
      </c>
      <c r="BE118" s="616">
        <f t="shared" si="97"/>
        <v>22.893180605491708</v>
      </c>
      <c r="BF118" s="616">
        <f t="shared" si="98"/>
        <v>7.6625350994356092</v>
      </c>
      <c r="BG118" s="9"/>
      <c r="BH118" s="4">
        <f t="shared" si="126"/>
        <v>98.390556398220014</v>
      </c>
      <c r="BI118" s="387">
        <f t="shared" si="127"/>
        <v>0.32313669178698229</v>
      </c>
      <c r="BJ118" s="387">
        <f t="shared" si="128"/>
        <v>0.6814438763474906</v>
      </c>
      <c r="BK118" s="387">
        <f t="shared" si="129"/>
        <v>0.22459905475671219</v>
      </c>
      <c r="BL118" s="387">
        <f t="shared" si="130"/>
        <v>6.2274712700176774E-2</v>
      </c>
    </row>
    <row r="119" spans="7:64" x14ac:dyDescent="0.2">
      <c r="G119">
        <v>110</v>
      </c>
      <c r="H119" s="612">
        <f t="shared" si="59"/>
        <v>15.450000000000001</v>
      </c>
      <c r="I119" s="4" t="str">
        <f t="shared" si="60"/>
        <v>BUCK</v>
      </c>
      <c r="J119">
        <f t="shared" si="99"/>
        <v>1</v>
      </c>
      <c r="K119">
        <f t="shared" si="61"/>
        <v>6</v>
      </c>
      <c r="L119" s="4">
        <f t="shared" si="62"/>
        <v>4.8543689320388346</v>
      </c>
      <c r="M119" s="4">
        <f t="shared" si="63"/>
        <v>6</v>
      </c>
      <c r="N119" s="387">
        <f t="shared" si="64"/>
        <v>0.78192024777390623</v>
      </c>
      <c r="O119" s="387">
        <f t="shared" si="115"/>
        <v>0</v>
      </c>
      <c r="P119" s="4">
        <f t="shared" si="65"/>
        <v>2.5101957194398263</v>
      </c>
      <c r="Q119" s="387">
        <f t="shared" si="66"/>
        <v>6.0435991108354612</v>
      </c>
      <c r="R119" s="387">
        <f t="shared" si="116"/>
        <v>0.22306126096111512</v>
      </c>
      <c r="S119" s="387">
        <f t="shared" si="117"/>
        <v>0.10551698807165961</v>
      </c>
      <c r="T119" s="387">
        <f t="shared" si="118"/>
        <v>0.32857824903277472</v>
      </c>
      <c r="U119" s="4">
        <f t="shared" si="68"/>
        <v>0.72463108716861502</v>
      </c>
      <c r="V119" s="387">
        <f t="shared" si="119"/>
        <v>3.6756314874381826E-3</v>
      </c>
      <c r="W119" s="387">
        <f t="shared" si="120"/>
        <v>3.6756314874381826E-3</v>
      </c>
      <c r="X119" s="387">
        <f t="shared" si="69"/>
        <v>2.4956550151494006</v>
      </c>
      <c r="Y119" s="387">
        <f t="shared" si="121"/>
        <v>1.245658790928071E-2</v>
      </c>
      <c r="Z119" s="605">
        <f t="shared" si="122"/>
        <v>1.245658790928071E-2</v>
      </c>
      <c r="AA119" s="387">
        <f t="shared" si="70"/>
        <v>5.3441283282604077</v>
      </c>
      <c r="AB119" s="387">
        <f t="shared" si="71"/>
        <v>0.16279033325681766</v>
      </c>
      <c r="AC119" s="387">
        <f t="shared" si="72"/>
        <v>7.0487111621233847E-2</v>
      </c>
      <c r="AD119">
        <f t="shared" si="73"/>
        <v>0</v>
      </c>
      <c r="AE119" s="387">
        <f t="shared" si="74"/>
        <v>0.2411281099534327</v>
      </c>
      <c r="AF119" s="387">
        <f t="shared" si="75"/>
        <v>2.8223009448986476</v>
      </c>
      <c r="AG119" s="387">
        <f t="shared" si="76"/>
        <v>4.5402680954382053E-2</v>
      </c>
      <c r="AH119" s="387">
        <f t="shared" si="77"/>
        <v>0.10752</v>
      </c>
      <c r="AI119" s="387">
        <f t="shared" si="78"/>
        <v>0.15432402585629187</v>
      </c>
      <c r="AJ119" s="387">
        <f t="shared" si="79"/>
        <v>0</v>
      </c>
      <c r="AK119" s="387">
        <f t="shared" si="80"/>
        <v>0</v>
      </c>
      <c r="AL119" s="387">
        <f t="shared" si="81"/>
        <v>0</v>
      </c>
      <c r="AM119">
        <f t="shared" si="82"/>
        <v>0</v>
      </c>
      <c r="AN119" s="387">
        <f t="shared" si="83"/>
        <v>0</v>
      </c>
      <c r="AO119" s="387">
        <f t="shared" si="84"/>
        <v>6.0435991108354612</v>
      </c>
      <c r="AP119" s="387">
        <f t="shared" si="85"/>
        <v>6.9397671403733235E-2</v>
      </c>
      <c r="AQ119" s="387">
        <f t="shared" si="86"/>
        <v>0</v>
      </c>
      <c r="AR119" s="387">
        <f t="shared" si="87"/>
        <v>7.0374435797878082E-2</v>
      </c>
      <c r="AS119" s="387">
        <f t="shared" si="88"/>
        <v>6.9397671403733235E-2</v>
      </c>
      <c r="AT119" s="387">
        <f t="shared" si="89"/>
        <v>0</v>
      </c>
      <c r="AU119" s="387">
        <f t="shared" si="90"/>
        <v>0.2175477696</v>
      </c>
      <c r="AV119" s="387">
        <f t="shared" si="91"/>
        <v>6.3723060988606389E-2</v>
      </c>
      <c r="AW119" s="387">
        <f t="shared" si="92"/>
        <v>0</v>
      </c>
      <c r="AX119" s="387">
        <f t="shared" si="93"/>
        <v>3.6000000000000004E-2</v>
      </c>
      <c r="AY119" s="387">
        <f t="shared" si="94"/>
        <v>5.9136000000000001E-2</v>
      </c>
      <c r="AZ119" s="387">
        <f t="shared" si="95"/>
        <v>7.3471999999999996E-2</v>
      </c>
      <c r="BA119" s="387">
        <f t="shared" si="123"/>
        <v>9.5135999999999998E-2</v>
      </c>
      <c r="BB119" s="387">
        <f t="shared" si="124"/>
        <v>1.1869438706257027</v>
      </c>
      <c r="BC119">
        <f t="shared" si="96"/>
        <v>72</v>
      </c>
      <c r="BD119" s="606">
        <f t="shared" si="125"/>
        <v>0.98378202712325458</v>
      </c>
      <c r="BE119" s="616">
        <f t="shared" si="97"/>
        <v>22.933793977671634</v>
      </c>
      <c r="BF119" s="616">
        <f t="shared" si="98"/>
        <v>7.7162012928145938</v>
      </c>
      <c r="BG119" s="9"/>
      <c r="BH119" s="4">
        <f t="shared" si="126"/>
        <v>98.378202712325461</v>
      </c>
      <c r="BI119" s="387">
        <f t="shared" si="127"/>
        <v>0.32857824903277472</v>
      </c>
      <c r="BJ119" s="387">
        <f t="shared" si="128"/>
        <v>0.68337434120760265</v>
      </c>
      <c r="BK119" s="387">
        <f t="shared" si="129"/>
        <v>0.2261147898242919</v>
      </c>
      <c r="BL119" s="387">
        <f t="shared" si="130"/>
        <v>6.3723060988606389E-2</v>
      </c>
    </row>
    <row r="120" spans="7:64" x14ac:dyDescent="0.2">
      <c r="G120">
        <v>111</v>
      </c>
      <c r="H120" s="612">
        <f t="shared" si="59"/>
        <v>15.545000000000002</v>
      </c>
      <c r="I120" s="4" t="str">
        <f t="shared" si="60"/>
        <v>BUCK</v>
      </c>
      <c r="J120">
        <f t="shared" si="99"/>
        <v>1</v>
      </c>
      <c r="K120">
        <f t="shared" si="61"/>
        <v>6</v>
      </c>
      <c r="L120" s="4">
        <f t="shared" si="62"/>
        <v>4.8247024766806046</v>
      </c>
      <c r="M120" s="4">
        <f t="shared" si="63"/>
        <v>6</v>
      </c>
      <c r="N120" s="387">
        <f t="shared" si="64"/>
        <v>0.77715641634066557</v>
      </c>
      <c r="O120" s="387">
        <f t="shared" si="115"/>
        <v>0</v>
      </c>
      <c r="P120" s="4">
        <f t="shared" si="65"/>
        <v>2.5650295549967193</v>
      </c>
      <c r="Q120" s="387">
        <f t="shared" si="66"/>
        <v>6.045517462122981</v>
      </c>
      <c r="R120" s="387">
        <f t="shared" si="116"/>
        <v>0.22320542006866231</v>
      </c>
      <c r="S120" s="387">
        <f t="shared" si="117"/>
        <v>0.11090342016034022</v>
      </c>
      <c r="T120" s="387">
        <f t="shared" si="118"/>
        <v>0.33410884022900256</v>
      </c>
      <c r="U120" s="4">
        <f t="shared" si="68"/>
        <v>0.74046025202835097</v>
      </c>
      <c r="V120" s="387">
        <f t="shared" si="119"/>
        <v>3.837969693837223E-3</v>
      </c>
      <c r="W120" s="387">
        <f t="shared" si="120"/>
        <v>3.837969693837223E-3</v>
      </c>
      <c r="X120" s="387">
        <f t="shared" si="69"/>
        <v>2.5158675026732724</v>
      </c>
      <c r="Y120" s="387">
        <f t="shared" si="121"/>
        <v>1.2659178582014898E-2</v>
      </c>
      <c r="Z120" s="605">
        <f t="shared" si="122"/>
        <v>1.2659178582014898E-2</v>
      </c>
      <c r="AA120" s="387">
        <f t="shared" si="70"/>
        <v>5.3295151171985395</v>
      </c>
      <c r="AB120" s="387">
        <f t="shared" si="71"/>
        <v>0.16190126889135226</v>
      </c>
      <c r="AC120" s="387">
        <f t="shared" si="72"/>
        <v>7.0920527517933998E-2</v>
      </c>
      <c r="AD120">
        <f t="shared" si="73"/>
        <v>0</v>
      </c>
      <c r="AE120" s="387">
        <f t="shared" si="74"/>
        <v>0.24061290327981302</v>
      </c>
      <c r="AF120" s="387">
        <f t="shared" si="75"/>
        <v>2.8538657992950767</v>
      </c>
      <c r="AG120" s="387">
        <f t="shared" si="76"/>
        <v>4.6423935002200926E-2</v>
      </c>
      <c r="AH120" s="387">
        <f t="shared" si="77"/>
        <v>0.10752</v>
      </c>
      <c r="AI120" s="387">
        <f t="shared" si="78"/>
        <v>0.15538666710901647</v>
      </c>
      <c r="AJ120" s="387">
        <f t="shared" si="79"/>
        <v>0</v>
      </c>
      <c r="AK120" s="387">
        <f t="shared" si="80"/>
        <v>0</v>
      </c>
      <c r="AL120" s="387">
        <f t="shared" si="81"/>
        <v>0</v>
      </c>
      <c r="AM120">
        <f t="shared" si="82"/>
        <v>0</v>
      </c>
      <c r="AN120" s="387">
        <f t="shared" si="83"/>
        <v>0</v>
      </c>
      <c r="AO120" s="387">
        <f t="shared" si="84"/>
        <v>6.045517462122981</v>
      </c>
      <c r="AP120" s="387">
        <f t="shared" si="85"/>
        <v>6.9441734631184401E-2</v>
      </c>
      <c r="AQ120" s="387">
        <f t="shared" si="86"/>
        <v>0</v>
      </c>
      <c r="AR120" s="387">
        <f t="shared" si="87"/>
        <v>7.0419748529216522E-2</v>
      </c>
      <c r="AS120" s="387">
        <f t="shared" si="88"/>
        <v>6.9441734631184401E-2</v>
      </c>
      <c r="AT120" s="387">
        <f t="shared" si="89"/>
        <v>0</v>
      </c>
      <c r="AU120" s="387">
        <f t="shared" si="90"/>
        <v>0.2188884096</v>
      </c>
      <c r="AV120" s="387">
        <f t="shared" si="91"/>
        <v>6.5156400003089018E-2</v>
      </c>
      <c r="AW120" s="387">
        <f t="shared" si="92"/>
        <v>0</v>
      </c>
      <c r="AX120" s="387">
        <f t="shared" si="93"/>
        <v>3.6000000000000004E-2</v>
      </c>
      <c r="AY120" s="387">
        <f t="shared" si="94"/>
        <v>5.9136000000000001E-2</v>
      </c>
      <c r="AZ120" s="387">
        <f t="shared" si="95"/>
        <v>7.3471999999999996E-2</v>
      </c>
      <c r="BA120" s="387">
        <f t="shared" si="123"/>
        <v>9.5135999999999998E-2</v>
      </c>
      <c r="BB120" s="387">
        <f t="shared" si="124"/>
        <v>1.1962061170259897</v>
      </c>
      <c r="BC120">
        <f t="shared" si="96"/>
        <v>72</v>
      </c>
      <c r="BD120" s="606">
        <f t="shared" si="125"/>
        <v>0.9836575393659952</v>
      </c>
      <c r="BE120" s="616">
        <f t="shared" si="97"/>
        <v>22.97506564399065</v>
      </c>
      <c r="BF120" s="616">
        <f t="shared" si="98"/>
        <v>7.769333355450823</v>
      </c>
      <c r="BG120" s="9"/>
      <c r="BH120" s="4">
        <f t="shared" si="126"/>
        <v>98.365753936599518</v>
      </c>
      <c r="BI120" s="387">
        <f t="shared" si="127"/>
        <v>0.33410884022900256</v>
      </c>
      <c r="BJ120" s="387">
        <f t="shared" si="128"/>
        <v>0.685307728518046</v>
      </c>
      <c r="BK120" s="387">
        <f t="shared" si="129"/>
        <v>0.22761984227701648</v>
      </c>
      <c r="BL120" s="387">
        <f t="shared" si="130"/>
        <v>6.5156400003089018E-2</v>
      </c>
    </row>
    <row r="121" spans="7:64" x14ac:dyDescent="0.2">
      <c r="G121">
        <v>112</v>
      </c>
      <c r="H121" s="612">
        <f t="shared" si="59"/>
        <v>15.64</v>
      </c>
      <c r="I121" s="4" t="str">
        <f t="shared" si="60"/>
        <v>BUCK</v>
      </c>
      <c r="J121">
        <f t="shared" si="99"/>
        <v>1</v>
      </c>
      <c r="K121">
        <f t="shared" si="61"/>
        <v>6</v>
      </c>
      <c r="L121" s="4">
        <f t="shared" si="62"/>
        <v>4.7953964194373402</v>
      </c>
      <c r="M121" s="4">
        <f t="shared" si="63"/>
        <v>6</v>
      </c>
      <c r="N121" s="387">
        <f t="shared" si="64"/>
        <v>0.77245028046914832</v>
      </c>
      <c r="O121" s="387">
        <f t="shared" si="115"/>
        <v>0</v>
      </c>
      <c r="P121" s="4">
        <f t="shared" si="65"/>
        <v>2.6191992887716244</v>
      </c>
      <c r="Q121" s="387">
        <f t="shared" si="66"/>
        <v>6.0474526656153733</v>
      </c>
      <c r="R121" s="387">
        <f t="shared" si="116"/>
        <v>0.22335089524332197</v>
      </c>
      <c r="S121" s="387">
        <f t="shared" si="117"/>
        <v>0.11637412715764692</v>
      </c>
      <c r="T121" s="387">
        <f t="shared" si="118"/>
        <v>0.33972502240096891</v>
      </c>
      <c r="U121" s="4">
        <f t="shared" si="68"/>
        <v>0.75609770721678693</v>
      </c>
      <c r="V121" s="387">
        <f t="shared" si="119"/>
        <v>4.0017862000093739E-3</v>
      </c>
      <c r="W121" s="387">
        <f t="shared" si="120"/>
        <v>4.0017862000093739E-3</v>
      </c>
      <c r="X121" s="387">
        <f t="shared" si="69"/>
        <v>2.535396565149092</v>
      </c>
      <c r="Y121" s="387">
        <f t="shared" si="121"/>
        <v>1.2856471485139628E-2</v>
      </c>
      <c r="Z121" s="605">
        <f t="shared" si="122"/>
        <v>1.2856471485139628E-2</v>
      </c>
      <c r="AA121" s="387">
        <f t="shared" si="70"/>
        <v>5.315054784703543</v>
      </c>
      <c r="AB121" s="387">
        <f t="shared" si="71"/>
        <v>0.16102390197708016</v>
      </c>
      <c r="AC121" s="387">
        <f t="shared" si="72"/>
        <v>7.1353943414634136E-2</v>
      </c>
      <c r="AD121">
        <f t="shared" si="73"/>
        <v>0</v>
      </c>
      <c r="AE121" s="387">
        <f t="shared" si="74"/>
        <v>0.24011055302242335</v>
      </c>
      <c r="AF121" s="387">
        <f t="shared" si="75"/>
        <v>2.884766260628139</v>
      </c>
      <c r="AG121" s="387">
        <f t="shared" si="76"/>
        <v>4.7434695357213195E-2</v>
      </c>
      <c r="AH121" s="387">
        <f t="shared" si="77"/>
        <v>0.10752</v>
      </c>
      <c r="AI121" s="387">
        <f t="shared" si="78"/>
        <v>0.15643882091968658</v>
      </c>
      <c r="AJ121" s="387">
        <f t="shared" si="79"/>
        <v>0</v>
      </c>
      <c r="AK121" s="387">
        <f t="shared" si="80"/>
        <v>0</v>
      </c>
      <c r="AL121" s="387">
        <f t="shared" si="81"/>
        <v>0</v>
      </c>
      <c r="AM121">
        <f t="shared" si="82"/>
        <v>0</v>
      </c>
      <c r="AN121" s="387">
        <f t="shared" si="83"/>
        <v>0</v>
      </c>
      <c r="AO121" s="387">
        <f t="shared" si="84"/>
        <v>6.0474526656153733</v>
      </c>
      <c r="AP121" s="387">
        <f t="shared" si="85"/>
        <v>6.9486199111431113E-2</v>
      </c>
      <c r="AQ121" s="387">
        <f t="shared" si="86"/>
        <v>0</v>
      </c>
      <c r="AR121" s="387">
        <f t="shared" si="87"/>
        <v>7.0465474712704812E-2</v>
      </c>
      <c r="AS121" s="387">
        <f t="shared" si="88"/>
        <v>6.9486199111431113E-2</v>
      </c>
      <c r="AT121" s="387">
        <f t="shared" si="89"/>
        <v>0</v>
      </c>
      <c r="AU121" s="387">
        <f t="shared" si="90"/>
        <v>0.2202290496</v>
      </c>
      <c r="AV121" s="387">
        <f t="shared" si="91"/>
        <v>6.6575011027667649E-2</v>
      </c>
      <c r="AW121" s="387">
        <f t="shared" si="92"/>
        <v>0</v>
      </c>
      <c r="AX121" s="387">
        <f t="shared" si="93"/>
        <v>3.6000000000000004E-2</v>
      </c>
      <c r="AY121" s="387">
        <f t="shared" si="94"/>
        <v>5.9136000000000001E-2</v>
      </c>
      <c r="AZ121" s="387">
        <f t="shared" si="95"/>
        <v>7.3471999999999996E-2</v>
      </c>
      <c r="BA121" s="387">
        <f t="shared" si="123"/>
        <v>9.5135999999999998E-2</v>
      </c>
      <c r="BB121" s="387">
        <f t="shared" si="124"/>
        <v>1.2055381893686004</v>
      </c>
      <c r="BC121">
        <f t="shared" si="96"/>
        <v>72</v>
      </c>
      <c r="BD121" s="606">
        <f t="shared" si="125"/>
        <v>0.98353214498266373</v>
      </c>
      <c r="BE121" s="616">
        <f t="shared" si="97"/>
        <v>23.016980131121166</v>
      </c>
      <c r="BF121" s="616">
        <f t="shared" si="98"/>
        <v>7.821941045984329</v>
      </c>
      <c r="BG121" s="9"/>
      <c r="BH121" s="4">
        <f t="shared" si="126"/>
        <v>98.353214498266368</v>
      </c>
      <c r="BI121" s="387">
        <f t="shared" si="127"/>
        <v>0.33972502240096891</v>
      </c>
      <c r="BJ121" s="387">
        <f t="shared" si="128"/>
        <v>0.6872438982548148</v>
      </c>
      <c r="BK121" s="387">
        <f t="shared" si="129"/>
        <v>0.22911440728768659</v>
      </c>
      <c r="BL121" s="387">
        <f t="shared" si="130"/>
        <v>6.6575011027667649E-2</v>
      </c>
    </row>
    <row r="122" spans="7:64" x14ac:dyDescent="0.2">
      <c r="G122">
        <v>113</v>
      </c>
      <c r="H122" s="612">
        <f t="shared" si="59"/>
        <v>15.734999999999999</v>
      </c>
      <c r="I122" s="4" t="str">
        <f t="shared" si="60"/>
        <v>BUCK</v>
      </c>
      <c r="J122">
        <f t="shared" si="99"/>
        <v>1</v>
      </c>
      <c r="K122">
        <f t="shared" si="61"/>
        <v>6</v>
      </c>
      <c r="L122" s="4">
        <f t="shared" si="62"/>
        <v>4.7664442326024785</v>
      </c>
      <c r="M122" s="4">
        <f t="shared" si="63"/>
        <v>6</v>
      </c>
      <c r="N122" s="387">
        <f t="shared" si="64"/>
        <v>0.76780079832731418</v>
      </c>
      <c r="O122" s="387">
        <f t="shared" si="115"/>
        <v>0</v>
      </c>
      <c r="P122" s="4">
        <f t="shared" si="65"/>
        <v>2.6727169127184087</v>
      </c>
      <c r="Q122" s="387">
        <f t="shared" si="66"/>
        <v>6.0494036599729606</v>
      </c>
      <c r="R122" s="387">
        <f t="shared" si="116"/>
        <v>0.22349760796624868</v>
      </c>
      <c r="S122" s="387">
        <f t="shared" si="117"/>
        <v>0.12192583402820303</v>
      </c>
      <c r="T122" s="387">
        <f t="shared" si="118"/>
        <v>0.34542344199445174</v>
      </c>
      <c r="U122" s="4">
        <f t="shared" si="68"/>
        <v>0.77154691451281943</v>
      </c>
      <c r="V122" s="387">
        <f t="shared" si="119"/>
        <v>4.1669924890597627E-3</v>
      </c>
      <c r="W122" s="387">
        <f t="shared" si="120"/>
        <v>4.1669924890597627E-3</v>
      </c>
      <c r="X122" s="387">
        <f t="shared" si="69"/>
        <v>2.5542723698470153</v>
      </c>
      <c r="Y122" s="387">
        <f t="shared" si="121"/>
        <v>1.3048614678727775E-2</v>
      </c>
      <c r="Z122" s="605">
        <f t="shared" si="122"/>
        <v>1.3048614678727775E-2</v>
      </c>
      <c r="AA122" s="387">
        <f t="shared" si="70"/>
        <v>5.3007441706425551</v>
      </c>
      <c r="AB122" s="387">
        <f t="shared" si="71"/>
        <v>0.16015796594682588</v>
      </c>
      <c r="AC122" s="387">
        <f t="shared" si="72"/>
        <v>7.1787359311334273E-2</v>
      </c>
      <c r="AD122">
        <f t="shared" si="73"/>
        <v>0</v>
      </c>
      <c r="AE122" s="387">
        <f t="shared" si="74"/>
        <v>0.23962075996095603</v>
      </c>
      <c r="AF122" s="387">
        <f t="shared" si="75"/>
        <v>2.91502931009162</v>
      </c>
      <c r="AG122" s="387">
        <f t="shared" si="76"/>
        <v>4.8435156508551389E-2</v>
      </c>
      <c r="AH122" s="387">
        <f t="shared" si="77"/>
        <v>0.10752</v>
      </c>
      <c r="AI122" s="387">
        <f t="shared" si="78"/>
        <v>0.1574806767536788</v>
      </c>
      <c r="AJ122" s="387">
        <f t="shared" si="79"/>
        <v>0</v>
      </c>
      <c r="AK122" s="387">
        <f t="shared" si="80"/>
        <v>0</v>
      </c>
      <c r="AL122" s="387">
        <f t="shared" si="81"/>
        <v>0</v>
      </c>
      <c r="AM122">
        <f t="shared" si="82"/>
        <v>0</v>
      </c>
      <c r="AN122" s="387">
        <f t="shared" si="83"/>
        <v>0</v>
      </c>
      <c r="AO122" s="387">
        <f t="shared" si="84"/>
        <v>6.0494036599729606</v>
      </c>
      <c r="AP122" s="387">
        <f t="shared" si="85"/>
        <v>6.9531040818459067E-2</v>
      </c>
      <c r="AQ122" s="387">
        <f t="shared" si="86"/>
        <v>0</v>
      </c>
      <c r="AR122" s="387">
        <f t="shared" si="87"/>
        <v>7.0511589662255209E-2</v>
      </c>
      <c r="AS122" s="387">
        <f t="shared" si="88"/>
        <v>6.9531040818459067E-2</v>
      </c>
      <c r="AT122" s="387">
        <f t="shared" si="89"/>
        <v>0</v>
      </c>
      <c r="AU122" s="387">
        <f t="shared" si="90"/>
        <v>0.22156968959999998</v>
      </c>
      <c r="AV122" s="387">
        <f t="shared" si="91"/>
        <v>6.7979167029545803E-2</v>
      </c>
      <c r="AW122" s="387">
        <f t="shared" si="92"/>
        <v>0</v>
      </c>
      <c r="AX122" s="387">
        <f t="shared" si="93"/>
        <v>3.6000000000000004E-2</v>
      </c>
      <c r="AY122" s="387">
        <f t="shared" si="94"/>
        <v>5.9136000000000001E-2</v>
      </c>
      <c r="AZ122" s="387">
        <f t="shared" si="95"/>
        <v>7.3471999999999996E-2</v>
      </c>
      <c r="BA122" s="387">
        <f t="shared" si="123"/>
        <v>9.5135999999999998E-2</v>
      </c>
      <c r="BB122" s="387">
        <f t="shared" si="124"/>
        <v>1.2149369321686752</v>
      </c>
      <c r="BC122">
        <f t="shared" si="96"/>
        <v>72</v>
      </c>
      <c r="BD122" s="606">
        <f t="shared" si="125"/>
        <v>0.98340588706244092</v>
      </c>
      <c r="BE122" s="616">
        <f t="shared" si="97"/>
        <v>23.0595224780478</v>
      </c>
      <c r="BF122" s="616">
        <f t="shared" si="98"/>
        <v>7.8740338376839398</v>
      </c>
      <c r="BG122" s="9"/>
      <c r="BH122" s="4">
        <f t="shared" si="126"/>
        <v>98.340588706244091</v>
      </c>
      <c r="BI122" s="387">
        <f t="shared" si="127"/>
        <v>0.34542344199445174</v>
      </c>
      <c r="BJ122" s="387">
        <f t="shared" si="128"/>
        <v>0.68918271597689007</v>
      </c>
      <c r="BK122" s="387">
        <f t="shared" si="129"/>
        <v>0.2305986743216788</v>
      </c>
      <c r="BL122" s="387">
        <f t="shared" si="130"/>
        <v>6.7979167029545803E-2</v>
      </c>
    </row>
    <row r="123" spans="7:64" x14ac:dyDescent="0.2">
      <c r="G123">
        <v>114</v>
      </c>
      <c r="H123" s="612">
        <f t="shared" si="59"/>
        <v>15.829999999999998</v>
      </c>
      <c r="I123" s="4" t="str">
        <f t="shared" si="60"/>
        <v>BUCK</v>
      </c>
      <c r="J123">
        <f t="shared" si="99"/>
        <v>1</v>
      </c>
      <c r="K123">
        <f t="shared" si="61"/>
        <v>6</v>
      </c>
      <c r="L123" s="4">
        <f t="shared" si="62"/>
        <v>4.7378395451674047</v>
      </c>
      <c r="M123" s="4">
        <f t="shared" si="63"/>
        <v>6</v>
      </c>
      <c r="N123" s="387">
        <f t="shared" si="64"/>
        <v>0.76320695301675279</v>
      </c>
      <c r="O123" s="387">
        <f t="shared" si="115"/>
        <v>0</v>
      </c>
      <c r="P123" s="4">
        <f t="shared" si="65"/>
        <v>2.72559413179368</v>
      </c>
      <c r="Q123" s="387">
        <f t="shared" si="66"/>
        <v>6.0513694274606697</v>
      </c>
      <c r="R123" s="387">
        <f t="shared" si="116"/>
        <v>0.22364548289958133</v>
      </c>
      <c r="S123" s="387">
        <f t="shared" si="117"/>
        <v>0.12755535107347668</v>
      </c>
      <c r="T123" s="387">
        <f t="shared" si="118"/>
        <v>0.35120083397305801</v>
      </c>
      <c r="U123" s="4">
        <f t="shared" si="68"/>
        <v>0.78681125284637277</v>
      </c>
      <c r="V123" s="387">
        <f t="shared" si="119"/>
        <v>4.3335036332397513E-3</v>
      </c>
      <c r="W123" s="387">
        <f t="shared" si="120"/>
        <v>4.3335036332397513E-3</v>
      </c>
      <c r="X123" s="387">
        <f t="shared" si="69"/>
        <v>2.5725231929297117</v>
      </c>
      <c r="Y123" s="387">
        <f t="shared" si="121"/>
        <v>1.3235751156322558E-2</v>
      </c>
      <c r="Z123" s="605">
        <f t="shared" si="122"/>
        <v>1.3235751156322558E-2</v>
      </c>
      <c r="AA123" s="387">
        <f t="shared" si="70"/>
        <v>5.2865802106308166</v>
      </c>
      <c r="AB123" s="387">
        <f t="shared" si="71"/>
        <v>0.15930320284357022</v>
      </c>
      <c r="AC123" s="387">
        <f t="shared" si="72"/>
        <v>7.222077520803441E-2</v>
      </c>
      <c r="AD123">
        <f t="shared" si="73"/>
        <v>0</v>
      </c>
      <c r="AE123" s="387">
        <f t="shared" si="74"/>
        <v>0.23914323469671633</v>
      </c>
      <c r="AF123" s="387">
        <f t="shared" si="75"/>
        <v>2.9446802244339367</v>
      </c>
      <c r="AG123" s="387">
        <f t="shared" si="76"/>
        <v>4.9425507257782109E-2</v>
      </c>
      <c r="AH123" s="387">
        <f t="shared" si="77"/>
        <v>0.10752</v>
      </c>
      <c r="AI123" s="387">
        <f t="shared" si="78"/>
        <v>0.15851241859694448</v>
      </c>
      <c r="AJ123" s="387">
        <f t="shared" si="79"/>
        <v>0</v>
      </c>
      <c r="AK123" s="387">
        <f t="shared" si="80"/>
        <v>0</v>
      </c>
      <c r="AL123" s="387">
        <f t="shared" si="81"/>
        <v>0</v>
      </c>
      <c r="AM123">
        <f t="shared" si="82"/>
        <v>0</v>
      </c>
      <c r="AN123" s="387">
        <f t="shared" si="83"/>
        <v>0</v>
      </c>
      <c r="AO123" s="387">
        <f t="shared" si="84"/>
        <v>6.0513694274606697</v>
      </c>
      <c r="AP123" s="387">
        <f t="shared" si="85"/>
        <v>6.957623670045078E-2</v>
      </c>
      <c r="AQ123" s="387">
        <f t="shared" si="86"/>
        <v>0</v>
      </c>
      <c r="AR123" s="387">
        <f t="shared" si="87"/>
        <v>7.0558069692055053E-2</v>
      </c>
      <c r="AS123" s="387">
        <f t="shared" si="88"/>
        <v>6.957623670045078E-2</v>
      </c>
      <c r="AT123" s="387">
        <f t="shared" si="89"/>
        <v>0</v>
      </c>
      <c r="AU123" s="387">
        <f t="shared" si="90"/>
        <v>0.22291032959999996</v>
      </c>
      <c r="AV123" s="387">
        <f t="shared" si="91"/>
        <v>6.9369132993378407E-2</v>
      </c>
      <c r="AW123" s="387">
        <f t="shared" si="92"/>
        <v>0</v>
      </c>
      <c r="AX123" s="387">
        <f t="shared" si="93"/>
        <v>3.6000000000000004E-2</v>
      </c>
      <c r="AY123" s="387">
        <f t="shared" si="94"/>
        <v>5.9136000000000001E-2</v>
      </c>
      <c r="AZ123" s="387">
        <f t="shared" si="95"/>
        <v>7.3471999999999996E-2</v>
      </c>
      <c r="BA123" s="387">
        <f t="shared" si="123"/>
        <v>9.5135999999999998E-2</v>
      </c>
      <c r="BB123" s="387">
        <f t="shared" si="124"/>
        <v>1.2243992743417145</v>
      </c>
      <c r="BC123">
        <f t="shared" si="96"/>
        <v>72</v>
      </c>
      <c r="BD123" s="606">
        <f t="shared" si="125"/>
        <v>0.98327880752214303</v>
      </c>
      <c r="BE123" s="616">
        <f t="shared" si="97"/>
        <v>23.102678214835816</v>
      </c>
      <c r="BF123" s="616">
        <f t="shared" si="98"/>
        <v>7.9256209298472244</v>
      </c>
      <c r="BG123" s="9"/>
      <c r="BH123" s="4">
        <f t="shared" si="126"/>
        <v>98.327880752214298</v>
      </c>
      <c r="BI123" s="387">
        <f t="shared" si="127"/>
        <v>0.35120083397305801</v>
      </c>
      <c r="BJ123" s="387">
        <f t="shared" si="128"/>
        <v>0.69112405258571585</v>
      </c>
      <c r="BK123" s="387">
        <f t="shared" si="129"/>
        <v>0.23207282736494447</v>
      </c>
      <c r="BL123" s="387">
        <f t="shared" si="130"/>
        <v>6.9369132993378407E-2</v>
      </c>
    </row>
    <row r="124" spans="7:64" x14ac:dyDescent="0.2">
      <c r="G124">
        <v>115</v>
      </c>
      <c r="H124" s="612">
        <f t="shared" si="59"/>
        <v>15.924999999999999</v>
      </c>
      <c r="I124" s="4" t="str">
        <f t="shared" si="60"/>
        <v>BUCK</v>
      </c>
      <c r="J124">
        <f t="shared" si="99"/>
        <v>1</v>
      </c>
      <c r="K124">
        <f t="shared" si="61"/>
        <v>6</v>
      </c>
      <c r="L124" s="4">
        <f t="shared" si="62"/>
        <v>4.7095761381475674</v>
      </c>
      <c r="M124" s="4">
        <f t="shared" si="63"/>
        <v>6</v>
      </c>
      <c r="N124" s="387">
        <f t="shared" si="64"/>
        <v>0.75866775183121526</v>
      </c>
      <c r="O124" s="387">
        <f t="shared" si="115"/>
        <v>0</v>
      </c>
      <c r="P124" s="4">
        <f t="shared" si="65"/>
        <v>2.777842372491421</v>
      </c>
      <c r="Q124" s="387">
        <f t="shared" si="66"/>
        <v>6.0533489921310553</v>
      </c>
      <c r="R124" s="387">
        <f t="shared" si="116"/>
        <v>0.22379444775326657</v>
      </c>
      <c r="S124" s="387">
        <f t="shared" si="117"/>
        <v>0.13325957299240732</v>
      </c>
      <c r="T124" s="387">
        <f t="shared" si="118"/>
        <v>0.35705402074567388</v>
      </c>
      <c r="U124" s="4">
        <f t="shared" si="68"/>
        <v>0.80189402076213534</v>
      </c>
      <c r="V124" s="387">
        <f t="shared" si="119"/>
        <v>4.5012381437384485E-3</v>
      </c>
      <c r="W124" s="387">
        <f t="shared" si="120"/>
        <v>4.5012381437384485E-3</v>
      </c>
      <c r="X124" s="387">
        <f t="shared" si="69"/>
        <v>2.59017557859559</v>
      </c>
      <c r="Y124" s="387">
        <f t="shared" si="121"/>
        <v>1.3418019055906E-2</v>
      </c>
      <c r="Z124" s="605">
        <f t="shared" si="122"/>
        <v>1.3418019055906E-2</v>
      </c>
      <c r="AA124" s="387">
        <f t="shared" si="70"/>
        <v>5.2725599323889449</v>
      </c>
      <c r="AB124" s="387">
        <f t="shared" si="71"/>
        <v>0.1584593629716099</v>
      </c>
      <c r="AC124" s="387">
        <f t="shared" si="72"/>
        <v>7.2654191104734561E-2</v>
      </c>
      <c r="AD124">
        <f t="shared" si="73"/>
        <v>0</v>
      </c>
      <c r="AE124" s="387">
        <f t="shared" si="74"/>
        <v>0.23867769724865498</v>
      </c>
      <c r="AF124" s="387">
        <f t="shared" si="75"/>
        <v>2.9737427225469166</v>
      </c>
      <c r="AG124" s="387">
        <f t="shared" si="76"/>
        <v>5.0405930945434267E-2</v>
      </c>
      <c r="AH124" s="387">
        <f t="shared" si="77"/>
        <v>0.10752</v>
      </c>
      <c r="AI124" s="387">
        <f t="shared" si="78"/>
        <v>0.15953422517293434</v>
      </c>
      <c r="AJ124" s="387">
        <f t="shared" si="79"/>
        <v>0</v>
      </c>
      <c r="AK124" s="387">
        <f t="shared" si="80"/>
        <v>0</v>
      </c>
      <c r="AL124" s="387">
        <f t="shared" si="81"/>
        <v>0</v>
      </c>
      <c r="AM124">
        <f t="shared" si="82"/>
        <v>0</v>
      </c>
      <c r="AN124" s="387">
        <f t="shared" si="83"/>
        <v>0</v>
      </c>
      <c r="AO124" s="387">
        <f t="shared" si="84"/>
        <v>6.0533489921310553</v>
      </c>
      <c r="AP124" s="387">
        <f t="shared" si="85"/>
        <v>6.9621764639014719E-2</v>
      </c>
      <c r="AQ124" s="387">
        <f t="shared" si="86"/>
        <v>0</v>
      </c>
      <c r="AR124" s="387">
        <f t="shared" si="87"/>
        <v>7.0604892074692172E-2</v>
      </c>
      <c r="AS124" s="387">
        <f t="shared" si="88"/>
        <v>6.9621764639014719E-2</v>
      </c>
      <c r="AT124" s="387">
        <f t="shared" si="89"/>
        <v>0</v>
      </c>
      <c r="AU124" s="387">
        <f t="shared" si="90"/>
        <v>0.22425096959999996</v>
      </c>
      <c r="AV124" s="387">
        <f t="shared" si="91"/>
        <v>7.0745166239205987E-2</v>
      </c>
      <c r="AW124" s="387">
        <f t="shared" si="92"/>
        <v>0</v>
      </c>
      <c r="AX124" s="387">
        <f t="shared" si="93"/>
        <v>3.6000000000000004E-2</v>
      </c>
      <c r="AY124" s="387">
        <f t="shared" si="94"/>
        <v>5.9136000000000001E-2</v>
      </c>
      <c r="AZ124" s="387">
        <f t="shared" si="95"/>
        <v>7.3471999999999996E-2</v>
      </c>
      <c r="BA124" s="387">
        <f t="shared" si="123"/>
        <v>9.5135999999999998E-2</v>
      </c>
      <c r="BB124" s="387">
        <f t="shared" si="124"/>
        <v>1.2339222282808056</v>
      </c>
      <c r="BC124">
        <f t="shared" si="96"/>
        <v>72</v>
      </c>
      <c r="BD124" s="606">
        <f t="shared" si="125"/>
        <v>0.98315094711936246</v>
      </c>
      <c r="BE124" s="616">
        <f t="shared" si="97"/>
        <v>23.146433342432747</v>
      </c>
      <c r="BF124" s="616">
        <f t="shared" si="98"/>
        <v>7.9767112586467164</v>
      </c>
      <c r="BG124" s="9"/>
      <c r="BH124" s="4">
        <f t="shared" si="126"/>
        <v>98.31509471193624</v>
      </c>
      <c r="BI124" s="387">
        <f t="shared" si="127"/>
        <v>0.35705402074567388</v>
      </c>
      <c r="BJ124" s="387">
        <f t="shared" si="128"/>
        <v>0.69306778409628145</v>
      </c>
      <c r="BK124" s="387">
        <f t="shared" si="129"/>
        <v>0.23353704514093432</v>
      </c>
      <c r="BL124" s="387">
        <f t="shared" si="130"/>
        <v>7.0745166239205987E-2</v>
      </c>
    </row>
    <row r="125" spans="7:64" x14ac:dyDescent="0.2">
      <c r="G125">
        <v>116</v>
      </c>
      <c r="H125" s="612">
        <f t="shared" si="59"/>
        <v>16.02</v>
      </c>
      <c r="I125" s="4" t="str">
        <f t="shared" si="60"/>
        <v>BUCK</v>
      </c>
      <c r="J125">
        <f t="shared" si="99"/>
        <v>1</v>
      </c>
      <c r="K125">
        <f t="shared" si="61"/>
        <v>6</v>
      </c>
      <c r="L125" s="4">
        <f t="shared" si="62"/>
        <v>4.6816479400749067</v>
      </c>
      <c r="M125" s="4">
        <f t="shared" si="63"/>
        <v>6</v>
      </c>
      <c r="N125" s="387">
        <f t="shared" si="64"/>
        <v>0.75418222554144898</v>
      </c>
      <c r="O125" s="387">
        <f t="shared" si="115"/>
        <v>0</v>
      </c>
      <c r="P125" s="4">
        <f t="shared" si="65"/>
        <v>2.8294727910748625</v>
      </c>
      <c r="Q125" s="387">
        <f t="shared" si="66"/>
        <v>6.0553414180886129</v>
      </c>
      <c r="R125" s="387">
        <f t="shared" si="116"/>
        <v>0.22394443315797474</v>
      </c>
      <c r="S125" s="387">
        <f t="shared" si="117"/>
        <v>0.13903547779402975</v>
      </c>
      <c r="T125" s="387">
        <f t="shared" si="118"/>
        <v>0.36297991095200449</v>
      </c>
      <c r="U125" s="4">
        <f t="shared" si="68"/>
        <v>0.81679843879589686</v>
      </c>
      <c r="V125" s="387">
        <f t="shared" si="119"/>
        <v>4.6701178273359017E-3</v>
      </c>
      <c r="W125" s="387">
        <f t="shared" si="120"/>
        <v>4.6701178273359017E-3</v>
      </c>
      <c r="X125" s="387">
        <f t="shared" si="69"/>
        <v>2.6072544812956209</v>
      </c>
      <c r="Y125" s="387">
        <f t="shared" si="121"/>
        <v>1.3595551860472194E-2</v>
      </c>
      <c r="Z125" s="605">
        <f t="shared" si="122"/>
        <v>1.3595551860472194E-2</v>
      </c>
      <c r="AA125" s="387">
        <f t="shared" si="70"/>
        <v>5.2586804522618484</v>
      </c>
      <c r="AB125" s="387">
        <f t="shared" si="71"/>
        <v>0.15762620456430501</v>
      </c>
      <c r="AC125" s="387">
        <f t="shared" si="72"/>
        <v>7.3087607001434712E-2</v>
      </c>
      <c r="AD125">
        <f t="shared" si="73"/>
        <v>0</v>
      </c>
      <c r="AE125" s="387">
        <f t="shared" si="74"/>
        <v>0.23822387666892322</v>
      </c>
      <c r="AF125" s="387">
        <f t="shared" si="75"/>
        <v>3.0022390961778078</v>
      </c>
      <c r="AG125" s="387">
        <f t="shared" si="76"/>
        <v>5.1376605666525681E-2</v>
      </c>
      <c r="AH125" s="387">
        <f t="shared" si="77"/>
        <v>0.10752</v>
      </c>
      <c r="AI125" s="387">
        <f t="shared" si="78"/>
        <v>0.16054627014906164</v>
      </c>
      <c r="AJ125" s="387">
        <f t="shared" si="79"/>
        <v>0</v>
      </c>
      <c r="AK125" s="387">
        <f t="shared" si="80"/>
        <v>0</v>
      </c>
      <c r="AL125" s="387">
        <f t="shared" si="81"/>
        <v>0</v>
      </c>
      <c r="AM125">
        <f t="shared" si="82"/>
        <v>0</v>
      </c>
      <c r="AN125" s="387">
        <f t="shared" si="83"/>
        <v>0</v>
      </c>
      <c r="AO125" s="387">
        <f t="shared" si="84"/>
        <v>6.0553414180886129</v>
      </c>
      <c r="AP125" s="387">
        <f t="shared" si="85"/>
        <v>6.9667603410276877E-2</v>
      </c>
      <c r="AQ125" s="387">
        <f t="shared" si="86"/>
        <v>0</v>
      </c>
      <c r="AR125" s="387">
        <f t="shared" si="87"/>
        <v>7.0652035001195324E-2</v>
      </c>
      <c r="AS125" s="387">
        <f t="shared" si="88"/>
        <v>6.9667603410276877E-2</v>
      </c>
      <c r="AT125" s="387">
        <f t="shared" si="89"/>
        <v>0</v>
      </c>
      <c r="AU125" s="387">
        <f t="shared" si="90"/>
        <v>0.22559160959999999</v>
      </c>
      <c r="AV125" s="387">
        <f t="shared" si="91"/>
        <v>7.2107516724948334E-2</v>
      </c>
      <c r="AW125" s="387">
        <f t="shared" si="92"/>
        <v>0</v>
      </c>
      <c r="AX125" s="387">
        <f t="shared" si="93"/>
        <v>3.6000000000000004E-2</v>
      </c>
      <c r="AY125" s="387">
        <f t="shared" si="94"/>
        <v>5.9136000000000001E-2</v>
      </c>
      <c r="AZ125" s="387">
        <f t="shared" si="95"/>
        <v>7.3471999999999996E-2</v>
      </c>
      <c r="BA125" s="387">
        <f t="shared" si="123"/>
        <v>9.5135999999999998E-2</v>
      </c>
      <c r="BB125" s="387">
        <f t="shared" si="124"/>
        <v>1.2435028887839412</v>
      </c>
      <c r="BC125">
        <f t="shared" si="96"/>
        <v>72</v>
      </c>
      <c r="BD125" s="606">
        <f t="shared" si="125"/>
        <v>0.98302234546766387</v>
      </c>
      <c r="BE125" s="616">
        <f t="shared" si="97"/>
        <v>23.190774313446163</v>
      </c>
      <c r="BF125" s="616">
        <f t="shared" si="98"/>
        <v>8.0273135074530817</v>
      </c>
      <c r="BG125" s="9"/>
      <c r="BH125" s="4">
        <f t="shared" si="126"/>
        <v>98.302234546766385</v>
      </c>
      <c r="BI125" s="387">
        <f t="shared" si="127"/>
        <v>0.36297991095200449</v>
      </c>
      <c r="BJ125" s="387">
        <f t="shared" si="128"/>
        <v>0.69501379141918018</v>
      </c>
      <c r="BK125" s="387">
        <f t="shared" si="129"/>
        <v>0.23499150131706165</v>
      </c>
      <c r="BL125" s="387">
        <f t="shared" si="130"/>
        <v>7.2107516724948334E-2</v>
      </c>
    </row>
    <row r="126" spans="7:64" x14ac:dyDescent="0.2">
      <c r="G126">
        <v>117</v>
      </c>
      <c r="H126" s="612">
        <f t="shared" si="59"/>
        <v>16.114999999999998</v>
      </c>
      <c r="I126" s="4" t="str">
        <f t="shared" si="60"/>
        <v>BUCK</v>
      </c>
      <c r="J126">
        <f t="shared" si="99"/>
        <v>1</v>
      </c>
      <c r="K126">
        <f t="shared" si="61"/>
        <v>6</v>
      </c>
      <c r="L126" s="4">
        <f t="shared" si="62"/>
        <v>4.6540490226497058</v>
      </c>
      <c r="M126" s="4">
        <f t="shared" si="63"/>
        <v>6</v>
      </c>
      <c r="N126" s="387">
        <f t="shared" si="64"/>
        <v>0.74974942770525288</v>
      </c>
      <c r="O126" s="387">
        <f t="shared" si="115"/>
        <v>0</v>
      </c>
      <c r="P126" s="4">
        <f t="shared" si="65"/>
        <v>2.8804962815180528</v>
      </c>
      <c r="Q126" s="387">
        <f t="shared" si="66"/>
        <v>6.057345807831453</v>
      </c>
      <c r="R126" s="387">
        <f t="shared" si="116"/>
        <v>0.22409537254380127</v>
      </c>
      <c r="S126" s="387">
        <f t="shared" si="117"/>
        <v>0.14488012558668742</v>
      </c>
      <c r="T126" s="387">
        <f t="shared" si="118"/>
        <v>0.36897549813048869</v>
      </c>
      <c r="U126" s="4">
        <f t="shared" si="68"/>
        <v>0.83152765176708199</v>
      </c>
      <c r="V126" s="387">
        <f t="shared" si="119"/>
        <v>4.8400676495729432E-3</v>
      </c>
      <c r="W126" s="387">
        <f t="shared" si="120"/>
        <v>4.8400676495729432E-3</v>
      </c>
      <c r="X126" s="387">
        <f t="shared" si="69"/>
        <v>2.6237833931933219</v>
      </c>
      <c r="Y126" s="387">
        <f t="shared" si="121"/>
        <v>1.3768478588794125E-2</v>
      </c>
      <c r="Z126" s="605">
        <f t="shared" si="122"/>
        <v>1.3768478588794125E-2</v>
      </c>
      <c r="AA126" s="387">
        <f t="shared" si="70"/>
        <v>5.2449389718912531</v>
      </c>
      <c r="AB126" s="387">
        <f t="shared" si="71"/>
        <v>0.15680349346752295</v>
      </c>
      <c r="AC126" s="387">
        <f t="shared" si="72"/>
        <v>7.352102289813485E-2</v>
      </c>
      <c r="AD126">
        <f t="shared" si="73"/>
        <v>0</v>
      </c>
      <c r="AE126" s="387">
        <f t="shared" si="74"/>
        <v>0.23778151067688183</v>
      </c>
      <c r="AF126" s="387">
        <f t="shared" si="75"/>
        <v>3.0301903268259567</v>
      </c>
      <c r="AG126" s="387">
        <f t="shared" si="76"/>
        <v>5.2337704475700714E-2</v>
      </c>
      <c r="AH126" s="387">
        <f t="shared" si="77"/>
        <v>0.10752</v>
      </c>
      <c r="AI126" s="387">
        <f t="shared" si="78"/>
        <v>0.16154872233328199</v>
      </c>
      <c r="AJ126" s="387">
        <f t="shared" si="79"/>
        <v>0</v>
      </c>
      <c r="AK126" s="387">
        <f t="shared" si="80"/>
        <v>0</v>
      </c>
      <c r="AL126" s="387">
        <f t="shared" si="81"/>
        <v>0</v>
      </c>
      <c r="AM126">
        <f t="shared" si="82"/>
        <v>0</v>
      </c>
      <c r="AN126" s="387">
        <f t="shared" si="83"/>
        <v>0</v>
      </c>
      <c r="AO126" s="387">
        <f t="shared" si="84"/>
        <v>6.057345807831453</v>
      </c>
      <c r="AP126" s="387">
        <f t="shared" si="85"/>
        <v>6.9713732647741236E-2</v>
      </c>
      <c r="AQ126" s="387">
        <f t="shared" si="86"/>
        <v>0</v>
      </c>
      <c r="AR126" s="387">
        <f t="shared" si="87"/>
        <v>7.0699477542893296E-2</v>
      </c>
      <c r="AS126" s="387">
        <f t="shared" si="88"/>
        <v>6.9713732647741236E-2</v>
      </c>
      <c r="AT126" s="387">
        <f t="shared" si="89"/>
        <v>0</v>
      </c>
      <c r="AU126" s="387">
        <f t="shared" si="90"/>
        <v>0.2269322496</v>
      </c>
      <c r="AV126" s="387">
        <f t="shared" si="91"/>
        <v>7.3456427334316787E-2</v>
      </c>
      <c r="AW126" s="387">
        <f t="shared" si="92"/>
        <v>0</v>
      </c>
      <c r="AX126" s="387">
        <f t="shared" si="93"/>
        <v>3.6000000000000004E-2</v>
      </c>
      <c r="AY126" s="387">
        <f t="shared" si="94"/>
        <v>5.9136000000000001E-2</v>
      </c>
      <c r="AZ126" s="387">
        <f t="shared" si="95"/>
        <v>7.3471999999999996E-2</v>
      </c>
      <c r="BA126" s="387">
        <f t="shared" si="123"/>
        <v>9.5135999999999998E-2</v>
      </c>
      <c r="BB126" s="387">
        <f t="shared" si="124"/>
        <v>1.2531384318562295</v>
      </c>
      <c r="BC126">
        <f t="shared" si="96"/>
        <v>72</v>
      </c>
      <c r="BD126" s="606">
        <f t="shared" si="125"/>
        <v>0.98289304105349751</v>
      </c>
      <c r="BE126" s="616">
        <f t="shared" si="97"/>
        <v>23.23568801384409</v>
      </c>
      <c r="BF126" s="616">
        <f t="shared" si="98"/>
        <v>8.0774361166640993</v>
      </c>
      <c r="BG126" s="9"/>
      <c r="BH126" s="4">
        <f t="shared" si="126"/>
        <v>98.289304105349757</v>
      </c>
      <c r="BI126" s="387">
        <f t="shared" si="127"/>
        <v>0.36897549813048869</v>
      </c>
      <c r="BJ126" s="387">
        <f t="shared" si="128"/>
        <v>0.69696196015305711</v>
      </c>
      <c r="BK126" s="387">
        <f t="shared" si="129"/>
        <v>0.23643636470128199</v>
      </c>
      <c r="BL126" s="387">
        <f t="shared" si="130"/>
        <v>7.3456427334316787E-2</v>
      </c>
    </row>
    <row r="127" spans="7:64" x14ac:dyDescent="0.2">
      <c r="G127">
        <v>118</v>
      </c>
      <c r="H127" s="612">
        <f t="shared" si="59"/>
        <v>16.21</v>
      </c>
      <c r="I127" s="4" t="str">
        <f t="shared" si="60"/>
        <v>BUCK</v>
      </c>
      <c r="J127">
        <f t="shared" si="99"/>
        <v>1</v>
      </c>
      <c r="K127">
        <f t="shared" si="61"/>
        <v>6</v>
      </c>
      <c r="L127" s="4">
        <f t="shared" si="62"/>
        <v>4.626773596545342</v>
      </c>
      <c r="M127" s="4">
        <f t="shared" si="63"/>
        <v>6</v>
      </c>
      <c r="N127" s="387">
        <f t="shared" si="64"/>
        <v>0.74536843400172226</v>
      </c>
      <c r="O127" s="387">
        <f t="shared" si="115"/>
        <v>0</v>
      </c>
      <c r="P127" s="4">
        <f t="shared" si="65"/>
        <v>2.930923483169007</v>
      </c>
      <c r="Q127" s="387">
        <f t="shared" si="66"/>
        <v>6.0593613006665947</v>
      </c>
      <c r="R127" s="387">
        <f t="shared" si="116"/>
        <v>0.22424720202446299</v>
      </c>
      <c r="S127" s="387">
        <f t="shared" si="117"/>
        <v>0.15079065726520796</v>
      </c>
      <c r="T127" s="387">
        <f t="shared" si="118"/>
        <v>0.37503785928967093</v>
      </c>
      <c r="U127" s="4">
        <f t="shared" si="68"/>
        <v>0.84608473099091097</v>
      </c>
      <c r="V127" s="387">
        <f t="shared" si="119"/>
        <v>5.0110156041117352E-3</v>
      </c>
      <c r="W127" s="387">
        <f t="shared" si="120"/>
        <v>5.0110156041117352E-3</v>
      </c>
      <c r="X127" s="387">
        <f t="shared" si="69"/>
        <v>2.6397844587139501</v>
      </c>
      <c r="Y127" s="387">
        <f t="shared" si="121"/>
        <v>1.3936923976935404E-2</v>
      </c>
      <c r="Z127" s="605">
        <f t="shared" si="122"/>
        <v>1.3936923976935404E-2</v>
      </c>
      <c r="AA127" s="387">
        <f t="shared" si="70"/>
        <v>5.2313327750341978</v>
      </c>
      <c r="AB127" s="387">
        <f t="shared" si="71"/>
        <v>0.1559910028379379</v>
      </c>
      <c r="AC127" s="387">
        <f t="shared" si="72"/>
        <v>7.3954438794835001E-2</v>
      </c>
      <c r="AD127">
        <f t="shared" si="73"/>
        <v>0</v>
      </c>
      <c r="AE127" s="387">
        <f t="shared" si="74"/>
        <v>0.23735034531055788</v>
      </c>
      <c r="AF127" s="387">
        <f t="shared" si="75"/>
        <v>3.0576161905754238</v>
      </c>
      <c r="AG127" s="387">
        <f t="shared" si="76"/>
        <v>5.3289395582553106E-2</v>
      </c>
      <c r="AH127" s="387">
        <f t="shared" si="77"/>
        <v>0.10752</v>
      </c>
      <c r="AI127" s="387">
        <f t="shared" si="78"/>
        <v>0.16254174586132975</v>
      </c>
      <c r="AJ127" s="387">
        <f t="shared" si="79"/>
        <v>0</v>
      </c>
      <c r="AK127" s="387">
        <f t="shared" si="80"/>
        <v>0</v>
      </c>
      <c r="AL127" s="387">
        <f t="shared" si="81"/>
        <v>0</v>
      </c>
      <c r="AM127">
        <f t="shared" si="82"/>
        <v>0</v>
      </c>
      <c r="AN127" s="387">
        <f t="shared" si="83"/>
        <v>0</v>
      </c>
      <c r="AO127" s="387">
        <f t="shared" si="84"/>
        <v>6.0593613006665947</v>
      </c>
      <c r="AP127" s="387">
        <f t="shared" si="85"/>
        <v>6.9760132806830341E-2</v>
      </c>
      <c r="AQ127" s="387">
        <f t="shared" si="86"/>
        <v>0</v>
      </c>
      <c r="AR127" s="387">
        <f t="shared" si="87"/>
        <v>7.0747199615001102E-2</v>
      </c>
      <c r="AS127" s="387">
        <f t="shared" si="88"/>
        <v>6.9760132806830341E-2</v>
      </c>
      <c r="AT127" s="387">
        <f t="shared" si="89"/>
        <v>0</v>
      </c>
      <c r="AU127" s="387">
        <f t="shared" si="90"/>
        <v>0.22827288960000003</v>
      </c>
      <c r="AV127" s="387">
        <f t="shared" si="91"/>
        <v>7.479213415095172E-2</v>
      </c>
      <c r="AW127" s="387">
        <f t="shared" si="92"/>
        <v>0</v>
      </c>
      <c r="AX127" s="387">
        <f t="shared" si="93"/>
        <v>3.6000000000000004E-2</v>
      </c>
      <c r="AY127" s="387">
        <f t="shared" si="94"/>
        <v>5.9136000000000001E-2</v>
      </c>
      <c r="AZ127" s="387">
        <f t="shared" si="95"/>
        <v>7.3471999999999996E-2</v>
      </c>
      <c r="BA127" s="387">
        <f t="shared" si="123"/>
        <v>9.5135999999999998E-2</v>
      </c>
      <c r="BB127" s="387">
        <f t="shared" si="124"/>
        <v>1.2628261134085585</v>
      </c>
      <c r="BC127">
        <f t="shared" si="96"/>
        <v>72</v>
      </c>
      <c r="BD127" s="606">
        <f t="shared" si="125"/>
        <v>0.98276307125453022</v>
      </c>
      <c r="BE127" s="616">
        <f t="shared" si="97"/>
        <v>23.281161745527896</v>
      </c>
      <c r="BF127" s="616">
        <f t="shared" si="98"/>
        <v>8.1270872930664879</v>
      </c>
      <c r="BG127" s="9"/>
      <c r="BH127" s="4">
        <f t="shared" si="126"/>
        <v>98.276307125453016</v>
      </c>
      <c r="BI127" s="387">
        <f t="shared" si="127"/>
        <v>0.37503785928967093</v>
      </c>
      <c r="BJ127" s="387">
        <f t="shared" si="128"/>
        <v>0.69891218038688874</v>
      </c>
      <c r="BK127" s="387">
        <f t="shared" si="129"/>
        <v>0.23787179942932976</v>
      </c>
      <c r="BL127" s="387">
        <f t="shared" si="130"/>
        <v>7.479213415095172E-2</v>
      </c>
    </row>
    <row r="128" spans="7:64" x14ac:dyDescent="0.2">
      <c r="G128">
        <v>119</v>
      </c>
      <c r="H128" s="612">
        <f t="shared" si="59"/>
        <v>16.305</v>
      </c>
      <c r="I128" s="4" t="str">
        <f t="shared" si="60"/>
        <v>BUCK</v>
      </c>
      <c r="J128">
        <f t="shared" si="99"/>
        <v>1</v>
      </c>
      <c r="K128">
        <f t="shared" si="61"/>
        <v>6</v>
      </c>
      <c r="L128" s="4">
        <f t="shared" si="62"/>
        <v>4.5998160073597054</v>
      </c>
      <c r="M128" s="4">
        <f t="shared" si="63"/>
        <v>6</v>
      </c>
      <c r="N128" s="387">
        <f t="shared" si="64"/>
        <v>0.74103834158869941</v>
      </c>
      <c r="O128" s="387">
        <f t="shared" si="115"/>
        <v>0</v>
      </c>
      <c r="P128" s="4">
        <f t="shared" si="65"/>
        <v>2.9807647881457298</v>
      </c>
      <c r="Q128" s="387">
        <f t="shared" si="66"/>
        <v>6.0613870711953481</v>
      </c>
      <c r="R128" s="387">
        <f t="shared" si="116"/>
        <v>0.22439986028671624</v>
      </c>
      <c r="S128" s="387">
        <f t="shared" si="117"/>
        <v>0.15676429311462564</v>
      </c>
      <c r="T128" s="387">
        <f t="shared" si="118"/>
        <v>0.38116415340134191</v>
      </c>
      <c r="U128" s="4">
        <f t="shared" si="68"/>
        <v>0.86047267641344749</v>
      </c>
      <c r="V128" s="387">
        <f t="shared" si="119"/>
        <v>5.1828925879788502E-3</v>
      </c>
      <c r="W128" s="387">
        <f t="shared" si="120"/>
        <v>5.1828925879788502E-3</v>
      </c>
      <c r="X128" s="387">
        <f t="shared" si="69"/>
        <v>2.6552785777600993</v>
      </c>
      <c r="Y128" s="387">
        <f t="shared" si="121"/>
        <v>1.4101008651023391E-2</v>
      </c>
      <c r="Z128" s="605">
        <f t="shared" si="122"/>
        <v>1.4101008651023391E-2</v>
      </c>
      <c r="AA128" s="387">
        <f t="shared" si="70"/>
        <v>5.2178592245202911</v>
      </c>
      <c r="AB128" s="387">
        <f t="shared" si="71"/>
        <v>0.15518851285539551</v>
      </c>
      <c r="AC128" s="387">
        <f t="shared" si="72"/>
        <v>7.4387854691535138E-2</v>
      </c>
      <c r="AD128">
        <f t="shared" si="73"/>
        <v>0</v>
      </c>
      <c r="AE128" s="387">
        <f t="shared" si="74"/>
        <v>0.23693013459460369</v>
      </c>
      <c r="AF128" s="387">
        <f t="shared" si="75"/>
        <v>3.0845353523574057</v>
      </c>
      <c r="AG128" s="387">
        <f t="shared" si="76"/>
        <v>5.4231842537672964E-2</v>
      </c>
      <c r="AH128" s="387">
        <f t="shared" si="77"/>
        <v>0.10752</v>
      </c>
      <c r="AI128" s="387">
        <f t="shared" si="78"/>
        <v>0.16352550037512051</v>
      </c>
      <c r="AJ128" s="387">
        <f t="shared" si="79"/>
        <v>0</v>
      </c>
      <c r="AK128" s="387">
        <f t="shared" si="80"/>
        <v>0</v>
      </c>
      <c r="AL128" s="387">
        <f t="shared" si="81"/>
        <v>0</v>
      </c>
      <c r="AM128">
        <f t="shared" si="82"/>
        <v>0</v>
      </c>
      <c r="AN128" s="387">
        <f t="shared" si="83"/>
        <v>0</v>
      </c>
      <c r="AO128" s="387">
        <f t="shared" si="84"/>
        <v>6.0613870711953481</v>
      </c>
      <c r="AP128" s="387">
        <f t="shared" si="85"/>
        <v>6.9806785131022828E-2</v>
      </c>
      <c r="AQ128" s="387">
        <f t="shared" si="86"/>
        <v>0</v>
      </c>
      <c r="AR128" s="387">
        <f t="shared" si="87"/>
        <v>7.0795181941848084E-2</v>
      </c>
      <c r="AS128" s="387">
        <f t="shared" si="88"/>
        <v>6.9806785131022828E-2</v>
      </c>
      <c r="AT128" s="387">
        <f t="shared" si="89"/>
        <v>0</v>
      </c>
      <c r="AU128" s="387">
        <f t="shared" si="90"/>
        <v>0.2296135296</v>
      </c>
      <c r="AV128" s="387">
        <f t="shared" si="91"/>
        <v>7.6114866719540999E-2</v>
      </c>
      <c r="AW128" s="387">
        <f t="shared" si="92"/>
        <v>0</v>
      </c>
      <c r="AX128" s="387">
        <f t="shared" si="93"/>
        <v>3.6000000000000004E-2</v>
      </c>
      <c r="AY128" s="387">
        <f t="shared" si="94"/>
        <v>5.9136000000000001E-2</v>
      </c>
      <c r="AZ128" s="387">
        <f t="shared" si="95"/>
        <v>7.3471999999999996E-2</v>
      </c>
      <c r="BA128" s="387">
        <f t="shared" si="123"/>
        <v>9.5135999999999998E-2</v>
      </c>
      <c r="BB128" s="387">
        <f t="shared" si="124"/>
        <v>1.2725632678714573</v>
      </c>
      <c r="BC128">
        <f t="shared" si="96"/>
        <v>72</v>
      </c>
      <c r="BD128" s="606">
        <f t="shared" si="125"/>
        <v>0.98263247235913942</v>
      </c>
      <c r="BE128" s="616">
        <f t="shared" si="97"/>
        <v>23.327183209730183</v>
      </c>
      <c r="BF128" s="616">
        <f t="shared" si="98"/>
        <v>8.1762750187560247</v>
      </c>
      <c r="BG128" s="9"/>
      <c r="BH128" s="4">
        <f t="shared" si="126"/>
        <v>98.263247235913937</v>
      </c>
      <c r="BI128" s="387">
        <f t="shared" si="127"/>
        <v>0.38116415340134191</v>
      </c>
      <c r="BJ128" s="387">
        <f t="shared" si="128"/>
        <v>0.70086434651157226</v>
      </c>
      <c r="BK128" s="387">
        <f t="shared" si="129"/>
        <v>0.23929796514312052</v>
      </c>
      <c r="BL128" s="387">
        <f t="shared" si="130"/>
        <v>7.6114866719540999E-2</v>
      </c>
    </row>
    <row r="129" spans="7:64" x14ac:dyDescent="0.2">
      <c r="G129">
        <v>120</v>
      </c>
      <c r="H129" s="612">
        <f t="shared" si="59"/>
        <v>16.399999999999999</v>
      </c>
      <c r="I129" s="4" t="str">
        <f t="shared" si="60"/>
        <v>BUCK</v>
      </c>
      <c r="J129">
        <f t="shared" si="99"/>
        <v>1</v>
      </c>
      <c r="K129">
        <f t="shared" si="61"/>
        <v>6</v>
      </c>
      <c r="L129" s="4">
        <f t="shared" si="62"/>
        <v>4.573170731707318</v>
      </c>
      <c r="M129" s="4">
        <f t="shared" si="63"/>
        <v>6</v>
      </c>
      <c r="N129" s="387">
        <f t="shared" si="64"/>
        <v>0.73675826848249037</v>
      </c>
      <c r="O129" s="387">
        <f t="shared" si="115"/>
        <v>0</v>
      </c>
      <c r="P129" s="4">
        <f t="shared" si="65"/>
        <v>3.0300303484759552</v>
      </c>
      <c r="Q129" s="387">
        <f t="shared" si="66"/>
        <v>6.0634223278654371</v>
      </c>
      <c r="R129" s="387">
        <f t="shared" si="116"/>
        <v>0.22455328848473691</v>
      </c>
      <c r="S129" s="387">
        <f t="shared" si="117"/>
        <v>0.16279833134662175</v>
      </c>
      <c r="T129" s="387">
        <f t="shared" si="118"/>
        <v>0.38735161983135868</v>
      </c>
      <c r="U129" s="4">
        <f t="shared" si="68"/>
        <v>0.87469441867266418</v>
      </c>
      <c r="V129" s="387">
        <f t="shared" si="119"/>
        <v>5.3556322823997693E-3</v>
      </c>
      <c r="W129" s="387">
        <f t="shared" si="120"/>
        <v>5.3556322823997693E-3</v>
      </c>
      <c r="X129" s="387">
        <f t="shared" si="69"/>
        <v>2.6702854989465097</v>
      </c>
      <c r="Y129" s="387">
        <f t="shared" si="121"/>
        <v>1.426084929176802E-2</v>
      </c>
      <c r="Z129" s="605">
        <f t="shared" si="122"/>
        <v>1.426084929176802E-2</v>
      </c>
      <c r="AA129" s="387">
        <f t="shared" si="70"/>
        <v>5.2045157593409401</v>
      </c>
      <c r="AB129" s="387">
        <f t="shared" si="71"/>
        <v>0.15439581044860076</v>
      </c>
      <c r="AC129" s="387">
        <f t="shared" si="72"/>
        <v>7.4821270588235261E-2</v>
      </c>
      <c r="AD129">
        <f t="shared" si="73"/>
        <v>0</v>
      </c>
      <c r="AE129" s="387">
        <f t="shared" si="74"/>
        <v>0.2365206402238734</v>
      </c>
      <c r="AF129" s="387">
        <f t="shared" si="75"/>
        <v>3.1109654509217739</v>
      </c>
      <c r="AG129" s="387">
        <f t="shared" si="76"/>
        <v>5.5165204409924826E-2</v>
      </c>
      <c r="AH129" s="387">
        <f t="shared" si="77"/>
        <v>0.10752</v>
      </c>
      <c r="AI129" s="387">
        <f t="shared" si="78"/>
        <v>0.16450014119279727</v>
      </c>
      <c r="AJ129" s="387">
        <f t="shared" si="79"/>
        <v>0</v>
      </c>
      <c r="AK129" s="387">
        <f t="shared" si="80"/>
        <v>0</v>
      </c>
      <c r="AL129" s="387">
        <f t="shared" si="81"/>
        <v>0</v>
      </c>
      <c r="AM129">
        <f t="shared" si="82"/>
        <v>0</v>
      </c>
      <c r="AN129" s="387">
        <f t="shared" si="83"/>
        <v>0</v>
      </c>
      <c r="AO129" s="387">
        <f t="shared" si="84"/>
        <v>6.0634223278654371</v>
      </c>
      <c r="AP129" s="387">
        <f t="shared" si="85"/>
        <v>6.9853671619508534E-2</v>
      </c>
      <c r="AQ129" s="387">
        <f t="shared" si="86"/>
        <v>0</v>
      </c>
      <c r="AR129" s="387">
        <f t="shared" si="87"/>
        <v>7.0843406023665456E-2</v>
      </c>
      <c r="AS129" s="387">
        <f t="shared" si="88"/>
        <v>6.9853671619508534E-2</v>
      </c>
      <c r="AT129" s="387">
        <f t="shared" si="89"/>
        <v>0</v>
      </c>
      <c r="AU129" s="387">
        <f t="shared" si="90"/>
        <v>0.23095416959999998</v>
      </c>
      <c r="AV129" s="387">
        <f t="shared" si="91"/>
        <v>7.7424848294631338E-2</v>
      </c>
      <c r="AW129" s="387">
        <f t="shared" si="92"/>
        <v>0</v>
      </c>
      <c r="AX129" s="387">
        <f t="shared" si="93"/>
        <v>3.6000000000000004E-2</v>
      </c>
      <c r="AY129" s="387">
        <f t="shared" si="94"/>
        <v>5.9136000000000001E-2</v>
      </c>
      <c r="AZ129" s="387">
        <f t="shared" si="95"/>
        <v>7.3471999999999996E-2</v>
      </c>
      <c r="BA129" s="387">
        <f t="shared" si="123"/>
        <v>9.5135999999999998E-2</v>
      </c>
      <c r="BB129" s="387">
        <f t="shared" si="124"/>
        <v>1.2823473067404938</v>
      </c>
      <c r="BC129">
        <f t="shared" si="96"/>
        <v>72</v>
      </c>
      <c r="BD129" s="606">
        <f t="shared" si="125"/>
        <v>0.98250127958684341</v>
      </c>
      <c r="BE129" s="616">
        <f t="shared" si="97"/>
        <v>23.373740491193669</v>
      </c>
      <c r="BF129" s="616">
        <f t="shared" si="98"/>
        <v>8.2250070596398626</v>
      </c>
      <c r="BG129" s="9"/>
      <c r="BH129" s="4">
        <f t="shared" si="126"/>
        <v>98.250127958684345</v>
      </c>
      <c r="BI129" s="387">
        <f t="shared" si="127"/>
        <v>0.38735161983135868</v>
      </c>
      <c r="BJ129" s="387">
        <f t="shared" si="128"/>
        <v>0.70281835704033613</v>
      </c>
      <c r="BK129" s="387">
        <f t="shared" si="129"/>
        <v>0.24071501716079727</v>
      </c>
      <c r="BL129" s="387">
        <f t="shared" si="130"/>
        <v>7.7424848294631338E-2</v>
      </c>
    </row>
    <row r="130" spans="7:64" x14ac:dyDescent="0.2">
      <c r="G130">
        <v>121</v>
      </c>
      <c r="H130" s="612">
        <f t="shared" si="59"/>
        <v>16.494999999999997</v>
      </c>
      <c r="I130" s="4" t="str">
        <f t="shared" si="60"/>
        <v>BUCK</v>
      </c>
      <c r="J130">
        <f t="shared" si="99"/>
        <v>1</v>
      </c>
      <c r="K130">
        <f t="shared" si="61"/>
        <v>6</v>
      </c>
      <c r="L130" s="4">
        <f t="shared" si="62"/>
        <v>4.5468323734464997</v>
      </c>
      <c r="M130" s="4">
        <f t="shared" si="63"/>
        <v>6</v>
      </c>
      <c r="N130" s="387">
        <f t="shared" si="64"/>
        <v>0.73252735295895566</v>
      </c>
      <c r="O130" s="387">
        <f t="shared" si="115"/>
        <v>0</v>
      </c>
      <c r="P130" s="4">
        <f t="shared" si="65"/>
        <v>3.0787300829908673</v>
      </c>
      <c r="Q130" s="387">
        <f t="shared" si="66"/>
        <v>6.0654663115866656</v>
      </c>
      <c r="R130" s="387">
        <f t="shared" si="116"/>
        <v>0.22470743013921674</v>
      </c>
      <c r="S130" s="387">
        <f t="shared" si="117"/>
        <v>0.16889014658274948</v>
      </c>
      <c r="T130" s="387">
        <f t="shared" si="118"/>
        <v>0.39359757672196621</v>
      </c>
      <c r="U130" s="4">
        <f t="shared" si="68"/>
        <v>0.88875282108848808</v>
      </c>
      <c r="V130" s="387">
        <f t="shared" si="119"/>
        <v>5.5291710389492226E-3</v>
      </c>
      <c r="W130" s="387">
        <f t="shared" si="120"/>
        <v>5.5291710389492226E-3</v>
      </c>
      <c r="X130" s="387">
        <f t="shared" si="69"/>
        <v>2.6848239040186801</v>
      </c>
      <c r="Y130" s="387">
        <f t="shared" si="121"/>
        <v>1.4416558791180213E-2</v>
      </c>
      <c r="Z130" s="605">
        <f t="shared" si="122"/>
        <v>1.4416558791180213E-2</v>
      </c>
      <c r="AA130" s="387">
        <f t="shared" si="70"/>
        <v>5.191299891864074</v>
      </c>
      <c r="AB130" s="387">
        <f t="shared" si="71"/>
        <v>0.15361268903342731</v>
      </c>
      <c r="AC130" s="387">
        <f t="shared" si="72"/>
        <v>7.5254686484935412E-2</v>
      </c>
      <c r="AD130">
        <f t="shared" si="73"/>
        <v>0</v>
      </c>
      <c r="AE130" s="387">
        <f t="shared" si="74"/>
        <v>0.23612163126177896</v>
      </c>
      <c r="AF130" s="387">
        <f t="shared" si="75"/>
        <v>3.1369231756172802</v>
      </c>
      <c r="AG130" s="387">
        <f t="shared" si="76"/>
        <v>5.6089635955431372E-2</v>
      </c>
      <c r="AH130" s="387">
        <f t="shared" si="77"/>
        <v>0.10752</v>
      </c>
      <c r="AI130" s="387">
        <f t="shared" si="78"/>
        <v>0.165465819470869</v>
      </c>
      <c r="AJ130" s="387">
        <f t="shared" si="79"/>
        <v>0</v>
      </c>
      <c r="AK130" s="387">
        <f t="shared" si="80"/>
        <v>0</v>
      </c>
      <c r="AL130" s="387">
        <f t="shared" si="81"/>
        <v>0</v>
      </c>
      <c r="AM130">
        <f t="shared" si="82"/>
        <v>0</v>
      </c>
      <c r="AN130" s="387">
        <f t="shared" si="83"/>
        <v>0</v>
      </c>
      <c r="AO130" s="387">
        <f t="shared" si="84"/>
        <v>6.0654663115866656</v>
      </c>
      <c r="AP130" s="387">
        <f t="shared" si="85"/>
        <v>6.9900774996286219E-2</v>
      </c>
      <c r="AQ130" s="387">
        <f t="shared" si="86"/>
        <v>0</v>
      </c>
      <c r="AR130" s="387">
        <f t="shared" si="87"/>
        <v>7.089185410485685E-2</v>
      </c>
      <c r="AS130" s="387">
        <f t="shared" si="88"/>
        <v>6.9900774996286219E-2</v>
      </c>
      <c r="AT130" s="387">
        <f t="shared" si="89"/>
        <v>0</v>
      </c>
      <c r="AU130" s="387">
        <f t="shared" si="90"/>
        <v>0.23229480959999999</v>
      </c>
      <c r="AV130" s="387">
        <f t="shared" si="91"/>
        <v>7.8722296077798418E-2</v>
      </c>
      <c r="AW130" s="387">
        <f t="shared" si="92"/>
        <v>0</v>
      </c>
      <c r="AX130" s="387">
        <f t="shared" si="93"/>
        <v>3.6000000000000004E-2</v>
      </c>
      <c r="AY130" s="387">
        <f t="shared" si="94"/>
        <v>5.9136000000000001E-2</v>
      </c>
      <c r="AZ130" s="387">
        <f t="shared" si="95"/>
        <v>7.3471999999999996E-2</v>
      </c>
      <c r="BA130" s="387">
        <f t="shared" si="123"/>
        <v>9.5135999999999998E-2</v>
      </c>
      <c r="BB130" s="387">
        <f t="shared" si="124"/>
        <v>1.2921757170673989</v>
      </c>
      <c r="BC130">
        <f t="shared" si="96"/>
        <v>72</v>
      </c>
      <c r="BD130" s="606">
        <f t="shared" si="125"/>
        <v>0.98236952710947445</v>
      </c>
      <c r="BE130" s="616">
        <f t="shared" si="97"/>
        <v>23.420822043088947</v>
      </c>
      <c r="BF130" s="616">
        <f t="shared" si="98"/>
        <v>8.2732909735434497</v>
      </c>
      <c r="BG130" s="9"/>
      <c r="BH130" s="4">
        <f t="shared" si="126"/>
        <v>98.236952710947449</v>
      </c>
      <c r="BI130" s="387">
        <f t="shared" si="127"/>
        <v>0.39359757672196621</v>
      </c>
      <c r="BJ130" s="387">
        <f t="shared" si="128"/>
        <v>0.70477411443750482</v>
      </c>
      <c r="BK130" s="387">
        <f t="shared" si="129"/>
        <v>0.24212310663886899</v>
      </c>
      <c r="BL130" s="387">
        <f t="shared" si="130"/>
        <v>7.8722296077798418E-2</v>
      </c>
    </row>
    <row r="131" spans="7:64" x14ac:dyDescent="0.2">
      <c r="G131">
        <v>122</v>
      </c>
      <c r="H131" s="612">
        <f t="shared" si="59"/>
        <v>16.59</v>
      </c>
      <c r="I131" s="4" t="str">
        <f t="shared" si="60"/>
        <v>BUCK</v>
      </c>
      <c r="J131">
        <f t="shared" si="99"/>
        <v>1</v>
      </c>
      <c r="K131">
        <f t="shared" si="61"/>
        <v>6</v>
      </c>
      <c r="L131" s="4">
        <f t="shared" si="62"/>
        <v>4.5207956600361667</v>
      </c>
      <c r="M131" s="4">
        <f t="shared" si="63"/>
        <v>6</v>
      </c>
      <c r="N131" s="387">
        <f t="shared" si="64"/>
        <v>0.72834475297511725</v>
      </c>
      <c r="O131" s="387">
        <f t="shared" si="115"/>
        <v>0</v>
      </c>
      <c r="P131" s="4">
        <f t="shared" si="65"/>
        <v>3.1268736839826512</v>
      </c>
      <c r="Q131" s="387">
        <f t="shared" si="66"/>
        <v>6.0675182944071349</v>
      </c>
      <c r="R131" s="387">
        <f t="shared" si="116"/>
        <v>0.2248622310409466</v>
      </c>
      <c r="S131" s="387">
        <f t="shared" si="117"/>
        <v>0.17503718829667528</v>
      </c>
      <c r="T131" s="387">
        <f t="shared" si="118"/>
        <v>0.39989941933762185</v>
      </c>
      <c r="U131" s="4">
        <f t="shared" si="68"/>
        <v>0.90265068158467032</v>
      </c>
      <c r="V131" s="387">
        <f t="shared" si="119"/>
        <v>5.7034477707568892E-3</v>
      </c>
      <c r="W131" s="387">
        <f t="shared" si="120"/>
        <v>5.7034477707568892E-3</v>
      </c>
      <c r="X131" s="387">
        <f t="shared" si="69"/>
        <v>2.6989114844614641</v>
      </c>
      <c r="Y131" s="387">
        <f t="shared" si="121"/>
        <v>1.4568246401915967E-2</v>
      </c>
      <c r="Z131" s="605">
        <f t="shared" si="122"/>
        <v>1.4568246401915967E-2</v>
      </c>
      <c r="AA131" s="387">
        <f t="shared" si="70"/>
        <v>5.1782092051682991</v>
      </c>
      <c r="AB131" s="387">
        <f t="shared" si="71"/>
        <v>0.15283894826319136</v>
      </c>
      <c r="AC131" s="387">
        <f t="shared" si="72"/>
        <v>7.5688102381635564E-2</v>
      </c>
      <c r="AD131">
        <f t="shared" si="73"/>
        <v>0</v>
      </c>
      <c r="AE131" s="387">
        <f t="shared" si="74"/>
        <v>0.23573288385264438</v>
      </c>
      <c r="AF131" s="387">
        <f t="shared" si="75"/>
        <v>3.1624243359289341</v>
      </c>
      <c r="AG131" s="387">
        <f t="shared" si="76"/>
        <v>5.7005287778710688E-2</v>
      </c>
      <c r="AH131" s="387">
        <f t="shared" si="77"/>
        <v>0.10752</v>
      </c>
      <c r="AI131" s="387">
        <f t="shared" si="78"/>
        <v>0.16642268235886512</v>
      </c>
      <c r="AJ131" s="387">
        <f t="shared" si="79"/>
        <v>0</v>
      </c>
      <c r="AK131" s="387">
        <f t="shared" si="80"/>
        <v>0</v>
      </c>
      <c r="AL131" s="387">
        <f t="shared" si="81"/>
        <v>0</v>
      </c>
      <c r="AM131">
        <f t="shared" si="82"/>
        <v>0</v>
      </c>
      <c r="AN131" s="387">
        <f t="shared" si="83"/>
        <v>0</v>
      </c>
      <c r="AO131" s="387">
        <f t="shared" si="84"/>
        <v>6.0675182944071349</v>
      </c>
      <c r="AP131" s="387">
        <f t="shared" si="85"/>
        <v>6.9948078680634004E-2</v>
      </c>
      <c r="AQ131" s="387">
        <f t="shared" si="86"/>
        <v>0</v>
      </c>
      <c r="AR131" s="387">
        <f t="shared" si="87"/>
        <v>7.0940509143679262E-2</v>
      </c>
      <c r="AS131" s="387">
        <f t="shared" si="88"/>
        <v>6.9948078680634004E-2</v>
      </c>
      <c r="AT131" s="387">
        <f t="shared" si="89"/>
        <v>0</v>
      </c>
      <c r="AU131" s="387">
        <f t="shared" si="90"/>
        <v>0.23363544960000002</v>
      </c>
      <c r="AV131" s="387">
        <f t="shared" si="91"/>
        <v>8.0007421443804475E-2</v>
      </c>
      <c r="AW131" s="387">
        <f t="shared" si="92"/>
        <v>0</v>
      </c>
      <c r="AX131" s="387">
        <f t="shared" si="93"/>
        <v>3.6000000000000004E-2</v>
      </c>
      <c r="AY131" s="387">
        <f t="shared" si="94"/>
        <v>5.9136000000000001E-2</v>
      </c>
      <c r="AZ131" s="387">
        <f t="shared" si="95"/>
        <v>7.3471999999999996E-2</v>
      </c>
      <c r="BA131" s="387">
        <f t="shared" si="123"/>
        <v>9.5135999999999998E-2</v>
      </c>
      <c r="BB131" s="387">
        <f t="shared" si="124"/>
        <v>1.302046059909288</v>
      </c>
      <c r="BC131">
        <f t="shared" si="96"/>
        <v>72</v>
      </c>
      <c r="BD131" s="606">
        <f t="shared" si="125"/>
        <v>0.98223724807292379</v>
      </c>
      <c r="BE131" s="616">
        <f t="shared" si="97"/>
        <v>23.46841667263222</v>
      </c>
      <c r="BF131" s="616">
        <f t="shared" si="98"/>
        <v>8.3211341179432559</v>
      </c>
      <c r="BG131" s="9"/>
      <c r="BH131" s="4">
        <f t="shared" si="126"/>
        <v>98.223724807292385</v>
      </c>
      <c r="BI131" s="387">
        <f t="shared" si="127"/>
        <v>0.39989941933762185</v>
      </c>
      <c r="BJ131" s="387">
        <f t="shared" si="128"/>
        <v>0.70673152495518876</v>
      </c>
      <c r="BK131" s="387">
        <f t="shared" si="129"/>
        <v>0.24352238072686513</v>
      </c>
      <c r="BL131" s="387">
        <f t="shared" si="130"/>
        <v>8.0007421443804475E-2</v>
      </c>
    </row>
    <row r="132" spans="7:64" x14ac:dyDescent="0.2">
      <c r="G132">
        <v>123</v>
      </c>
      <c r="H132" s="612">
        <f t="shared" si="59"/>
        <v>16.685000000000002</v>
      </c>
      <c r="I132" s="4" t="str">
        <f t="shared" si="60"/>
        <v>BUCK</v>
      </c>
      <c r="J132">
        <f t="shared" si="99"/>
        <v>1</v>
      </c>
      <c r="K132">
        <f t="shared" si="61"/>
        <v>6</v>
      </c>
      <c r="L132" s="4">
        <f t="shared" si="62"/>
        <v>4.4950554390170812</v>
      </c>
      <c r="M132" s="4">
        <f t="shared" si="63"/>
        <v>6</v>
      </c>
      <c r="N132" s="387">
        <f t="shared" si="64"/>
        <v>0.7242096456104703</v>
      </c>
      <c r="O132" s="387">
        <f t="shared" si="115"/>
        <v>0</v>
      </c>
      <c r="P132" s="4">
        <f t="shared" si="65"/>
        <v>3.1744706236352589</v>
      </c>
      <c r="Q132" s="387">
        <f t="shared" si="66"/>
        <v>6.0695775782471282</v>
      </c>
      <c r="R132" s="387">
        <f t="shared" si="116"/>
        <v>0.22501763915866443</v>
      </c>
      <c r="S132" s="387">
        <f t="shared" si="117"/>
        <v>0.1812369792260827</v>
      </c>
      <c r="T132" s="387">
        <f t="shared" si="118"/>
        <v>0.40625461838474713</v>
      </c>
      <c r="U132" s="4">
        <f t="shared" si="68"/>
        <v>0.91639073454518805</v>
      </c>
      <c r="V132" s="387">
        <f t="shared" si="119"/>
        <v>5.8784038485218855E-3</v>
      </c>
      <c r="W132" s="387">
        <f t="shared" si="120"/>
        <v>5.8784038485218855E-3</v>
      </c>
      <c r="X132" s="387">
        <f t="shared" si="69"/>
        <v>2.712565011169858</v>
      </c>
      <c r="Y132" s="387">
        <f t="shared" si="121"/>
        <v>1.4716017879645864E-2</v>
      </c>
      <c r="Z132" s="605">
        <f t="shared" si="122"/>
        <v>1.4716017879645864E-2</v>
      </c>
      <c r="AA132" s="387">
        <f t="shared" si="70"/>
        <v>5.1652413504906844</v>
      </c>
      <c r="AB132" s="387">
        <f t="shared" si="71"/>
        <v>0.15207439379026733</v>
      </c>
      <c r="AC132" s="387">
        <f t="shared" si="72"/>
        <v>7.6121518278335729E-2</v>
      </c>
      <c r="AD132">
        <f t="shared" si="73"/>
        <v>0</v>
      </c>
      <c r="AE132" s="387">
        <f t="shared" si="74"/>
        <v>0.23535418094731669</v>
      </c>
      <c r="AF132" s="387">
        <f t="shared" si="75"/>
        <v>3.1874839245934159</v>
      </c>
      <c r="AG132" s="387">
        <f t="shared" si="76"/>
        <v>5.7912306486386241E-2</v>
      </c>
      <c r="AH132" s="387">
        <f t="shared" si="77"/>
        <v>0.10752</v>
      </c>
      <c r="AI132" s="387">
        <f t="shared" si="78"/>
        <v>0.16737087314690172</v>
      </c>
      <c r="AJ132" s="387">
        <f t="shared" si="79"/>
        <v>0</v>
      </c>
      <c r="AK132" s="387">
        <f t="shared" si="80"/>
        <v>0</v>
      </c>
      <c r="AL132" s="387">
        <f t="shared" si="81"/>
        <v>0</v>
      </c>
      <c r="AM132">
        <f t="shared" si="82"/>
        <v>0</v>
      </c>
      <c r="AN132" s="387">
        <f t="shared" si="83"/>
        <v>0</v>
      </c>
      <c r="AO132" s="387">
        <f t="shared" si="84"/>
        <v>6.0695775782471282</v>
      </c>
      <c r="AP132" s="387">
        <f t="shared" si="85"/>
        <v>6.999556675888452E-2</v>
      </c>
      <c r="AQ132" s="387">
        <f t="shared" si="86"/>
        <v>0</v>
      </c>
      <c r="AR132" s="387">
        <f t="shared" si="87"/>
        <v>7.0989354783264957E-2</v>
      </c>
      <c r="AS132" s="387">
        <f t="shared" si="88"/>
        <v>6.999556675888452E-2</v>
      </c>
      <c r="AT132" s="387">
        <f t="shared" si="89"/>
        <v>0</v>
      </c>
      <c r="AU132" s="387">
        <f t="shared" si="90"/>
        <v>0.23497608960000005</v>
      </c>
      <c r="AV132" s="387">
        <f t="shared" si="91"/>
        <v>8.128043015633156E-2</v>
      </c>
      <c r="AW132" s="387">
        <f t="shared" si="92"/>
        <v>0</v>
      </c>
      <c r="AX132" s="387">
        <f t="shared" si="93"/>
        <v>3.6000000000000004E-2</v>
      </c>
      <c r="AY132" s="387">
        <f t="shared" si="94"/>
        <v>5.9136000000000001E-2</v>
      </c>
      <c r="AZ132" s="387">
        <f t="shared" si="95"/>
        <v>7.3471999999999996E-2</v>
      </c>
      <c r="BA132" s="387">
        <f t="shared" si="123"/>
        <v>9.5135999999999998E-2</v>
      </c>
      <c r="BB132" s="387">
        <f t="shared" si="124"/>
        <v>1.3119559687467297</v>
      </c>
      <c r="BC132">
        <f t="shared" si="96"/>
        <v>72</v>
      </c>
      <c r="BD132" s="606">
        <f t="shared" si="125"/>
        <v>0.98210447461931005</v>
      </c>
      <c r="BE132" s="616">
        <f t="shared" si="97"/>
        <v>23.516513527365838</v>
      </c>
      <c r="BF132" s="616">
        <f t="shared" si="98"/>
        <v>8.3685436573450858</v>
      </c>
      <c r="BG132" s="9"/>
      <c r="BH132" s="4">
        <f t="shared" si="126"/>
        <v>98.210447461931011</v>
      </c>
      <c r="BI132" s="387">
        <f t="shared" si="127"/>
        <v>0.40625461838474713</v>
      </c>
      <c r="BJ132" s="387">
        <f t="shared" si="128"/>
        <v>0.70869049847748344</v>
      </c>
      <c r="BK132" s="387">
        <f t="shared" si="129"/>
        <v>0.24491298271490175</v>
      </c>
      <c r="BL132" s="387">
        <f t="shared" si="130"/>
        <v>8.128043015633156E-2</v>
      </c>
    </row>
    <row r="133" spans="7:64" x14ac:dyDescent="0.2">
      <c r="G133">
        <v>124</v>
      </c>
      <c r="H133" s="612">
        <f t="shared" si="59"/>
        <v>16.78</v>
      </c>
      <c r="I133" s="4" t="str">
        <f t="shared" si="60"/>
        <v>BUCK</v>
      </c>
      <c r="J133">
        <f t="shared" si="99"/>
        <v>1</v>
      </c>
      <c r="K133">
        <f t="shared" si="61"/>
        <v>6</v>
      </c>
      <c r="L133" s="4">
        <f t="shared" si="62"/>
        <v>4.4696066746126331</v>
      </c>
      <c r="M133" s="4">
        <f t="shared" si="63"/>
        <v>6</v>
      </c>
      <c r="N133" s="387">
        <f t="shared" si="64"/>
        <v>0.72012122652721655</v>
      </c>
      <c r="O133" s="387">
        <f t="shared" si="115"/>
        <v>0</v>
      </c>
      <c r="P133" s="4">
        <f t="shared" si="65"/>
        <v>3.2215301602373532</v>
      </c>
      <c r="Q133" s="387">
        <f t="shared" si="66"/>
        <v>6.0716434936879518</v>
      </c>
      <c r="R133" s="387">
        <f t="shared" si="116"/>
        <v>0.22517360455096283</v>
      </c>
      <c r="S133" s="387">
        <f t="shared" si="117"/>
        <v>0.18748711376347357</v>
      </c>
      <c r="T133" s="387">
        <f t="shared" si="118"/>
        <v>0.4126607183144364</v>
      </c>
      <c r="U133" s="4">
        <f t="shared" si="68"/>
        <v>0.92997565260776704</v>
      </c>
      <c r="V133" s="387">
        <f t="shared" si="119"/>
        <v>6.0539830011026958E-3</v>
      </c>
      <c r="W133" s="387">
        <f t="shared" si="120"/>
        <v>6.0539830011026958E-3</v>
      </c>
      <c r="X133" s="387">
        <f t="shared" si="69"/>
        <v>2.7258003979405254</v>
      </c>
      <c r="Y133" s="387">
        <f t="shared" si="121"/>
        <v>1.4859975618825454E-2</v>
      </c>
      <c r="Z133" s="605">
        <f t="shared" si="122"/>
        <v>1.4859975618825454E-2</v>
      </c>
      <c r="AA133" s="387">
        <f t="shared" si="70"/>
        <v>5.1523940447827261</v>
      </c>
      <c r="AB133" s="387">
        <f t="shared" si="71"/>
        <v>0.15131883703846125</v>
      </c>
      <c r="AC133" s="387">
        <f t="shared" si="72"/>
        <v>7.6554934175035852E-2</v>
      </c>
      <c r="AD133">
        <f t="shared" si="73"/>
        <v>0</v>
      </c>
      <c r="AE133" s="387">
        <f t="shared" si="74"/>
        <v>0.23498531204134021</v>
      </c>
      <c r="AF133" s="387">
        <f t="shared" si="75"/>
        <v>3.2121161750053084</v>
      </c>
      <c r="AG133" s="387">
        <f t="shared" si="76"/>
        <v>5.8810834833865185E-2</v>
      </c>
      <c r="AH133" s="387">
        <f t="shared" si="77"/>
        <v>0.10752</v>
      </c>
      <c r="AI133" s="387">
        <f t="shared" si="78"/>
        <v>0.16831053140653515</v>
      </c>
      <c r="AJ133" s="387">
        <f t="shared" si="79"/>
        <v>0</v>
      </c>
      <c r="AK133" s="387">
        <f t="shared" si="80"/>
        <v>0</v>
      </c>
      <c r="AL133" s="387">
        <f t="shared" si="81"/>
        <v>0</v>
      </c>
      <c r="AM133">
        <f t="shared" si="82"/>
        <v>0</v>
      </c>
      <c r="AN133" s="387">
        <f t="shared" si="83"/>
        <v>0</v>
      </c>
      <c r="AO133" s="387">
        <f t="shared" si="84"/>
        <v>6.0716434936879518</v>
      </c>
      <c r="AP133" s="387">
        <f t="shared" si="85"/>
        <v>7.0043223957442155E-2</v>
      </c>
      <c r="AQ133" s="387">
        <f t="shared" si="86"/>
        <v>0</v>
      </c>
      <c r="AR133" s="387">
        <f t="shared" si="87"/>
        <v>7.1038375323919378E-2</v>
      </c>
      <c r="AS133" s="387">
        <f t="shared" si="88"/>
        <v>7.0043223957442155E-2</v>
      </c>
      <c r="AT133" s="387">
        <f t="shared" si="89"/>
        <v>0</v>
      </c>
      <c r="AU133" s="387">
        <f t="shared" si="90"/>
        <v>0.23631672960000003</v>
      </c>
      <c r="AV133" s="387">
        <f t="shared" si="91"/>
        <v>8.2541522573845866E-2</v>
      </c>
      <c r="AW133" s="387">
        <f t="shared" si="92"/>
        <v>0</v>
      </c>
      <c r="AX133" s="387">
        <f t="shared" si="93"/>
        <v>3.6000000000000004E-2</v>
      </c>
      <c r="AY133" s="387">
        <f t="shared" si="94"/>
        <v>5.9136000000000001E-2</v>
      </c>
      <c r="AZ133" s="387">
        <f t="shared" si="95"/>
        <v>7.3471999999999996E-2</v>
      </c>
      <c r="BA133" s="387">
        <f t="shared" si="123"/>
        <v>9.5135999999999998E-2</v>
      </c>
      <c r="BB133" s="387">
        <f t="shared" si="124"/>
        <v>1.3219031478800054</v>
      </c>
      <c r="BC133">
        <f t="shared" si="96"/>
        <v>72</v>
      </c>
      <c r="BD133" s="606">
        <f t="shared" si="125"/>
        <v>0.98197123790944274</v>
      </c>
      <c r="BE133" s="616">
        <f t="shared" si="97"/>
        <v>23.565102082067014</v>
      </c>
      <c r="BF133" s="616">
        <f t="shared" si="98"/>
        <v>8.4155265703267581</v>
      </c>
      <c r="BG133" s="9"/>
      <c r="BH133" s="4">
        <f t="shared" si="126"/>
        <v>98.197123790944275</v>
      </c>
      <c r="BI133" s="387">
        <f t="shared" si="127"/>
        <v>0.4126607183144364</v>
      </c>
      <c r="BJ133" s="387">
        <f t="shared" si="128"/>
        <v>0.71065094837179477</v>
      </c>
      <c r="BK133" s="387">
        <f t="shared" si="129"/>
        <v>0.24629505217453518</v>
      </c>
      <c r="BL133" s="387">
        <f t="shared" si="130"/>
        <v>8.2541522573845866E-2</v>
      </c>
    </row>
    <row r="134" spans="7:64" x14ac:dyDescent="0.2">
      <c r="G134">
        <v>125</v>
      </c>
      <c r="H134" s="612">
        <f t="shared" si="59"/>
        <v>16.875</v>
      </c>
      <c r="I134" s="4" t="str">
        <f t="shared" si="60"/>
        <v>BUCK</v>
      </c>
      <c r="J134">
        <f t="shared" si="99"/>
        <v>1</v>
      </c>
      <c r="K134">
        <f t="shared" si="61"/>
        <v>6</v>
      </c>
      <c r="L134" s="4">
        <f t="shared" si="62"/>
        <v>4.4444444444444446</v>
      </c>
      <c r="M134" s="4">
        <f t="shared" si="63"/>
        <v>6</v>
      </c>
      <c r="N134" s="387">
        <f t="shared" si="64"/>
        <v>0.71607870944867935</v>
      </c>
      <c r="O134" s="387">
        <f t="shared" si="115"/>
        <v>0</v>
      </c>
      <c r="P134" s="4">
        <f t="shared" si="65"/>
        <v>3.2680613441859943</v>
      </c>
      <c r="Q134" s="387">
        <f t="shared" si="66"/>
        <v>6.0737153988131709</v>
      </c>
      <c r="R134" s="387">
        <f t="shared" si="116"/>
        <v>0.22533007928205903</v>
      </c>
      <c r="S134" s="387">
        <f t="shared" si="117"/>
        <v>0.1937852563338997</v>
      </c>
      <c r="T134" s="387">
        <f t="shared" si="118"/>
        <v>0.41911533561595871</v>
      </c>
      <c r="U134" s="4">
        <f t="shared" si="68"/>
        <v>0.9434080483969971</v>
      </c>
      <c r="V134" s="387">
        <f t="shared" si="119"/>
        <v>6.2301312204616158E-3</v>
      </c>
      <c r="W134" s="387">
        <f t="shared" si="120"/>
        <v>6.2301312204616158E-3</v>
      </c>
      <c r="X134" s="387">
        <f t="shared" si="69"/>
        <v>2.7386327594457853</v>
      </c>
      <c r="Y134" s="387">
        <f t="shared" si="121"/>
        <v>1.5000218782219273E-2</v>
      </c>
      <c r="Z134" s="605">
        <f t="shared" si="122"/>
        <v>1.5000218782219273E-2</v>
      </c>
      <c r="AA134" s="387">
        <f t="shared" si="70"/>
        <v>5.1396650683693288</v>
      </c>
      <c r="AB134" s="387">
        <f t="shared" si="71"/>
        <v>0.15057209498559063</v>
      </c>
      <c r="AC134" s="387">
        <f t="shared" si="72"/>
        <v>7.6988350071736003E-2</v>
      </c>
      <c r="AD134">
        <f t="shared" si="73"/>
        <v>0</v>
      </c>
      <c r="AE134" s="387">
        <f t="shared" si="74"/>
        <v>0.23462607292503967</v>
      </c>
      <c r="AF134" s="387">
        <f t="shared" si="75"/>
        <v>3.2363346135349378</v>
      </c>
      <c r="AG134" s="387">
        <f t="shared" si="76"/>
        <v>5.9701011865356715E-2</v>
      </c>
      <c r="AH134" s="387">
        <f t="shared" si="77"/>
        <v>0.10752</v>
      </c>
      <c r="AI134" s="387">
        <f t="shared" si="78"/>
        <v>0.16924179312525373</v>
      </c>
      <c r="AJ134" s="387">
        <f t="shared" si="79"/>
        <v>0</v>
      </c>
      <c r="AK134" s="387">
        <f t="shared" si="80"/>
        <v>0</v>
      </c>
      <c r="AL134" s="387">
        <f t="shared" si="81"/>
        <v>0</v>
      </c>
      <c r="AM134">
        <f t="shared" si="82"/>
        <v>0</v>
      </c>
      <c r="AN134" s="387">
        <f t="shared" si="83"/>
        <v>0</v>
      </c>
      <c r="AO134" s="387">
        <f t="shared" si="84"/>
        <v>6.0737153988131709</v>
      </c>
      <c r="AP134" s="387">
        <f t="shared" si="85"/>
        <v>7.0091035616982447E-2</v>
      </c>
      <c r="AQ134" s="387">
        <f t="shared" si="86"/>
        <v>0</v>
      </c>
      <c r="AR134" s="387">
        <f t="shared" si="87"/>
        <v>7.1087555696633845E-2</v>
      </c>
      <c r="AS134" s="387">
        <f t="shared" si="88"/>
        <v>7.0091035616982447E-2</v>
      </c>
      <c r="AT134" s="387">
        <f t="shared" si="89"/>
        <v>0</v>
      </c>
      <c r="AU134" s="387">
        <f t="shared" si="90"/>
        <v>0.2376573696</v>
      </c>
      <c r="AV134" s="387">
        <f t="shared" si="91"/>
        <v>8.3790893846114683E-2</v>
      </c>
      <c r="AW134" s="387">
        <f t="shared" si="92"/>
        <v>0</v>
      </c>
      <c r="AX134" s="387">
        <f t="shared" si="93"/>
        <v>3.6000000000000004E-2</v>
      </c>
      <c r="AY134" s="387">
        <f t="shared" si="94"/>
        <v>5.9136000000000001E-2</v>
      </c>
      <c r="AZ134" s="387">
        <f t="shared" si="95"/>
        <v>7.3471999999999996E-2</v>
      </c>
      <c r="BA134" s="387">
        <f t="shared" si="123"/>
        <v>9.5135999999999998E-2</v>
      </c>
      <c r="BB134" s="387">
        <f t="shared" si="124"/>
        <v>1.3318853708116818</v>
      </c>
      <c r="BC134">
        <f t="shared" si="96"/>
        <v>72</v>
      </c>
      <c r="BD134" s="606">
        <f t="shared" si="125"/>
        <v>0.98183756814546863</v>
      </c>
      <c r="BE134" s="616">
        <f t="shared" si="97"/>
        <v>23.614172126251983</v>
      </c>
      <c r="BF134" s="616">
        <f t="shared" si="98"/>
        <v>8.4620896562626857</v>
      </c>
      <c r="BG134" s="9"/>
      <c r="BH134" s="4">
        <f t="shared" si="126"/>
        <v>98.183756814546868</v>
      </c>
      <c r="BI134" s="387">
        <f t="shared" si="127"/>
        <v>0.41911533561595871</v>
      </c>
      <c r="BJ134" s="387">
        <f t="shared" si="128"/>
        <v>0.71261279134692723</v>
      </c>
      <c r="BK134" s="387">
        <f t="shared" si="129"/>
        <v>0.24766872509325372</v>
      </c>
      <c r="BL134" s="387">
        <f t="shared" si="130"/>
        <v>8.3790893846114683E-2</v>
      </c>
    </row>
    <row r="135" spans="7:64" x14ac:dyDescent="0.2">
      <c r="G135">
        <v>126</v>
      </c>
      <c r="H135" s="612">
        <f t="shared" si="59"/>
        <v>16.97</v>
      </c>
      <c r="I135" s="4" t="str">
        <f t="shared" si="60"/>
        <v>BUCK</v>
      </c>
      <c r="J135">
        <f t="shared" si="99"/>
        <v>1</v>
      </c>
      <c r="K135">
        <f t="shared" si="61"/>
        <v>6</v>
      </c>
      <c r="L135" s="4">
        <f t="shared" si="62"/>
        <v>4.419563936358279</v>
      </c>
      <c r="M135" s="4">
        <f t="shared" si="63"/>
        <v>6</v>
      </c>
      <c r="N135" s="387">
        <f t="shared" si="64"/>
        <v>0.71208132565518878</v>
      </c>
      <c r="O135" s="387">
        <f t="shared" si="115"/>
        <v>0</v>
      </c>
      <c r="P135" s="4">
        <f t="shared" si="65"/>
        <v>3.3140730237892222</v>
      </c>
      <c r="Q135" s="387">
        <f t="shared" si="66"/>
        <v>6.0757926780997566</v>
      </c>
      <c r="R135" s="387">
        <f t="shared" si="116"/>
        <v>0.2254870173412403</v>
      </c>
      <c r="S135" s="387">
        <f t="shared" si="117"/>
        <v>0.20012913976656357</v>
      </c>
      <c r="T135" s="387">
        <f t="shared" si="118"/>
        <v>0.42561615710780387</v>
      </c>
      <c r="U135" s="4">
        <f t="shared" si="68"/>
        <v>0.95669047619939229</v>
      </c>
      <c r="V135" s="387">
        <f t="shared" si="119"/>
        <v>6.4067966707543394E-3</v>
      </c>
      <c r="W135" s="387">
        <f t="shared" si="120"/>
        <v>6.4067966707543394E-3</v>
      </c>
      <c r="X135" s="387">
        <f t="shared" si="69"/>
        <v>2.7510764642690164</v>
      </c>
      <c r="Y135" s="387">
        <f t="shared" si="121"/>
        <v>1.5136843424509825E-2</v>
      </c>
      <c r="Z135" s="605">
        <f t="shared" si="122"/>
        <v>1.5136843424509825E-2</v>
      </c>
      <c r="AA135" s="387">
        <f t="shared" si="70"/>
        <v>5.1270522627058686</v>
      </c>
      <c r="AB135" s="387">
        <f t="shared" si="71"/>
        <v>0.14983398995574898</v>
      </c>
      <c r="AC135" s="387">
        <f t="shared" si="72"/>
        <v>7.742176596843614E-2</v>
      </c>
      <c r="AD135">
        <f t="shared" si="73"/>
        <v>0</v>
      </c>
      <c r="AE135" s="387">
        <f t="shared" si="74"/>
        <v>0.23427626544489322</v>
      </c>
      <c r="AF135" s="387">
        <f t="shared" si="75"/>
        <v>3.2601521073000952</v>
      </c>
      <c r="AG135" s="387">
        <f t="shared" si="76"/>
        <v>6.0582973047579529E-2</v>
      </c>
      <c r="AH135" s="387">
        <f t="shared" si="77"/>
        <v>0.10752</v>
      </c>
      <c r="AI135" s="387">
        <f t="shared" si="78"/>
        <v>0.17016479083493957</v>
      </c>
      <c r="AJ135" s="387">
        <f t="shared" si="79"/>
        <v>0</v>
      </c>
      <c r="AK135" s="387">
        <f t="shared" si="80"/>
        <v>0</v>
      </c>
      <c r="AL135" s="387">
        <f t="shared" si="81"/>
        <v>0</v>
      </c>
      <c r="AM135">
        <f t="shared" si="82"/>
        <v>0</v>
      </c>
      <c r="AN135" s="387">
        <f t="shared" si="83"/>
        <v>0</v>
      </c>
      <c r="AO135" s="387">
        <f t="shared" si="84"/>
        <v>6.0757926780997566</v>
      </c>
      <c r="AP135" s="387">
        <f t="shared" si="85"/>
        <v>7.0138987667776154E-2</v>
      </c>
      <c r="AQ135" s="387">
        <f t="shared" si="86"/>
        <v>0</v>
      </c>
      <c r="AR135" s="387">
        <f t="shared" si="87"/>
        <v>7.1136881437753485E-2</v>
      </c>
      <c r="AS135" s="387">
        <f t="shared" si="88"/>
        <v>7.0138987667776154E-2</v>
      </c>
      <c r="AT135" s="387">
        <f t="shared" si="89"/>
        <v>0</v>
      </c>
      <c r="AU135" s="387">
        <f t="shared" si="90"/>
        <v>0.23899800960000001</v>
      </c>
      <c r="AV135" s="387">
        <f t="shared" si="91"/>
        <v>8.502873410186601E-2</v>
      </c>
      <c r="AW135" s="387">
        <f t="shared" si="92"/>
        <v>0</v>
      </c>
      <c r="AX135" s="387">
        <f t="shared" si="93"/>
        <v>3.6000000000000004E-2</v>
      </c>
      <c r="AY135" s="387">
        <f t="shared" si="94"/>
        <v>5.9136000000000001E-2</v>
      </c>
      <c r="AZ135" s="387">
        <f t="shared" si="95"/>
        <v>7.3471999999999996E-2</v>
      </c>
      <c r="BA135" s="387">
        <f t="shared" si="123"/>
        <v>9.5135999999999998E-2</v>
      </c>
      <c r="BB135" s="387">
        <f t="shared" si="124"/>
        <v>1.3419004786225204</v>
      </c>
      <c r="BC135">
        <f t="shared" si="96"/>
        <v>72</v>
      </c>
      <c r="BD135" s="606">
        <f t="shared" si="125"/>
        <v>0.9817034945936034</v>
      </c>
      <c r="BE135" s="616">
        <f t="shared" si="97"/>
        <v>23.663713752244661</v>
      </c>
      <c r="BF135" s="616">
        <f t="shared" si="98"/>
        <v>8.5082395417469794</v>
      </c>
      <c r="BG135" s="9"/>
      <c r="BH135" s="4">
        <f t="shared" si="126"/>
        <v>98.170349459360338</v>
      </c>
      <c r="BI135" s="387">
        <f t="shared" si="127"/>
        <v>0.42561615710780387</v>
      </c>
      <c r="BJ135" s="387">
        <f t="shared" si="128"/>
        <v>0.71457594731758634</v>
      </c>
      <c r="BK135" s="387">
        <f t="shared" si="129"/>
        <v>0.24903413400293958</v>
      </c>
      <c r="BL135" s="387">
        <f t="shared" si="130"/>
        <v>8.502873410186601E-2</v>
      </c>
    </row>
    <row r="136" spans="7:64" x14ac:dyDescent="0.2">
      <c r="G136">
        <v>127</v>
      </c>
      <c r="H136" s="612">
        <f t="shared" si="59"/>
        <v>17.064999999999998</v>
      </c>
      <c r="I136" s="4" t="str">
        <f t="shared" si="60"/>
        <v>BUCK</v>
      </c>
      <c r="J136">
        <f t="shared" si="99"/>
        <v>1</v>
      </c>
      <c r="K136">
        <f t="shared" si="61"/>
        <v>6</v>
      </c>
      <c r="L136" s="4">
        <f t="shared" si="62"/>
        <v>4.3949604453559923</v>
      </c>
      <c r="M136" s="4">
        <f t="shared" si="63"/>
        <v>6</v>
      </c>
      <c r="N136" s="387">
        <f t="shared" si="64"/>
        <v>0.70812832349675703</v>
      </c>
      <c r="O136" s="387">
        <f t="shared" si="115"/>
        <v>0</v>
      </c>
      <c r="P136" s="4">
        <f t="shared" si="65"/>
        <v>3.3595738508753805</v>
      </c>
      <c r="Q136" s="387">
        <f t="shared" si="66"/>
        <v>6.077874741356867</v>
      </c>
      <c r="R136" s="387">
        <f t="shared" si="116"/>
        <v>0.22564437456581163</v>
      </c>
      <c r="S136" s="387">
        <f t="shared" si="117"/>
        <v>0.20651656366631552</v>
      </c>
      <c r="T136" s="387">
        <f t="shared" si="118"/>
        <v>0.43216093823212715</v>
      </c>
      <c r="U136" s="4">
        <f t="shared" si="68"/>
        <v>0.96982543358266438</v>
      </c>
      <c r="V136" s="387">
        <f t="shared" si="119"/>
        <v>6.5839296013666211E-3</v>
      </c>
      <c r="W136" s="387">
        <f t="shared" si="120"/>
        <v>6.5839296013666211E-3</v>
      </c>
      <c r="X136" s="387">
        <f t="shared" si="69"/>
        <v>2.7631451835094891</v>
      </c>
      <c r="Y136" s="387">
        <f t="shared" si="121"/>
        <v>1.5269942610303377E-2</v>
      </c>
      <c r="Z136" s="605">
        <f t="shared" si="122"/>
        <v>1.5269942610303377E-2</v>
      </c>
      <c r="AA136" s="387">
        <f t="shared" si="70"/>
        <v>5.114553528228738</v>
      </c>
      <c r="AB136" s="387">
        <f t="shared" si="71"/>
        <v>0.14910434942076708</v>
      </c>
      <c r="AC136" s="387">
        <f t="shared" si="72"/>
        <v>7.7855181865136278E-2</v>
      </c>
      <c r="AD136">
        <f t="shared" si="73"/>
        <v>0</v>
      </c>
      <c r="AE136" s="387">
        <f t="shared" si="74"/>
        <v>0.23393569727561828</v>
      </c>
      <c r="AF136" s="387">
        <f t="shared" si="75"/>
        <v>3.2835809078667118</v>
      </c>
      <c r="AG136" s="387">
        <f t="shared" si="76"/>
        <v>6.145685039748864E-2</v>
      </c>
      <c r="AH136" s="387">
        <f t="shared" si="77"/>
        <v>0.10752</v>
      </c>
      <c r="AI136" s="387">
        <f t="shared" si="78"/>
        <v>0.17107965373461309</v>
      </c>
      <c r="AJ136" s="387">
        <f t="shared" si="79"/>
        <v>0</v>
      </c>
      <c r="AK136" s="387">
        <f t="shared" si="80"/>
        <v>0</v>
      </c>
      <c r="AL136" s="387">
        <f t="shared" si="81"/>
        <v>0</v>
      </c>
      <c r="AM136">
        <f t="shared" si="82"/>
        <v>0</v>
      </c>
      <c r="AN136" s="387">
        <f t="shared" si="83"/>
        <v>0</v>
      </c>
      <c r="AO136" s="387">
        <f t="shared" si="84"/>
        <v>6.077874741356867</v>
      </c>
      <c r="AP136" s="387">
        <f t="shared" si="85"/>
        <v>7.0187066606085216E-2</v>
      </c>
      <c r="AQ136" s="387">
        <f t="shared" si="86"/>
        <v>0</v>
      </c>
      <c r="AR136" s="387">
        <f t="shared" si="87"/>
        <v>7.1186338664746385E-2</v>
      </c>
      <c r="AS136" s="387">
        <f t="shared" si="88"/>
        <v>7.0187066606085216E-2</v>
      </c>
      <c r="AT136" s="387">
        <f t="shared" si="89"/>
        <v>0</v>
      </c>
      <c r="AU136" s="387">
        <f t="shared" si="90"/>
        <v>0.24033864959999998</v>
      </c>
      <c r="AV136" s="387">
        <f t="shared" si="91"/>
        <v>8.6255228628054223E-2</v>
      </c>
      <c r="AW136" s="387">
        <f t="shared" si="92"/>
        <v>0</v>
      </c>
      <c r="AX136" s="387">
        <f t="shared" si="93"/>
        <v>3.6000000000000004E-2</v>
      </c>
      <c r="AY136" s="387">
        <f t="shared" si="94"/>
        <v>5.9136000000000001E-2</v>
      </c>
      <c r="AZ136" s="387">
        <f t="shared" si="95"/>
        <v>7.3471999999999996E-2</v>
      </c>
      <c r="BA136" s="387">
        <f t="shared" si="123"/>
        <v>9.5135999999999998E-2</v>
      </c>
      <c r="BB136" s="387">
        <f t="shared" si="124"/>
        <v>1.3519463783468293</v>
      </c>
      <c r="BC136">
        <f t="shared" si="96"/>
        <v>72</v>
      </c>
      <c r="BD136" s="606">
        <f t="shared" si="125"/>
        <v>0.98156904560686731</v>
      </c>
      <c r="BE136" s="616">
        <f t="shared" si="97"/>
        <v>23.713717343780914</v>
      </c>
      <c r="BF136" s="616">
        <f t="shared" si="98"/>
        <v>8.5539826867306541</v>
      </c>
      <c r="BG136" s="9"/>
      <c r="BH136" s="4">
        <f t="shared" si="126"/>
        <v>98.156904560686726</v>
      </c>
      <c r="BI136" s="387">
        <f t="shared" si="127"/>
        <v>0.43216093823212715</v>
      </c>
      <c r="BJ136" s="387">
        <f t="shared" si="128"/>
        <v>0.71654033927497773</v>
      </c>
      <c r="BK136" s="387">
        <f t="shared" si="129"/>
        <v>0.25039140810261307</v>
      </c>
      <c r="BL136" s="387">
        <f t="shared" si="130"/>
        <v>8.6255228628054223E-2</v>
      </c>
    </row>
    <row r="137" spans="7:64" x14ac:dyDescent="0.2">
      <c r="G137">
        <v>128</v>
      </c>
      <c r="H137" s="612">
        <f t="shared" ref="H137:H200" si="131">VIN_min+(VIN_max-VIN_min)*(G137/200)</f>
        <v>17.16</v>
      </c>
      <c r="I137" s="4" t="str">
        <f t="shared" ref="I137:I200" si="132">IF(H137&gt;VIN_BB_to_buck, "BUCK", IF(H137&lt;VIN_boost_to_BB,"BOOST","BUCK-BST"))</f>
        <v>BUCK</v>
      </c>
      <c r="J137">
        <f t="shared" si="99"/>
        <v>1</v>
      </c>
      <c r="K137">
        <f t="shared" ref="K137:K200" si="133">Iout</f>
        <v>6</v>
      </c>
      <c r="L137" s="4">
        <f t="shared" ref="L137:L200" si="134">Vout*K137/(H137*Efficiency)</f>
        <v>4.37062937062937</v>
      </c>
      <c r="M137" s="4">
        <f t="shared" ref="M137:M200" si="135">Iout/(1-O137)</f>
        <v>6</v>
      </c>
      <c r="N137" s="387">
        <f t="shared" ref="N137:N200" si="136">CHOOSE(J137,(Vout+(Rdson2+Rs+Rdcr)*K137)/(H137+(Rs+Rdson2-Rdson1)*K137),1,IF(H137&lt;Vout,D_max_buck_BB,Vout/H137*(1-D_min_boost_exitBB_to_buck)))</f>
        <v>0.70421896792189687</v>
      </c>
      <c r="O137" s="387">
        <f t="shared" si="115"/>
        <v>0</v>
      </c>
      <c r="P137" s="4">
        <f t="shared" ref="P137:P200" si="137">MAX(0, CHOOSE(J137, (H137-(Rdson1+Rdcr)*K137-Vout)*N137/(Fsw*Lf), (H137-(Rdson4+Rdcr+Rs)*L137)*O137/(Fsw*Lf), IF(H137&lt;Vout, (H137-(Rdson4+Rdcr+Rs)*L137)*O137/(0.5*Fsw*Lf),(H137-(Rdson1+Rdcr)*K137-Vout)*N137/(0.5*Fsw*Lf))))</f>
        <v>3.404572286216633</v>
      </c>
      <c r="Q137" s="387">
        <f t="shared" ref="Q137:Q200" si="138">CHOOSE(J137, SQRT(K137^2+(P137^2)/12), SQRT(L137^2+(P137^2)/12), SQRT(M137^2+(P137^2)/12))</f>
        <v>6.0799610227100027</v>
      </c>
      <c r="R137" s="387">
        <f t="shared" si="116"/>
        <v>0.2258021085673742</v>
      </c>
      <c r="S137" s="387">
        <f t="shared" si="117"/>
        <v>0.21294539279022745</v>
      </c>
      <c r="T137" s="387">
        <f t="shared" si="118"/>
        <v>0.43874750135760165</v>
      </c>
      <c r="U137" s="4">
        <f t="shared" ref="U137:U200" si="139">IF(H137&gt;Vout, P137/SQRT(12), SQRT(O137/(1-O137))*SQRT(K137^2+(P137^2)/12))</f>
        <v>0.98281536296135641</v>
      </c>
      <c r="V137" s="387">
        <f t="shared" si="119"/>
        <v>6.76148226371004E-3</v>
      </c>
      <c r="W137" s="387">
        <f t="shared" si="120"/>
        <v>6.76148226371004E-3</v>
      </c>
      <c r="X137" s="387">
        <f t="shared" ref="X137:X200" si="140">IF(H137&gt;Vout, SQRT(N137*(1-N137))*SQRT(K137^2+(P137^2)/12), P137/SQRT(12))</f>
        <v>2.7748519354035373</v>
      </c>
      <c r="Y137" s="387">
        <f t="shared" si="121"/>
        <v>1.5399606526825513E-2</v>
      </c>
      <c r="Z137" s="605">
        <f t="shared" si="122"/>
        <v>1.5399606526825513E-2</v>
      </c>
      <c r="AA137" s="387">
        <f t="shared" ref="AA137:AA200" si="141">CHOOSE(J137, SQRT(N137)*SQRT(K137^2+(P137^2)/12), SQRT(L137^2+(P137^2)/12), SQRT(N137)*SQRT(M137^2+(P137^2)/12))</f>
        <v>5.1021668222949312</v>
      </c>
      <c r="AB137" s="387">
        <f t="shared" ref="AB137:AB200" si="142">Rdson1*AA137^2</f>
        <v>0.14838300581040478</v>
      </c>
      <c r="AC137" s="387">
        <f t="shared" ref="AC137:AC200" si="143">CHOOSE(J137, (H137*K137/2)*(Fsw)*(Tr_buck+Tf_buck), 0, (H137*M137/2)*(Fsw/2)*(Tr_buck+Tf_buck))</f>
        <v>7.8288597761836429E-2</v>
      </c>
      <c r="AD137">
        <f t="shared" ref="AD137:AD200" si="144">IF(H137&gt;Vout, IF(K137&gt;P137/2,0,ABS(K137-P137/2)*Vsd_Q1*Deadtime*Fsw),0)</f>
        <v>0</v>
      </c>
      <c r="AE137" s="387">
        <f t="shared" ref="AE137:AE200" si="145">(AD137+AC137+AB137*(1+RdsonTopTc*Ta-RdsonTopTc*25))/(1-AB137*RdsonTopTc*ThetaJA_Q1)</f>
        <v>0.23360418170241815</v>
      </c>
      <c r="AF137" s="387">
        <f t="shared" ref="AF137:AF200" si="146">CHOOSE(J137, SQRT((1-N137))*SQRT(K137^2+(P137^2)/12), 0, SQRT((1-N137))*SQRT(M137^2+(P137^2)/12))</f>
        <v>3.3066326912957393</v>
      </c>
      <c r="AG137" s="387">
        <f t="shared" ref="AG137:AG200" si="147">Rdson2*AF137^2</f>
        <v>6.2322772604330515E-2</v>
      </c>
      <c r="AH137" s="387">
        <f t="shared" ref="AH137:AH200" si="148">CHOOSE(J137, IF(K137&lt;P137/2,Deadtime*Fsw*IF(VfdSky_Q2&gt;0,0,Vsd_Q2)*(K137+P137/2),2*Deadtime*Fsw*IF(VfdSky_Q2&gt;0,0,Vsd_Q2)*K137),0, IF(K137&lt;P137/2,Deadtime*Fsw/2*IF(VfdSky_Q2&gt;0,0,Vsd_Q2)*(K137+P137/2),2*Deadtime*Fsw/2*IF(VfdSky_Q2&gt;0,0,Vsd_Q2)*K137))</f>
        <v>0.10752</v>
      </c>
      <c r="AI137" s="387">
        <f t="shared" ref="AI137:AI200" si="149">(AH137+AG137*(1+RdsonBotTc*Ta-RdsonBotTc*25))/(1-AG137*RdsonBotTc*ThetaJA_Q2)</f>
        <v>0.17198650780775362</v>
      </c>
      <c r="AJ137" s="387">
        <f t="shared" ref="AJ137:AJ200" si="150">CHOOSE(J137, 0, SQRT(O137)*SQRT(L137^2+(P137^2)/12), SQRT(O137)*SQRT(M137^2+(P137^2)/12))</f>
        <v>0</v>
      </c>
      <c r="AK137" s="387">
        <f t="shared" ref="AK137:AK200" si="151">Rdson4*AJ137^2</f>
        <v>0</v>
      </c>
      <c r="AL137" s="387">
        <f t="shared" ref="AL137:AL200" si="152">CHOOSE(J137, 0, (Vout*L137/2)*(Fsw)*(Tr_boost+Tf_boost), (Vout*Iout/2)*(Fsw/2)*(Tr_boost+Tf_boost))</f>
        <v>0</v>
      </c>
      <c r="AM137">
        <f t="shared" ref="AM137:AM200" si="153">IF(H137&gt;Vout, 0, IF(L137&gt;P137/2,0,ABS(L137-P137/2)*Vsd_Q4*Deadtime*Fsw))</f>
        <v>0</v>
      </c>
      <c r="AN137" s="387">
        <f t="shared" ref="AN137:AN200" si="154">(AM137+AL137+AK137*(1+RdsonTopTc*Ta-RdsonTopTc*25))/(1-AK137*RdsonTopTc*ThetaJA_Q4)</f>
        <v>0</v>
      </c>
      <c r="AO137" s="387">
        <f t="shared" ref="AO137:AO200" si="155">CHOOSE(J137, SQRT(Iout^2+(P137^2)/12), SQRT(1-O137)*SQRT(L137^2+(P137^2)/12), SQRT(1-O137)*SQRT(M137^2+(P137^2)/12))</f>
        <v>6.0799610227100027</v>
      </c>
      <c r="AP137" s="387">
        <f t="shared" ref="AP137:AP200" si="156">Rdson3*AO137^2</f>
        <v>7.0235259471578437E-2</v>
      </c>
      <c r="AQ137" s="387">
        <f t="shared" ref="AQ137:AQ200" si="157">CHOOSE(J137, 0, IF(L137&lt;P137/2,Deadtime*Fsw*IF(VfdSky_Q3&gt;0,0,Vsd_Q3)*(L137+P137/2), 2*Deadtime*Fsw*IF(VfdSky_Q3&gt;0,0,Vsd_Q3)*L137), IF(L137&lt;P137/2,Deadtime*Fsw/2*IF(VfdSky_Q3&gt;0,0,Vsd_Q3)*(L137+P137/2), 2*Deadtime*Fsw/2*IF(VfdSky_Q3&gt;0,0,Vsd_Q3)*L137))</f>
        <v>0</v>
      </c>
      <c r="AR137" s="387">
        <f t="shared" ref="AR137:AR200" si="158">(AQ137+AP137*(1+RdsonBotTc*Ta-RdsonBotTc*25))/(1-AP137*RdsonBotTc*ThetaJA_Q3)</f>
        <v>7.1235914053020225E-2</v>
      </c>
      <c r="AS137" s="387">
        <f t="shared" ref="AS137:AS200" si="159">CHOOSE(J137, Rdson3*Q137^2, Rdson1*Q137^2, 0)</f>
        <v>7.0235259471578437E-2</v>
      </c>
      <c r="AT137" s="387">
        <f t="shared" ref="AT137:AT200" si="160">CHOOSE(J137, 2*Deadtime*Fsw*IF(VfdSky_Q2&gt;0,VfdSky_Q2,0)*K137, 2*Deadtime*Fsw*IF(VfdSky_Q3&gt;0,VfdSky_Q3,0)*L137, 2*Deadtime*Fsw/2*IF(VfdSky_Q2&gt;0,VfdSky_Q2,0)*K137+2*Deadtime*Fsw/2*IF(VfdSky_Q3&gt;0,VfdSky_Q3,0)*L137)</f>
        <v>0</v>
      </c>
      <c r="AU137" s="387">
        <f t="shared" ref="AU137:AU200" si="161">CHOOSE(J137, IF(QrrSky_Q2&gt;0,QrrSky_Q2,Qrr_Q2)*Fsw*(H137-K137*Rdson1), IF(QrrSky_Q3&gt;0,QrrSky_Q3,Qrr_Q3)*Fsw*Vout,  IF(QrrSky_Q2&gt;0,QrrSky_Q2,Qrr_Q2)*Fsw/2*(H137-K137*Rdson1)+IF(QrrSky_Q3&gt;0,QrrSky_Q3,Qrr_Q3)*Fsw/2*Vout)</f>
        <v>0.24167928960000001</v>
      </c>
      <c r="AV137" s="387">
        <f t="shared" ref="AV137:AV200" si="162">CHOOSE(J137, Rs*AF137^2, Rs*AJ137^2, Rs*(AF137^2+AJ137^2))</f>
        <v>8.747055804116563E-2</v>
      </c>
      <c r="AW137" s="387">
        <f t="shared" ref="AW137:AW200" si="163">Rshunt_std/1000*Iout^2</f>
        <v>0</v>
      </c>
      <c r="AX137" s="387">
        <f t="shared" ref="AX137:AX200" si="164">IF(Vout&gt;8, Iq*Vout, Iq*H137)</f>
        <v>3.6000000000000004E-2</v>
      </c>
      <c r="AY137" s="387">
        <f t="shared" ref="AY137:AY200" si="165">CHOOSE(J137, (Qg_Q1+Qg_Q2)*Fsw, (Qg_Q3+Qg_Q4)*Fsw, (Qg_Q1+Qg_Q2+Qg_Q3+Qg_Q4)*Fsw/2)*IF(Vout&gt;8, Vout, H137)</f>
        <v>5.9136000000000001E-2</v>
      </c>
      <c r="AZ137" s="387">
        <f t="shared" ref="AZ137:AZ200" si="166">(Vin-Vdd)*Fsw*(Qg_Q1+Qg_Q2)+(RdsonDRT+RdsonDRT2)*Fsw*Qg_Q1*Vdd/(RdsonDRT+2*Rgate1+RdsonDRT2)+(RdsonDRB+RdsonDRB2)*Fsw*Qg_Q2*Vdd/(RdsonDRB+2*Rgate2+RdsonDRB2)</f>
        <v>7.3471999999999996E-2</v>
      </c>
      <c r="BA137" s="387">
        <f t="shared" si="123"/>
        <v>9.5135999999999998E-2</v>
      </c>
      <c r="BB137" s="387">
        <f t="shared" si="124"/>
        <v>1.3620210413524949</v>
      </c>
      <c r="BC137">
        <f t="shared" ref="BC137:BC200" si="167">Vout*K137</f>
        <v>72</v>
      </c>
      <c r="BD137" s="606">
        <f t="shared" si="125"/>
        <v>0.9814342486477472</v>
      </c>
      <c r="BE137" s="616">
        <f t="shared" ref="BE137:BE200" si="168">IF(H137&gt;Vout,ThetaJA_Q1*(AE137+AU137),ThetaJA_Q4*(AN137+AU137))</f>
        <v>23.76417356512091</v>
      </c>
      <c r="BF137" s="616">
        <f t="shared" ref="BF137:BF200" si="169">IF(H137&gt;Vout, AI137*ThetaJA_Q2, ThetaJA_Q3*AR137)</f>
        <v>8.5993253903876816</v>
      </c>
      <c r="BG137" s="9"/>
      <c r="BH137" s="4">
        <f t="shared" si="126"/>
        <v>98.143424864774715</v>
      </c>
      <c r="BI137" s="387">
        <f t="shared" si="127"/>
        <v>0.43874750135760165</v>
      </c>
      <c r="BJ137" s="387">
        <f t="shared" si="128"/>
        <v>0.71850589316319202</v>
      </c>
      <c r="BK137" s="387">
        <f t="shared" si="129"/>
        <v>0.25174067337575362</v>
      </c>
      <c r="BL137" s="387">
        <f t="shared" si="130"/>
        <v>8.747055804116563E-2</v>
      </c>
    </row>
    <row r="138" spans="7:64" x14ac:dyDescent="0.2">
      <c r="G138">
        <v>129</v>
      </c>
      <c r="H138" s="612">
        <f t="shared" si="131"/>
        <v>17.255000000000003</v>
      </c>
      <c r="I138" s="4" t="str">
        <f t="shared" si="132"/>
        <v>BUCK</v>
      </c>
      <c r="J138">
        <f t="shared" ref="J138:J201" si="170">IF(I138="BOOST",2, IF(I138="BUCK", 1,3))</f>
        <v>1</v>
      </c>
      <c r="K138">
        <f t="shared" si="133"/>
        <v>6</v>
      </c>
      <c r="L138" s="4">
        <f t="shared" si="134"/>
        <v>4.3465662126919726</v>
      </c>
      <c r="M138" s="4">
        <f t="shared" si="135"/>
        <v>6</v>
      </c>
      <c r="N138" s="387">
        <f t="shared" si="136"/>
        <v>0.70035254002196146</v>
      </c>
      <c r="O138" s="387">
        <f t="shared" ref="O138:O169" si="171">CHOOSE(J138,0,(Vout+(Rdson3+Rdcr)*L138-H138)/(Vout+(Rdson3-Rdson4-Rs)*L138),IF(H138&gt;Vout,D_min_boost_exitBB_to_buck, (Vout-H138*D_max_buck_BB)/Vout))</f>
        <v>0</v>
      </c>
      <c r="P138" s="4">
        <f t="shared" si="137"/>
        <v>3.4490766047738104</v>
      </c>
      <c r="Q138" s="387">
        <f t="shared" si="138"/>
        <v>6.0820509796284865</v>
      </c>
      <c r="R138" s="387">
        <f t="shared" si="116"/>
        <v>0.22596017866128135</v>
      </c>
      <c r="S138" s="387">
        <f t="shared" si="117"/>
        <v>0.21941355543371516</v>
      </c>
      <c r="T138" s="387">
        <f t="shared" si="118"/>
        <v>0.44537373409499648</v>
      </c>
      <c r="U138" s="4">
        <f t="shared" si="139"/>
        <v>0.99566265311089996</v>
      </c>
      <c r="V138" s="387">
        <f t="shared" si="119"/>
        <v>6.9394088315988542E-3</v>
      </c>
      <c r="W138" s="387">
        <f t="shared" si="120"/>
        <v>6.9394088315988542E-3</v>
      </c>
      <c r="X138" s="387">
        <f t="shared" si="140"/>
        <v>2.7862091263563231</v>
      </c>
      <c r="Y138" s="387">
        <f t="shared" si="121"/>
        <v>1.5525922591582531E-2</v>
      </c>
      <c r="Z138" s="605">
        <f t="shared" si="122"/>
        <v>1.5525922591582531E-2</v>
      </c>
      <c r="AA138" s="387">
        <f t="shared" si="141"/>
        <v>5.0898901572065292</v>
      </c>
      <c r="AB138" s="387">
        <f t="shared" si="142"/>
        <v>0.14766979633083907</v>
      </c>
      <c r="AC138" s="387">
        <f t="shared" si="143"/>
        <v>7.872201365853658E-2</v>
      </c>
      <c r="AD138">
        <f t="shared" si="144"/>
        <v>0</v>
      </c>
      <c r="AE138" s="387">
        <f t="shared" si="145"/>
        <v>0.23328153741287655</v>
      </c>
      <c r="AF138" s="387">
        <f t="shared" si="146"/>
        <v>3.3293185949037567</v>
      </c>
      <c r="AG138" s="387">
        <f t="shared" si="147"/>
        <v>6.3180865146319973E-2</v>
      </c>
      <c r="AH138" s="387">
        <f t="shared" si="148"/>
        <v>0.10752</v>
      </c>
      <c r="AI138" s="387">
        <f t="shared" si="149"/>
        <v>0.17288547593447467</v>
      </c>
      <c r="AJ138" s="387">
        <f t="shared" si="150"/>
        <v>0</v>
      </c>
      <c r="AK138" s="387">
        <f t="shared" si="151"/>
        <v>0</v>
      </c>
      <c r="AL138" s="387">
        <f t="shared" si="152"/>
        <v>0</v>
      </c>
      <c r="AM138">
        <f t="shared" si="153"/>
        <v>0</v>
      </c>
      <c r="AN138" s="387">
        <f t="shared" si="154"/>
        <v>0</v>
      </c>
      <c r="AO138" s="387">
        <f t="shared" si="155"/>
        <v>6.0820509796284865</v>
      </c>
      <c r="AP138" s="387">
        <f t="shared" si="156"/>
        <v>7.0283553825719672E-2</v>
      </c>
      <c r="AQ138" s="387">
        <f t="shared" si="157"/>
        <v>0</v>
      </c>
      <c r="AR138" s="387">
        <f t="shared" si="158"/>
        <v>7.1285594813737627E-2</v>
      </c>
      <c r="AS138" s="387">
        <f t="shared" si="159"/>
        <v>7.0283553825719672E-2</v>
      </c>
      <c r="AT138" s="387">
        <f t="shared" si="160"/>
        <v>0</v>
      </c>
      <c r="AU138" s="387">
        <f t="shared" si="161"/>
        <v>0.24301992960000005</v>
      </c>
      <c r="AV138" s="387">
        <f t="shared" si="162"/>
        <v>8.8674898450975412E-2</v>
      </c>
      <c r="AW138" s="387">
        <f t="shared" si="163"/>
        <v>0</v>
      </c>
      <c r="AX138" s="387">
        <f t="shared" si="164"/>
        <v>3.6000000000000004E-2</v>
      </c>
      <c r="AY138" s="387">
        <f t="shared" si="165"/>
        <v>5.9136000000000001E-2</v>
      </c>
      <c r="AZ138" s="387">
        <f t="shared" si="166"/>
        <v>7.3471999999999996E-2</v>
      </c>
      <c r="BA138" s="387">
        <f t="shared" si="123"/>
        <v>9.5135999999999998E-2</v>
      </c>
      <c r="BB138" s="387">
        <f t="shared" si="124"/>
        <v>1.3721225017302421</v>
      </c>
      <c r="BC138">
        <f t="shared" si="167"/>
        <v>72</v>
      </c>
      <c r="BD138" s="606">
        <f t="shared" si="125"/>
        <v>0.9812991303107268</v>
      </c>
      <c r="BE138" s="616">
        <f t="shared" si="168"/>
        <v>23.815073350643829</v>
      </c>
      <c r="BF138" s="616">
        <f t="shared" si="169"/>
        <v>8.6442737967237342</v>
      </c>
      <c r="BG138" s="9"/>
      <c r="BH138" s="4">
        <f t="shared" si="126"/>
        <v>98.129913031072675</v>
      </c>
      <c r="BI138" s="387">
        <f t="shared" si="127"/>
        <v>0.44537373409499648</v>
      </c>
      <c r="BJ138" s="387">
        <f t="shared" si="128"/>
        <v>0.72047253776108888</v>
      </c>
      <c r="BK138" s="387">
        <f t="shared" si="129"/>
        <v>0.25308205270247469</v>
      </c>
      <c r="BL138" s="387">
        <f t="shared" si="130"/>
        <v>8.8674898450975412E-2</v>
      </c>
    </row>
    <row r="139" spans="7:64" x14ac:dyDescent="0.2">
      <c r="G139">
        <v>130</v>
      </c>
      <c r="H139" s="612">
        <f t="shared" si="131"/>
        <v>17.350000000000001</v>
      </c>
      <c r="I139" s="4" t="str">
        <f t="shared" si="132"/>
        <v>BUCK</v>
      </c>
      <c r="J139">
        <f t="shared" si="170"/>
        <v>1</v>
      </c>
      <c r="K139">
        <f t="shared" si="133"/>
        <v>6</v>
      </c>
      <c r="L139" s="4">
        <f t="shared" si="134"/>
        <v>4.3227665706051868</v>
      </c>
      <c r="M139" s="4">
        <f t="shared" si="135"/>
        <v>6</v>
      </c>
      <c r="N139" s="387">
        <f t="shared" si="136"/>
        <v>0.69652833659041269</v>
      </c>
      <c r="O139" s="387">
        <f t="shared" si="171"/>
        <v>0</v>
      </c>
      <c r="P139" s="4">
        <f t="shared" si="137"/>
        <v>3.4930949007694361</v>
      </c>
      <c r="Q139" s="387">
        <f t="shared" si="138"/>
        <v>6.0841440919942436</v>
      </c>
      <c r="R139" s="387">
        <f t="shared" si="116"/>
        <v>0.22611854579911889</v>
      </c>
      <c r="S139" s="387">
        <f t="shared" si="117"/>
        <v>0.22591904183004199</v>
      </c>
      <c r="T139" s="387">
        <f t="shared" si="118"/>
        <v>0.45203758762916091</v>
      </c>
      <c r="U139" s="4">
        <f t="shared" si="139"/>
        <v>1.0083696406320715</v>
      </c>
      <c r="V139" s="387">
        <f t="shared" si="119"/>
        <v>7.1176653250391714E-3</v>
      </c>
      <c r="W139" s="387">
        <f t="shared" si="120"/>
        <v>7.1176653250391714E-3</v>
      </c>
      <c r="X139" s="387">
        <f t="shared" si="140"/>
        <v>2.7972285887328083</v>
      </c>
      <c r="Y139" s="387">
        <f t="shared" si="121"/>
        <v>1.5648975555248277E-2</v>
      </c>
      <c r="Z139" s="605">
        <f t="shared" si="122"/>
        <v>1.5648975555248277E-2</v>
      </c>
      <c r="AA139" s="387">
        <f t="shared" si="141"/>
        <v>5.0777215983161019</v>
      </c>
      <c r="AB139" s="387">
        <f t="shared" si="142"/>
        <v>0.14696456279103323</v>
      </c>
      <c r="AC139" s="387">
        <f t="shared" si="143"/>
        <v>7.9155429555236731E-2</v>
      </c>
      <c r="AD139">
        <f t="shared" si="144"/>
        <v>0</v>
      </c>
      <c r="AE139" s="387">
        <f t="shared" si="145"/>
        <v>0.23296758829800962</v>
      </c>
      <c r="AF139" s="387">
        <f t="shared" si="146"/>
        <v>3.3516492510617253</v>
      </c>
      <c r="AG139" s="387">
        <f t="shared" si="147"/>
        <v>6.4031250402212955E-2</v>
      </c>
      <c r="AH139" s="387">
        <f t="shared" si="148"/>
        <v>0.10752</v>
      </c>
      <c r="AI139" s="387">
        <f t="shared" si="149"/>
        <v>0.17377667799881433</v>
      </c>
      <c r="AJ139" s="387">
        <f t="shared" si="150"/>
        <v>0</v>
      </c>
      <c r="AK139" s="387">
        <f t="shared" si="151"/>
        <v>0</v>
      </c>
      <c r="AL139" s="387">
        <f t="shared" si="152"/>
        <v>0</v>
      </c>
      <c r="AM139">
        <f t="shared" si="153"/>
        <v>0</v>
      </c>
      <c r="AN139" s="387">
        <f t="shared" si="154"/>
        <v>0</v>
      </c>
      <c r="AO139" s="387">
        <f t="shared" si="155"/>
        <v>6.0841440919942436</v>
      </c>
      <c r="AP139" s="387">
        <f t="shared" si="156"/>
        <v>7.0331937731082067E-2</v>
      </c>
      <c r="AQ139" s="387">
        <f t="shared" si="157"/>
        <v>0</v>
      </c>
      <c r="AR139" s="387">
        <f t="shared" si="158"/>
        <v>7.1335368672582833E-2</v>
      </c>
      <c r="AS139" s="387">
        <f t="shared" si="159"/>
        <v>7.0331937731082067E-2</v>
      </c>
      <c r="AT139" s="387">
        <f t="shared" si="160"/>
        <v>0</v>
      </c>
      <c r="AU139" s="387">
        <f t="shared" si="161"/>
        <v>0.24436056960000002</v>
      </c>
      <c r="AV139" s="387">
        <f t="shared" si="162"/>
        <v>8.9868421617140995E-2</v>
      </c>
      <c r="AW139" s="387">
        <f t="shared" si="163"/>
        <v>0</v>
      </c>
      <c r="AX139" s="387">
        <f t="shared" si="164"/>
        <v>3.6000000000000004E-2</v>
      </c>
      <c r="AY139" s="387">
        <f t="shared" si="165"/>
        <v>5.9136000000000001E-2</v>
      </c>
      <c r="AZ139" s="387">
        <f t="shared" si="166"/>
        <v>7.3471999999999996E-2</v>
      </c>
      <c r="BA139" s="387">
        <f t="shared" si="123"/>
        <v>9.5135999999999998E-2</v>
      </c>
      <c r="BB139" s="387">
        <f t="shared" si="124"/>
        <v>1.3822488546959961</v>
      </c>
      <c r="BC139">
        <f t="shared" si="167"/>
        <v>72</v>
      </c>
      <c r="BD139" s="606">
        <f t="shared" si="125"/>
        <v>0.98116371634463007</v>
      </c>
      <c r="BE139" s="616">
        <f t="shared" si="168"/>
        <v>23.866407894900483</v>
      </c>
      <c r="BF139" s="616">
        <f t="shared" si="169"/>
        <v>8.6888338999407164</v>
      </c>
      <c r="BG139" s="9"/>
      <c r="BH139" s="4">
        <f t="shared" si="126"/>
        <v>98.116371634463007</v>
      </c>
      <c r="BI139" s="387">
        <f t="shared" si="127"/>
        <v>0.45203758762916091</v>
      </c>
      <c r="BJ139" s="387">
        <f t="shared" si="128"/>
        <v>0.72244020456940672</v>
      </c>
      <c r="BK139" s="387">
        <f t="shared" si="129"/>
        <v>0.25441566596681431</v>
      </c>
      <c r="BL139" s="387">
        <f t="shared" si="130"/>
        <v>8.9868421617140995E-2</v>
      </c>
    </row>
    <row r="140" spans="7:64" x14ac:dyDescent="0.2">
      <c r="G140">
        <v>131</v>
      </c>
      <c r="H140" s="612">
        <f t="shared" si="131"/>
        <v>17.445</v>
      </c>
      <c r="I140" s="4" t="str">
        <f t="shared" si="132"/>
        <v>BUCK</v>
      </c>
      <c r="J140">
        <f t="shared" si="170"/>
        <v>1</v>
      </c>
      <c r="K140">
        <f t="shared" si="133"/>
        <v>6</v>
      </c>
      <c r="L140" s="4">
        <f t="shared" si="134"/>
        <v>4.2992261392949267</v>
      </c>
      <c r="M140" s="4">
        <f t="shared" si="135"/>
        <v>6</v>
      </c>
      <c r="N140" s="387">
        <f t="shared" si="136"/>
        <v>0.69274566969645002</v>
      </c>
      <c r="O140" s="387">
        <f t="shared" si="171"/>
        <v>0</v>
      </c>
      <c r="P140" s="4">
        <f t="shared" si="137"/>
        <v>3.5366350925954411</v>
      </c>
      <c r="Q140" s="387">
        <f t="shared" si="138"/>
        <v>6.0862398612099957</v>
      </c>
      <c r="R140" s="387">
        <f t="shared" si="116"/>
        <v>0.22627717250406817</v>
      </c>
      <c r="S140" s="387">
        <f t="shared" si="117"/>
        <v>0.23245990256646679</v>
      </c>
      <c r="T140" s="387">
        <f t="shared" si="118"/>
        <v>0.45873707507053496</v>
      </c>
      <c r="U140" s="4">
        <f t="shared" si="139"/>
        <v>1.0209386113677275</v>
      </c>
      <c r="V140" s="387">
        <f t="shared" si="119"/>
        <v>7.2962095372702462E-3</v>
      </c>
      <c r="W140" s="387">
        <f t="shared" si="120"/>
        <v>7.2962095372702462E-3</v>
      </c>
      <c r="X140" s="387">
        <f t="shared" si="140"/>
        <v>2.8079216157169573</v>
      </c>
      <c r="Y140" s="387">
        <f t="shared" si="121"/>
        <v>1.5768847600021056E-2</v>
      </c>
      <c r="Z140" s="605">
        <f t="shared" si="122"/>
        <v>1.5768847600021056E-2</v>
      </c>
      <c r="AA140" s="387">
        <f t="shared" si="141"/>
        <v>5.0656592622092891</v>
      </c>
      <c r="AB140" s="387">
        <f t="shared" si="142"/>
        <v>0.14626715143659852</v>
      </c>
      <c r="AC140" s="387">
        <f t="shared" si="143"/>
        <v>7.9588845451936854E-2</v>
      </c>
      <c r="AD140">
        <f t="shared" si="144"/>
        <v>0</v>
      </c>
      <c r="AE140" s="387">
        <f t="shared" si="145"/>
        <v>0.2326621632620178</v>
      </c>
      <c r="AF140" s="387">
        <f t="shared" si="146"/>
        <v>3.3736348183190645</v>
      </c>
      <c r="AG140" s="387">
        <f t="shared" si="147"/>
        <v>6.4874047758035833E-2</v>
      </c>
      <c r="AH140" s="387">
        <f t="shared" si="148"/>
        <v>0.10752</v>
      </c>
      <c r="AI140" s="387">
        <f t="shared" si="149"/>
        <v>0.17466023099138883</v>
      </c>
      <c r="AJ140" s="387">
        <f t="shared" si="150"/>
        <v>0</v>
      </c>
      <c r="AK140" s="387">
        <f t="shared" si="151"/>
        <v>0</v>
      </c>
      <c r="AL140" s="387">
        <f t="shared" si="152"/>
        <v>0</v>
      </c>
      <c r="AM140">
        <f t="shared" si="153"/>
        <v>0</v>
      </c>
      <c r="AN140" s="387">
        <f t="shared" si="154"/>
        <v>0</v>
      </c>
      <c r="AO140" s="387">
        <f t="shared" si="155"/>
        <v>6.0862398612099957</v>
      </c>
      <c r="AP140" s="387">
        <f t="shared" si="156"/>
        <v>7.0380399731544779E-2</v>
      </c>
      <c r="AQ140" s="387">
        <f t="shared" si="157"/>
        <v>0</v>
      </c>
      <c r="AR140" s="387">
        <f t="shared" si="158"/>
        <v>7.138522384943459E-2</v>
      </c>
      <c r="AS140" s="387">
        <f t="shared" si="159"/>
        <v>7.0380399731544779E-2</v>
      </c>
      <c r="AT140" s="387">
        <f t="shared" si="160"/>
        <v>0</v>
      </c>
      <c r="AU140" s="387">
        <f t="shared" si="161"/>
        <v>0.24570120960000003</v>
      </c>
      <c r="AV140" s="387">
        <f t="shared" si="162"/>
        <v>9.1051295098997662E-2</v>
      </c>
      <c r="AW140" s="387">
        <f t="shared" si="163"/>
        <v>0</v>
      </c>
      <c r="AX140" s="387">
        <f t="shared" si="164"/>
        <v>3.6000000000000004E-2</v>
      </c>
      <c r="AY140" s="387">
        <f t="shared" si="165"/>
        <v>5.9136000000000001E-2</v>
      </c>
      <c r="AZ140" s="387">
        <f t="shared" si="166"/>
        <v>7.3471999999999996E-2</v>
      </c>
      <c r="BA140" s="387">
        <f t="shared" si="123"/>
        <v>9.5135999999999998E-2</v>
      </c>
      <c r="BB140" s="387">
        <f t="shared" si="124"/>
        <v>1.3923982550096652</v>
      </c>
      <c r="BC140">
        <f t="shared" si="167"/>
        <v>72</v>
      </c>
      <c r="BD140" s="606">
        <f t="shared" si="125"/>
        <v>0.98102803167472974</v>
      </c>
      <c r="BE140" s="616">
        <f t="shared" si="168"/>
        <v>23.918168643100891</v>
      </c>
      <c r="BF140" s="616">
        <f t="shared" si="169"/>
        <v>8.7330115495694418</v>
      </c>
      <c r="BG140" s="9"/>
      <c r="BH140" s="4">
        <f t="shared" si="126"/>
        <v>98.10280316747297</v>
      </c>
      <c r="BI140" s="387">
        <f t="shared" si="127"/>
        <v>0.45873707507053496</v>
      </c>
      <c r="BJ140" s="387">
        <f t="shared" si="128"/>
        <v>0.72440882770284132</v>
      </c>
      <c r="BK140" s="387">
        <f t="shared" si="129"/>
        <v>0.25574163015938883</v>
      </c>
      <c r="BL140" s="387">
        <f t="shared" si="130"/>
        <v>9.1051295098997662E-2</v>
      </c>
    </row>
    <row r="141" spans="7:64" x14ac:dyDescent="0.2">
      <c r="G141">
        <v>132</v>
      </c>
      <c r="H141" s="612">
        <f t="shared" si="131"/>
        <v>17.54</v>
      </c>
      <c r="I141" s="4" t="str">
        <f t="shared" si="132"/>
        <v>BUCK</v>
      </c>
      <c r="J141">
        <f t="shared" si="170"/>
        <v>1</v>
      </c>
      <c r="K141">
        <f t="shared" si="133"/>
        <v>6</v>
      </c>
      <c r="L141" s="4">
        <f t="shared" si="134"/>
        <v>4.27594070695553</v>
      </c>
      <c r="M141" s="4">
        <f t="shared" si="135"/>
        <v>6</v>
      </c>
      <c r="N141" s="387">
        <f t="shared" si="136"/>
        <v>0.68900386627245858</v>
      </c>
      <c r="O141" s="387">
        <f t="shared" si="171"/>
        <v>0</v>
      </c>
      <c r="P141" s="4">
        <f t="shared" si="137"/>
        <v>3.5797049275618291</v>
      </c>
      <c r="Q141" s="387">
        <f t="shared" si="138"/>
        <v>6.0883378093450817</v>
      </c>
      <c r="R141" s="387">
        <f t="shared" si="116"/>
        <v>0.22643602280901845</v>
      </c>
      <c r="S141" s="387">
        <f t="shared" si="117"/>
        <v>0.23903424701982376</v>
      </c>
      <c r="T141" s="387">
        <f t="shared" si="118"/>
        <v>0.46547026982884221</v>
      </c>
      <c r="U141" s="4">
        <f t="shared" si="139"/>
        <v>1.033371801773626</v>
      </c>
      <c r="V141" s="387">
        <f t="shared" si="119"/>
        <v>7.4750009649060915E-3</v>
      </c>
      <c r="W141" s="387">
        <f t="shared" si="120"/>
        <v>7.4750009649060915E-3</v>
      </c>
      <c r="X141" s="387">
        <f t="shared" si="140"/>
        <v>2.8182989935137317</v>
      </c>
      <c r="Y141" s="387">
        <f t="shared" si="121"/>
        <v>1.5885618433681026E-2</v>
      </c>
      <c r="Z141" s="605">
        <f t="shared" si="122"/>
        <v>1.5885618433681026E-2</v>
      </c>
      <c r="AA141" s="387">
        <f t="shared" si="141"/>
        <v>5.0537013149610059</v>
      </c>
      <c r="AB141" s="387">
        <f t="shared" si="142"/>
        <v>0.14557741279078004</v>
      </c>
      <c r="AC141" s="387">
        <f t="shared" si="143"/>
        <v>8.0022261348637005E-2</v>
      </c>
      <c r="AD141">
        <f t="shared" si="144"/>
        <v>0</v>
      </c>
      <c r="AE141" s="387">
        <f t="shared" si="145"/>
        <v>0.23236509604030273</v>
      </c>
      <c r="AF141" s="387">
        <f t="shared" si="146"/>
        <v>3.3952850101077328</v>
      </c>
      <c r="AG141" s="387">
        <f t="shared" si="147"/>
        <v>6.5709373709214924E-2</v>
      </c>
      <c r="AH141" s="387">
        <f t="shared" si="148"/>
        <v>0.10752</v>
      </c>
      <c r="AI141" s="387">
        <f t="shared" si="149"/>
        <v>0.17553624910764049</v>
      </c>
      <c r="AJ141" s="387">
        <f t="shared" si="150"/>
        <v>0</v>
      </c>
      <c r="AK141" s="387">
        <f t="shared" si="151"/>
        <v>0</v>
      </c>
      <c r="AL141" s="387">
        <f t="shared" si="152"/>
        <v>0</v>
      </c>
      <c r="AM141">
        <f t="shared" si="153"/>
        <v>0</v>
      </c>
      <c r="AN141" s="387">
        <f t="shared" si="154"/>
        <v>0</v>
      </c>
      <c r="AO141" s="387">
        <f t="shared" si="155"/>
        <v>6.0883378093450817</v>
      </c>
      <c r="AP141" s="387">
        <f t="shared" si="156"/>
        <v>7.0428928833331655E-2</v>
      </c>
      <c r="AQ141" s="387">
        <f t="shared" si="157"/>
        <v>0</v>
      </c>
      <c r="AR141" s="387">
        <f t="shared" si="158"/>
        <v>7.1435149038903523E-2</v>
      </c>
      <c r="AS141" s="387">
        <f t="shared" si="159"/>
        <v>7.0428928833331655E-2</v>
      </c>
      <c r="AT141" s="387">
        <f t="shared" si="160"/>
        <v>0</v>
      </c>
      <c r="AU141" s="387">
        <f t="shared" si="161"/>
        <v>0.2470418496</v>
      </c>
      <c r="AV141" s="387">
        <f t="shared" si="162"/>
        <v>9.2223682398898138E-2</v>
      </c>
      <c r="AW141" s="387">
        <f t="shared" si="163"/>
        <v>0</v>
      </c>
      <c r="AX141" s="387">
        <f t="shared" si="164"/>
        <v>3.6000000000000004E-2</v>
      </c>
      <c r="AY141" s="387">
        <f t="shared" si="165"/>
        <v>5.9136000000000001E-2</v>
      </c>
      <c r="AZ141" s="387">
        <f t="shared" si="166"/>
        <v>7.3471999999999996E-2</v>
      </c>
      <c r="BA141" s="387">
        <f t="shared" si="123"/>
        <v>9.5135999999999998E-2</v>
      </c>
      <c r="BB141" s="387">
        <f t="shared" si="124"/>
        <v>1.4025689154131744</v>
      </c>
      <c r="BC141">
        <f t="shared" si="167"/>
        <v>72</v>
      </c>
      <c r="BD141" s="606">
        <f t="shared" si="125"/>
        <v>0.9808921004245853</v>
      </c>
      <c r="BE141" s="616">
        <f t="shared" si="168"/>
        <v>23.970347282015137</v>
      </c>
      <c r="BF141" s="616">
        <f t="shared" si="169"/>
        <v>8.776812455382025</v>
      </c>
      <c r="BG141" s="9"/>
      <c r="BH141" s="4">
        <f t="shared" si="126"/>
        <v>98.089210042458532</v>
      </c>
      <c r="BI141" s="387">
        <f t="shared" si="127"/>
        <v>0.46547026982884221</v>
      </c>
      <c r="BJ141" s="387">
        <f t="shared" si="128"/>
        <v>0.72637834378684674</v>
      </c>
      <c r="BK141" s="387">
        <f t="shared" si="129"/>
        <v>0.25706005947564048</v>
      </c>
      <c r="BL141" s="387">
        <f t="shared" si="130"/>
        <v>9.2223682398898138E-2</v>
      </c>
    </row>
    <row r="142" spans="7:64" x14ac:dyDescent="0.2">
      <c r="G142">
        <v>133</v>
      </c>
      <c r="H142" s="612">
        <f t="shared" si="131"/>
        <v>17.635000000000002</v>
      </c>
      <c r="I142" s="4" t="str">
        <f t="shared" si="132"/>
        <v>BUCK</v>
      </c>
      <c r="J142">
        <f t="shared" si="170"/>
        <v>1</v>
      </c>
      <c r="K142">
        <f t="shared" si="133"/>
        <v>6</v>
      </c>
      <c r="L142" s="4">
        <f t="shared" si="134"/>
        <v>4.2529061525375669</v>
      </c>
      <c r="M142" s="4">
        <f t="shared" si="135"/>
        <v>6</v>
      </c>
      <c r="N142" s="387">
        <f t="shared" si="136"/>
        <v>0.68530226771475433</v>
      </c>
      <c r="O142" s="387">
        <f t="shared" si="171"/>
        <v>0</v>
      </c>
      <c r="P142" s="4">
        <f t="shared" si="137"/>
        <v>3.6223119864922739</v>
      </c>
      <c r="Q142" s="387">
        <f t="shared" si="138"/>
        <v>6.0904374783171749</v>
      </c>
      <c r="R142" s="387">
        <f t="shared" si="116"/>
        <v>0.22659506219729886</v>
      </c>
      <c r="S142" s="387">
        <f t="shared" si="117"/>
        <v>0.24564024181387681</v>
      </c>
      <c r="T142" s="387">
        <f t="shared" si="118"/>
        <v>0.47223530401117564</v>
      </c>
      <c r="U142" s="4">
        <f t="shared" si="139"/>
        <v>1.0456714002450613</v>
      </c>
      <c r="V142" s="387">
        <f t="shared" si="119"/>
        <v>7.6540007410332714E-3</v>
      </c>
      <c r="W142" s="387">
        <f t="shared" si="120"/>
        <v>7.6540007410332714E-3</v>
      </c>
      <c r="X142" s="387">
        <f t="shared" si="140"/>
        <v>2.8283710311383676</v>
      </c>
      <c r="Y142" s="387">
        <f t="shared" si="121"/>
        <v>1.5999365379565426E-2</v>
      </c>
      <c r="Z142" s="605">
        <f t="shared" si="122"/>
        <v>1.5999365379565426E-2</v>
      </c>
      <c r="AA142" s="387">
        <f t="shared" si="141"/>
        <v>5.0418459704618757</v>
      </c>
      <c r="AB142" s="387">
        <f t="shared" si="142"/>
        <v>0.14489520150221713</v>
      </c>
      <c r="AC142" s="387">
        <f t="shared" si="143"/>
        <v>8.0455677245337143E-2</v>
      </c>
      <c r="AD142">
        <f t="shared" si="144"/>
        <v>0</v>
      </c>
      <c r="AE142" s="387">
        <f t="shared" si="145"/>
        <v>0.23207622502533831</v>
      </c>
      <c r="AF142" s="387">
        <f t="shared" si="146"/>
        <v>3.4166091212527974</v>
      </c>
      <c r="AG142" s="387">
        <f t="shared" si="147"/>
        <v>6.6537341958338533E-2</v>
      </c>
      <c r="AH142" s="387">
        <f t="shared" si="148"/>
        <v>0.10752</v>
      </c>
      <c r="AI142" s="387">
        <f t="shared" si="149"/>
        <v>0.17640484384190175</v>
      </c>
      <c r="AJ142" s="387">
        <f t="shared" si="150"/>
        <v>0</v>
      </c>
      <c r="AK142" s="387">
        <f t="shared" si="151"/>
        <v>0</v>
      </c>
      <c r="AL142" s="387">
        <f t="shared" si="152"/>
        <v>0</v>
      </c>
      <c r="AM142">
        <f t="shared" si="153"/>
        <v>0</v>
      </c>
      <c r="AN142" s="387">
        <f t="shared" si="154"/>
        <v>0</v>
      </c>
      <c r="AO142" s="387">
        <f t="shared" si="155"/>
        <v>6.0904374783171749</v>
      </c>
      <c r="AP142" s="387">
        <f t="shared" si="156"/>
        <v>7.0477514486851883E-2</v>
      </c>
      <c r="AQ142" s="387">
        <f t="shared" si="157"/>
        <v>0</v>
      </c>
      <c r="AR142" s="387">
        <f t="shared" si="158"/>
        <v>7.1485133391693406E-2</v>
      </c>
      <c r="AS142" s="387">
        <f t="shared" si="159"/>
        <v>7.0477514486851883E-2</v>
      </c>
      <c r="AT142" s="387">
        <f t="shared" si="160"/>
        <v>0</v>
      </c>
      <c r="AU142" s="387">
        <f t="shared" si="161"/>
        <v>0.24838248960000003</v>
      </c>
      <c r="AV142" s="387">
        <f t="shared" si="162"/>
        <v>9.3385743099422505E-2</v>
      </c>
      <c r="AW142" s="387">
        <f t="shared" si="163"/>
        <v>0</v>
      </c>
      <c r="AX142" s="387">
        <f t="shared" si="164"/>
        <v>3.6000000000000004E-2</v>
      </c>
      <c r="AY142" s="387">
        <f t="shared" si="165"/>
        <v>5.9136000000000001E-2</v>
      </c>
      <c r="AZ142" s="387">
        <f t="shared" si="166"/>
        <v>7.3471999999999996E-2</v>
      </c>
      <c r="BA142" s="387">
        <f t="shared" si="123"/>
        <v>9.5135999999999998E-2</v>
      </c>
      <c r="BB142" s="387">
        <f t="shared" si="124"/>
        <v>1.4127591050901303</v>
      </c>
      <c r="BC142">
        <f t="shared" si="167"/>
        <v>72</v>
      </c>
      <c r="BD142" s="606">
        <f t="shared" si="125"/>
        <v>0.98075594593757509</v>
      </c>
      <c r="BE142" s="616">
        <f t="shared" si="168"/>
        <v>24.022935731266916</v>
      </c>
      <c r="BF142" s="616">
        <f t="shared" si="169"/>
        <v>8.8202421920950869</v>
      </c>
      <c r="BG142" s="9"/>
      <c r="BH142" s="4">
        <f t="shared" si="126"/>
        <v>98.075594593757515</v>
      </c>
      <c r="BI142" s="387">
        <f t="shared" si="127"/>
        <v>0.47223530401117564</v>
      </c>
      <c r="BJ142" s="387">
        <f t="shared" si="128"/>
        <v>0.72834869185893347</v>
      </c>
      <c r="BK142" s="387">
        <f t="shared" si="129"/>
        <v>0.25837106540990173</v>
      </c>
      <c r="BL142" s="387">
        <f t="shared" si="130"/>
        <v>9.3385743099422505E-2</v>
      </c>
    </row>
    <row r="143" spans="7:64" x14ac:dyDescent="0.2">
      <c r="G143">
        <v>134</v>
      </c>
      <c r="H143" s="612">
        <f t="shared" si="131"/>
        <v>17.73</v>
      </c>
      <c r="I143" s="4" t="str">
        <f t="shared" si="132"/>
        <v>BUCK</v>
      </c>
      <c r="J143">
        <f t="shared" si="170"/>
        <v>1</v>
      </c>
      <c r="K143">
        <f t="shared" si="133"/>
        <v>6</v>
      </c>
      <c r="L143" s="4">
        <f t="shared" si="134"/>
        <v>4.230118443316413</v>
      </c>
      <c r="M143" s="4">
        <f t="shared" si="135"/>
        <v>6</v>
      </c>
      <c r="N143" s="387">
        <f t="shared" si="136"/>
        <v>0.68164022949713132</v>
      </c>
      <c r="O143" s="387">
        <f t="shared" si="171"/>
        <v>0</v>
      </c>
      <c r="P143" s="4">
        <f t="shared" si="137"/>
        <v>3.6644636881723636</v>
      </c>
      <c r="Q143" s="387">
        <f t="shared" si="138"/>
        <v>6.0925384291082763</v>
      </c>
      <c r="R143" s="387">
        <f t="shared" si="116"/>
        <v>0.22675425754590922</v>
      </c>
      <c r="S143" s="387">
        <f t="shared" si="117"/>
        <v>0.25227610930041255</v>
      </c>
      <c r="T143" s="387">
        <f t="shared" si="118"/>
        <v>0.47903036684632178</v>
      </c>
      <c r="U143" s="4">
        <f t="shared" si="139"/>
        <v>1.0578395484009615</v>
      </c>
      <c r="V143" s="387">
        <f t="shared" si="119"/>
        <v>7.833171571128051E-3</v>
      </c>
      <c r="W143" s="387">
        <f t="shared" si="120"/>
        <v>7.833171571128051E-3</v>
      </c>
      <c r="X143" s="387">
        <f t="shared" si="140"/>
        <v>2.8381475880110867</v>
      </c>
      <c r="Y143" s="387">
        <f t="shared" si="121"/>
        <v>1.6110163462666298E-2</v>
      </c>
      <c r="Z143" s="605">
        <f t="shared" si="122"/>
        <v>1.6110163462666298E-2</v>
      </c>
      <c r="AA143" s="387">
        <f t="shared" si="141"/>
        <v>5.0300914888116983</v>
      </c>
      <c r="AB143" s="387">
        <f t="shared" si="142"/>
        <v>0.14422037619915057</v>
      </c>
      <c r="AC143" s="387">
        <f t="shared" si="143"/>
        <v>8.0889093142037294E-2</v>
      </c>
      <c r="AD143">
        <f t="shared" si="144"/>
        <v>0</v>
      </c>
      <c r="AE143" s="387">
        <f t="shared" si="145"/>
        <v>0.23179539310001057</v>
      </c>
      <c r="AF143" s="387">
        <f t="shared" si="146"/>
        <v>3.4376160524912112</v>
      </c>
      <c r="AG143" s="387">
        <f t="shared" si="147"/>
        <v>6.7358063508767968E-2</v>
      </c>
      <c r="AH143" s="387">
        <f t="shared" si="148"/>
        <v>0.10752</v>
      </c>
      <c r="AI143" s="387">
        <f t="shared" si="149"/>
        <v>0.1772661240774808</v>
      </c>
      <c r="AJ143" s="387">
        <f t="shared" si="150"/>
        <v>0</v>
      </c>
      <c r="AK143" s="387">
        <f t="shared" si="151"/>
        <v>0</v>
      </c>
      <c r="AL143" s="387">
        <f t="shared" si="152"/>
        <v>0</v>
      </c>
      <c r="AM143">
        <f t="shared" si="153"/>
        <v>0</v>
      </c>
      <c r="AN143" s="387">
        <f t="shared" si="154"/>
        <v>0</v>
      </c>
      <c r="AO143" s="387">
        <f t="shared" si="155"/>
        <v>6.0925384291082763</v>
      </c>
      <c r="AP143" s="387">
        <f t="shared" si="156"/>
        <v>7.052614656930617E-2</v>
      </c>
      <c r="AQ143" s="387">
        <f t="shared" si="157"/>
        <v>0</v>
      </c>
      <c r="AR143" s="387">
        <f t="shared" si="158"/>
        <v>7.1535166496748043E-2</v>
      </c>
      <c r="AS143" s="387">
        <f t="shared" si="159"/>
        <v>7.052614656930617E-2</v>
      </c>
      <c r="AT143" s="387">
        <f t="shared" si="160"/>
        <v>0</v>
      </c>
      <c r="AU143" s="387">
        <f t="shared" si="161"/>
        <v>0.24972312960000001</v>
      </c>
      <c r="AV143" s="387">
        <f t="shared" si="162"/>
        <v>9.4537632994762061E-2</v>
      </c>
      <c r="AW143" s="387">
        <f t="shared" si="163"/>
        <v>0</v>
      </c>
      <c r="AX143" s="387">
        <f t="shared" si="164"/>
        <v>3.6000000000000004E-2</v>
      </c>
      <c r="AY143" s="387">
        <f t="shared" si="165"/>
        <v>5.9136000000000001E-2</v>
      </c>
      <c r="AZ143" s="387">
        <f t="shared" si="166"/>
        <v>7.3471999999999996E-2</v>
      </c>
      <c r="BA143" s="387">
        <f t="shared" si="123"/>
        <v>9.5135999999999998E-2</v>
      </c>
      <c r="BB143" s="387">
        <f t="shared" si="124"/>
        <v>1.4229671481491175</v>
      </c>
      <c r="BC143">
        <f t="shared" si="167"/>
        <v>72</v>
      </c>
      <c r="BD143" s="606">
        <f t="shared" si="125"/>
        <v>0.98061959079809558</v>
      </c>
      <c r="BE143" s="616">
        <f t="shared" si="168"/>
        <v>24.075926135000529</v>
      </c>
      <c r="BF143" s="616">
        <f t="shared" si="169"/>
        <v>8.8633062038740391</v>
      </c>
      <c r="BG143" s="9"/>
      <c r="BH143" s="4">
        <f t="shared" si="126"/>
        <v>98.061959079809554</v>
      </c>
      <c r="BI143" s="387">
        <f t="shared" si="127"/>
        <v>0.47903036684632178</v>
      </c>
      <c r="BJ143" s="387">
        <f t="shared" si="128"/>
        <v>0.73031981327423945</v>
      </c>
      <c r="BK143" s="387">
        <f t="shared" si="129"/>
        <v>0.2596747568454808</v>
      </c>
      <c r="BL143" s="387">
        <f t="shared" si="130"/>
        <v>9.4537632994762061E-2</v>
      </c>
    </row>
    <row r="144" spans="7:64" x14ac:dyDescent="0.2">
      <c r="G144">
        <v>135</v>
      </c>
      <c r="H144" s="612">
        <f t="shared" si="131"/>
        <v>17.825000000000003</v>
      </c>
      <c r="I144" s="4" t="str">
        <f t="shared" si="132"/>
        <v>BUCK</v>
      </c>
      <c r="J144">
        <f t="shared" si="170"/>
        <v>1</v>
      </c>
      <c r="K144">
        <f t="shared" si="133"/>
        <v>6</v>
      </c>
      <c r="L144" s="4">
        <f t="shared" si="134"/>
        <v>4.2075736325385691</v>
      </c>
      <c r="M144" s="4">
        <f t="shared" si="135"/>
        <v>6</v>
      </c>
      <c r="N144" s="387">
        <f t="shared" si="136"/>
        <v>0.67801712079673249</v>
      </c>
      <c r="O144" s="387">
        <f t="shared" si="171"/>
        <v>0</v>
      </c>
      <c r="P144" s="4">
        <f t="shared" si="137"/>
        <v>3.7061672936560015</v>
      </c>
      <c r="Q144" s="387">
        <f t="shared" si="138"/>
        <v>6.0946402410134475</v>
      </c>
      <c r="R144" s="387">
        <f t="shared" si="116"/>
        <v>0.22691357707113571</v>
      </c>
      <c r="S144" s="387">
        <f t="shared" si="117"/>
        <v>0.2589401260657006</v>
      </c>
      <c r="T144" s="387">
        <f t="shared" si="118"/>
        <v>0.48585370313683629</v>
      </c>
      <c r="U144" s="4">
        <f t="shared" si="139"/>
        <v>1.0698783423270397</v>
      </c>
      <c r="V144" s="387">
        <f t="shared" si="119"/>
        <v>8.0124776716631804E-3</v>
      </c>
      <c r="W144" s="387">
        <f t="shared" si="120"/>
        <v>8.0124776716631804E-3</v>
      </c>
      <c r="X144" s="387">
        <f t="shared" si="140"/>
        <v>2.8476380995523418</v>
      </c>
      <c r="Y144" s="387">
        <f t="shared" si="121"/>
        <v>1.6218085492044145E-2</v>
      </c>
      <c r="Z144" s="605">
        <f t="shared" si="122"/>
        <v>1.6218085492044145E-2</v>
      </c>
      <c r="AA144" s="387">
        <f t="shared" si="141"/>
        <v>5.0184361747768991</v>
      </c>
      <c r="AB144" s="387">
        <f t="shared" si="142"/>
        <v>0.14355279934976356</v>
      </c>
      <c r="AC144" s="387">
        <f t="shared" si="143"/>
        <v>8.1322509038737445E-2</v>
      </c>
      <c r="AD144">
        <f t="shared" si="144"/>
        <v>0</v>
      </c>
      <c r="AE144" s="387">
        <f t="shared" si="145"/>
        <v>0.23152244747805778</v>
      </c>
      <c r="AF144" s="387">
        <f t="shared" si="146"/>
        <v>3.4583143331789636</v>
      </c>
      <c r="AG144" s="387">
        <f t="shared" si="147"/>
        <v>6.8171646754305038E-2</v>
      </c>
      <c r="AH144" s="387">
        <f t="shared" si="148"/>
        <v>0.10752</v>
      </c>
      <c r="AI144" s="387">
        <f t="shared" si="149"/>
        <v>0.17812019617296723</v>
      </c>
      <c r="AJ144" s="387">
        <f t="shared" si="150"/>
        <v>0</v>
      </c>
      <c r="AK144" s="387">
        <f t="shared" si="151"/>
        <v>0</v>
      </c>
      <c r="AL144" s="387">
        <f t="shared" si="152"/>
        <v>0</v>
      </c>
      <c r="AM144">
        <f t="shared" si="153"/>
        <v>0</v>
      </c>
      <c r="AN144" s="387">
        <f t="shared" si="154"/>
        <v>0</v>
      </c>
      <c r="AO144" s="387">
        <f t="shared" si="155"/>
        <v>6.0946402410134475</v>
      </c>
      <c r="AP144" s="387">
        <f t="shared" si="156"/>
        <v>7.0574815368022861E-2</v>
      </c>
      <c r="AQ144" s="387">
        <f t="shared" si="157"/>
        <v>0</v>
      </c>
      <c r="AR144" s="387">
        <f t="shared" si="158"/>
        <v>7.1585238364147999E-2</v>
      </c>
      <c r="AS144" s="387">
        <f t="shared" si="159"/>
        <v>7.0574815368022861E-2</v>
      </c>
      <c r="AT144" s="387">
        <f t="shared" si="160"/>
        <v>0</v>
      </c>
      <c r="AU144" s="387">
        <f t="shared" si="161"/>
        <v>0.25106376960000004</v>
      </c>
      <c r="AV144" s="387">
        <f t="shared" si="162"/>
        <v>9.567950421656847E-2</v>
      </c>
      <c r="AW144" s="387">
        <f t="shared" si="163"/>
        <v>0</v>
      </c>
      <c r="AX144" s="387">
        <f t="shared" si="164"/>
        <v>3.6000000000000004E-2</v>
      </c>
      <c r="AY144" s="387">
        <f t="shared" si="165"/>
        <v>5.9136000000000001E-2</v>
      </c>
      <c r="AZ144" s="387">
        <f t="shared" si="166"/>
        <v>7.3471999999999996E-2</v>
      </c>
      <c r="BA144" s="387">
        <f t="shared" si="123"/>
        <v>9.5135999999999998E-2</v>
      </c>
      <c r="BB144" s="387">
        <f t="shared" si="124"/>
        <v>1.433191422132285</v>
      </c>
      <c r="BC144">
        <f t="shared" si="167"/>
        <v>72</v>
      </c>
      <c r="BD144" s="606">
        <f t="shared" si="125"/>
        <v>0.98048305685240411</v>
      </c>
      <c r="BE144" s="616">
        <f t="shared" si="168"/>
        <v>24.12931085390289</v>
      </c>
      <c r="BF144" s="616">
        <f t="shared" si="169"/>
        <v>8.9060098086483617</v>
      </c>
      <c r="BG144" s="9"/>
      <c r="BH144" s="4">
        <f t="shared" si="126"/>
        <v>98.048305685240408</v>
      </c>
      <c r="BI144" s="387">
        <f t="shared" si="127"/>
        <v>0.48585370313683629</v>
      </c>
      <c r="BJ144" s="387">
        <f t="shared" si="128"/>
        <v>0.73229165161517296</v>
      </c>
      <c r="BK144" s="387">
        <f t="shared" si="129"/>
        <v>0.26097124014096723</v>
      </c>
      <c r="BL144" s="387">
        <f t="shared" si="130"/>
        <v>9.567950421656847E-2</v>
      </c>
    </row>
    <row r="145" spans="7:64" x14ac:dyDescent="0.2">
      <c r="G145">
        <v>136</v>
      </c>
      <c r="H145" s="612">
        <f t="shared" si="131"/>
        <v>17.920000000000002</v>
      </c>
      <c r="I145" s="4" t="str">
        <f t="shared" si="132"/>
        <v>BUCK</v>
      </c>
      <c r="J145">
        <f t="shared" si="170"/>
        <v>1</v>
      </c>
      <c r="K145">
        <f t="shared" si="133"/>
        <v>6</v>
      </c>
      <c r="L145" s="4">
        <f t="shared" si="134"/>
        <v>4.1852678571428568</v>
      </c>
      <c r="M145" s="4">
        <f t="shared" si="135"/>
        <v>6</v>
      </c>
      <c r="N145" s="387">
        <f t="shared" si="136"/>
        <v>0.67443232413178988</v>
      </c>
      <c r="O145" s="387">
        <f t="shared" si="171"/>
        <v>0</v>
      </c>
      <c r="P145" s="4">
        <f t="shared" si="137"/>
        <v>3.7474299104351689</v>
      </c>
      <c r="Q145" s="387">
        <f t="shared" si="138"/>
        <v>6.0967425109207847</v>
      </c>
      <c r="R145" s="387">
        <f t="shared" si="116"/>
        <v>0.22707299027643854</v>
      </c>
      <c r="S145" s="387">
        <f t="shared" si="117"/>
        <v>0.26563062146365946</v>
      </c>
      <c r="T145" s="387">
        <f t="shared" si="118"/>
        <v>0.49270361174009802</v>
      </c>
      <c r="U145" s="4">
        <f t="shared" si="139"/>
        <v>1.0817898337795</v>
      </c>
      <c r="V145" s="387">
        <f t="shared" si="119"/>
        <v>8.1918847112807478E-3</v>
      </c>
      <c r="W145" s="387">
        <f t="shared" si="120"/>
        <v>8.1918847112807478E-3</v>
      </c>
      <c r="X145" s="387">
        <f t="shared" si="140"/>
        <v>2.8568516009533647</v>
      </c>
      <c r="Y145" s="387">
        <f t="shared" si="121"/>
        <v>1.6323202139739607E-2</v>
      </c>
      <c r="Z145" s="605">
        <f t="shared" si="122"/>
        <v>1.6323202139739607E-2</v>
      </c>
      <c r="AA145" s="387">
        <f t="shared" si="141"/>
        <v>5.006878376309075</v>
      </c>
      <c r="AB145" s="387">
        <f t="shared" si="142"/>
        <v>0.14289233712836297</v>
      </c>
      <c r="AC145" s="387">
        <f t="shared" si="143"/>
        <v>8.1755924935437582E-2</v>
      </c>
      <c r="AD145">
        <f t="shared" si="144"/>
        <v>0</v>
      </c>
      <c r="AE145" s="387">
        <f t="shared" si="145"/>
        <v>0.23125723955126742</v>
      </c>
      <c r="AF145" s="387">
        <f t="shared" si="146"/>
        <v>3.4787121423476934</v>
      </c>
      <c r="AG145" s="387">
        <f t="shared" si="147"/>
        <v>6.8978197565108493E-2</v>
      </c>
      <c r="AH145" s="387">
        <f t="shared" si="148"/>
        <v>0.10752</v>
      </c>
      <c r="AI145" s="387">
        <f t="shared" si="149"/>
        <v>0.17896716404494029</v>
      </c>
      <c r="AJ145" s="387">
        <f t="shared" si="150"/>
        <v>0</v>
      </c>
      <c r="AK145" s="387">
        <f t="shared" si="151"/>
        <v>0</v>
      </c>
      <c r="AL145" s="387">
        <f t="shared" si="152"/>
        <v>0</v>
      </c>
      <c r="AM145">
        <f t="shared" si="153"/>
        <v>0</v>
      </c>
      <c r="AN145" s="387">
        <f t="shared" si="154"/>
        <v>0</v>
      </c>
      <c r="AO145" s="387">
        <f t="shared" si="155"/>
        <v>6.0967425109207847</v>
      </c>
      <c r="AP145" s="387">
        <f t="shared" si="156"/>
        <v>7.0623511564490482E-2</v>
      </c>
      <c r="AQ145" s="387">
        <f t="shared" si="157"/>
        <v>0</v>
      </c>
      <c r="AR145" s="387">
        <f t="shared" si="158"/>
        <v>7.1635339408722104E-2</v>
      </c>
      <c r="AS145" s="387">
        <f t="shared" si="159"/>
        <v>7.0623511564490482E-2</v>
      </c>
      <c r="AT145" s="387">
        <f t="shared" si="160"/>
        <v>0</v>
      </c>
      <c r="AU145" s="387">
        <f t="shared" si="161"/>
        <v>0.25240440960000005</v>
      </c>
      <c r="AV145" s="387">
        <f t="shared" si="162"/>
        <v>9.6811505354538224E-2</v>
      </c>
      <c r="AW145" s="387">
        <f t="shared" si="163"/>
        <v>0</v>
      </c>
      <c r="AX145" s="387">
        <f t="shared" si="164"/>
        <v>3.6000000000000004E-2</v>
      </c>
      <c r="AY145" s="387">
        <f t="shared" si="165"/>
        <v>5.9136000000000001E-2</v>
      </c>
      <c r="AZ145" s="387">
        <f t="shared" si="166"/>
        <v>7.3471999999999996E-2</v>
      </c>
      <c r="BA145" s="387">
        <f t="shared" si="123"/>
        <v>9.5135999999999998E-2</v>
      </c>
      <c r="BB145" s="387">
        <f t="shared" si="124"/>
        <v>1.4434303565505864</v>
      </c>
      <c r="BC145">
        <f t="shared" si="167"/>
        <v>72</v>
      </c>
      <c r="BD145" s="606">
        <f t="shared" si="125"/>
        <v>0.98034636522908747</v>
      </c>
      <c r="BE145" s="616">
        <f t="shared" si="168"/>
        <v>24.183082457563373</v>
      </c>
      <c r="BF145" s="616">
        <f t="shared" si="169"/>
        <v>8.9483582022470145</v>
      </c>
      <c r="BG145" s="9"/>
      <c r="BH145" s="4">
        <f t="shared" si="126"/>
        <v>98.034636522908741</v>
      </c>
      <c r="BI145" s="387">
        <f t="shared" si="127"/>
        <v>0.49270361174009802</v>
      </c>
      <c r="BJ145" s="387">
        <f t="shared" si="128"/>
        <v>0.73426415260492983</v>
      </c>
      <c r="BK145" s="387">
        <f t="shared" si="129"/>
        <v>0.2622606192129403</v>
      </c>
      <c r="BL145" s="387">
        <f t="shared" si="130"/>
        <v>9.6811505354538224E-2</v>
      </c>
    </row>
    <row r="146" spans="7:64" x14ac:dyDescent="0.2">
      <c r="G146">
        <v>137</v>
      </c>
      <c r="H146" s="612">
        <f t="shared" si="131"/>
        <v>18.015000000000001</v>
      </c>
      <c r="I146" s="4" t="str">
        <f t="shared" si="132"/>
        <v>BUCK</v>
      </c>
      <c r="J146">
        <f t="shared" si="170"/>
        <v>1</v>
      </c>
      <c r="K146">
        <f t="shared" si="133"/>
        <v>6</v>
      </c>
      <c r="L146" s="4">
        <f t="shared" si="134"/>
        <v>4.1631973355537051</v>
      </c>
      <c r="M146" s="4">
        <f t="shared" si="135"/>
        <v>6</v>
      </c>
      <c r="N146" s="387">
        <f t="shared" si="136"/>
        <v>0.67088523501079556</v>
      </c>
      <c r="O146" s="387">
        <f t="shared" si="171"/>
        <v>0</v>
      </c>
      <c r="P146" s="4">
        <f t="shared" si="137"/>
        <v>3.7882584964781327</v>
      </c>
      <c r="Q146" s="387">
        <f t="shared" si="138"/>
        <v>6.0988448526212649</v>
      </c>
      <c r="R146" s="387">
        <f t="shared" si="116"/>
        <v>0.22723246790251245</v>
      </c>
      <c r="S146" s="387">
        <f t="shared" si="117"/>
        <v>0.27234597617679973</v>
      </c>
      <c r="T146" s="387">
        <f t="shared" si="118"/>
        <v>0.49957844407931218</v>
      </c>
      <c r="U146" s="4">
        <f t="shared" si="139"/>
        <v>1.0935760313507685</v>
      </c>
      <c r="V146" s="387">
        <f t="shared" si="119"/>
        <v>8.3713597544142794E-3</v>
      </c>
      <c r="W146" s="387">
        <f t="shared" si="120"/>
        <v>8.3713597544142794E-3</v>
      </c>
      <c r="X146" s="387">
        <f t="shared" si="140"/>
        <v>2.8657967492789478</v>
      </c>
      <c r="Y146" s="387">
        <f t="shared" si="121"/>
        <v>1.6425582016355571E-2</v>
      </c>
      <c r="Z146" s="605">
        <f t="shared" si="122"/>
        <v>1.6425582016355571E-2</v>
      </c>
      <c r="AA146" s="387">
        <f t="shared" si="141"/>
        <v>4.9954164831218835</v>
      </c>
      <c r="AB146" s="387">
        <f t="shared" si="142"/>
        <v>0.1422388592871211</v>
      </c>
      <c r="AC146" s="387">
        <f t="shared" si="143"/>
        <v>8.2189340832137719E-2</v>
      </c>
      <c r="AD146">
        <f t="shared" si="144"/>
        <v>0</v>
      </c>
      <c r="AE146" s="387">
        <f t="shared" si="145"/>
        <v>0.23099962474310115</v>
      </c>
      <c r="AF146" s="387">
        <f t="shared" si="146"/>
        <v>3.4988173282552344</v>
      </c>
      <c r="AG146" s="387">
        <f t="shared" si="147"/>
        <v>6.9777819370044847E-2</v>
      </c>
      <c r="AH146" s="387">
        <f t="shared" si="148"/>
        <v>0.10752</v>
      </c>
      <c r="AI146" s="387">
        <f t="shared" si="149"/>
        <v>0.17980712924725714</v>
      </c>
      <c r="AJ146" s="387">
        <f t="shared" si="150"/>
        <v>0</v>
      </c>
      <c r="AK146" s="387">
        <f t="shared" si="151"/>
        <v>0</v>
      </c>
      <c r="AL146" s="387">
        <f t="shared" si="152"/>
        <v>0</v>
      </c>
      <c r="AM146">
        <f t="shared" si="153"/>
        <v>0</v>
      </c>
      <c r="AN146" s="387">
        <f t="shared" si="154"/>
        <v>0</v>
      </c>
      <c r="AO146" s="387">
        <f t="shared" si="155"/>
        <v>6.0988448526212649</v>
      </c>
      <c r="AP146" s="387">
        <f t="shared" si="156"/>
        <v>7.0672226219055306E-2</v>
      </c>
      <c r="AQ146" s="387">
        <f t="shared" si="157"/>
        <v>0</v>
      </c>
      <c r="AR146" s="387">
        <f t="shared" si="158"/>
        <v>7.1685460434341888E-2</v>
      </c>
      <c r="AS146" s="387">
        <f t="shared" si="159"/>
        <v>7.0672226219055306E-2</v>
      </c>
      <c r="AT146" s="387">
        <f t="shared" si="160"/>
        <v>0</v>
      </c>
      <c r="AU146" s="387">
        <f t="shared" si="161"/>
        <v>0.25374504959999999</v>
      </c>
      <c r="AV146" s="387">
        <f t="shared" si="162"/>
        <v>9.793378157199277E-2</v>
      </c>
      <c r="AW146" s="387">
        <f t="shared" si="163"/>
        <v>0</v>
      </c>
      <c r="AX146" s="387">
        <f t="shared" si="164"/>
        <v>3.6000000000000004E-2</v>
      </c>
      <c r="AY146" s="387">
        <f t="shared" si="165"/>
        <v>5.9136000000000001E-2</v>
      </c>
      <c r="AZ146" s="387">
        <f t="shared" si="166"/>
        <v>7.3471999999999996E-2</v>
      </c>
      <c r="BA146" s="387">
        <f t="shared" si="123"/>
        <v>9.5135999999999998E-2</v>
      </c>
      <c r="BB146" s="387">
        <f t="shared" si="124"/>
        <v>1.4536824314467749</v>
      </c>
      <c r="BC146">
        <f t="shared" si="167"/>
        <v>72</v>
      </c>
      <c r="BD146" s="606">
        <f t="shared" si="125"/>
        <v>0.98020953635914065</v>
      </c>
      <c r="BE146" s="616">
        <f t="shared" si="168"/>
        <v>24.237233717155057</v>
      </c>
      <c r="BF146" s="616">
        <f t="shared" si="169"/>
        <v>8.9903564623628576</v>
      </c>
      <c r="BG146" s="9"/>
      <c r="BH146" s="4">
        <f t="shared" si="126"/>
        <v>98.020953635914069</v>
      </c>
      <c r="BI146" s="387">
        <f t="shared" si="127"/>
        <v>0.49957844407931218</v>
      </c>
      <c r="BJ146" s="387">
        <f t="shared" si="128"/>
        <v>0.73623726402470013</v>
      </c>
      <c r="BK146" s="387">
        <f t="shared" si="129"/>
        <v>0.26354299561525713</v>
      </c>
      <c r="BL146" s="387">
        <f t="shared" si="130"/>
        <v>9.793378157199277E-2</v>
      </c>
    </row>
    <row r="147" spans="7:64" x14ac:dyDescent="0.2">
      <c r="G147">
        <v>138</v>
      </c>
      <c r="H147" s="612">
        <f t="shared" si="131"/>
        <v>18.11</v>
      </c>
      <c r="I147" s="4" t="str">
        <f t="shared" si="132"/>
        <v>BUCK</v>
      </c>
      <c r="J147">
        <f t="shared" si="170"/>
        <v>1</v>
      </c>
      <c r="K147">
        <f t="shared" si="133"/>
        <v>6</v>
      </c>
      <c r="L147" s="4">
        <f t="shared" si="134"/>
        <v>4.1413583655438986</v>
      </c>
      <c r="M147" s="4">
        <f t="shared" si="135"/>
        <v>6</v>
      </c>
      <c r="N147" s="387">
        <f t="shared" si="136"/>
        <v>0.66737526159268645</v>
      </c>
      <c r="O147" s="387">
        <f t="shared" si="171"/>
        <v>0</v>
      </c>
      <c r="P147" s="4">
        <f t="shared" si="137"/>
        <v>3.82865986414087</v>
      </c>
      <c r="Q147" s="387">
        <f t="shared" si="138"/>
        <v>6.1009468961471001</v>
      </c>
      <c r="R147" s="387">
        <f t="shared" si="116"/>
        <v>0.22739198187941703</v>
      </c>
      <c r="S147" s="387">
        <f t="shared" si="117"/>
        <v>0.27908462080578944</v>
      </c>
      <c r="T147" s="387">
        <f t="shared" si="118"/>
        <v>0.50647660268520645</v>
      </c>
      <c r="U147" s="4">
        <f t="shared" si="139"/>
        <v>1.1052389015986237</v>
      </c>
      <c r="V147" s="387">
        <f t="shared" si="119"/>
        <v>8.5508712072485255E-3</v>
      </c>
      <c r="W147" s="387">
        <f t="shared" si="120"/>
        <v>8.5508712072485255E-3</v>
      </c>
      <c r="X147" s="387">
        <f t="shared" si="140"/>
        <v>2.8744818440435522</v>
      </c>
      <c r="Y147" s="387">
        <f t="shared" si="121"/>
        <v>1.6525291743472042E-2</v>
      </c>
      <c r="Z147" s="605">
        <f t="shared" si="122"/>
        <v>1.6525291743472042E-2</v>
      </c>
      <c r="AA147" s="387">
        <f t="shared" si="141"/>
        <v>4.9840489253236653</v>
      </c>
      <c r="AB147" s="387">
        <f t="shared" si="142"/>
        <v>0.14159223903311391</v>
      </c>
      <c r="AC147" s="387">
        <f t="shared" si="143"/>
        <v>8.2622756728837857E-2</v>
      </c>
      <c r="AD147">
        <f t="shared" si="144"/>
        <v>0</v>
      </c>
      <c r="AE147" s="387">
        <f t="shared" si="145"/>
        <v>0.23074946236843863</v>
      </c>
      <c r="AF147" s="387">
        <f t="shared" si="146"/>
        <v>3.5186374265597409</v>
      </c>
      <c r="AG147" s="387">
        <f t="shared" si="147"/>
        <v>7.0570613235645646E-2</v>
      </c>
      <c r="AH147" s="387">
        <f t="shared" si="148"/>
        <v>0.10752</v>
      </c>
      <c r="AI147" s="387">
        <f t="shared" si="149"/>
        <v>0.18064019104708504</v>
      </c>
      <c r="AJ147" s="387">
        <f t="shared" si="150"/>
        <v>0</v>
      </c>
      <c r="AK147" s="387">
        <f t="shared" si="151"/>
        <v>0</v>
      </c>
      <c r="AL147" s="387">
        <f t="shared" si="152"/>
        <v>0</v>
      </c>
      <c r="AM147">
        <f t="shared" si="153"/>
        <v>0</v>
      </c>
      <c r="AN147" s="387">
        <f t="shared" si="154"/>
        <v>0</v>
      </c>
      <c r="AO147" s="387">
        <f t="shared" si="155"/>
        <v>6.1009468961471001</v>
      </c>
      <c r="AP147" s="387">
        <f t="shared" si="156"/>
        <v>7.0720950756253176E-2</v>
      </c>
      <c r="AQ147" s="387">
        <f t="shared" si="157"/>
        <v>0</v>
      </c>
      <c r="AR147" s="387">
        <f t="shared" si="158"/>
        <v>7.1735592618867083E-2</v>
      </c>
      <c r="AS147" s="387">
        <f t="shared" si="159"/>
        <v>7.0720950756253176E-2</v>
      </c>
      <c r="AT147" s="387">
        <f t="shared" si="160"/>
        <v>0</v>
      </c>
      <c r="AU147" s="387">
        <f t="shared" si="161"/>
        <v>0.2550856896</v>
      </c>
      <c r="AV147" s="387">
        <f t="shared" si="162"/>
        <v>9.9046474716695643E-2</v>
      </c>
      <c r="AW147" s="387">
        <f t="shared" si="163"/>
        <v>0</v>
      </c>
      <c r="AX147" s="387">
        <f t="shared" si="164"/>
        <v>3.6000000000000004E-2</v>
      </c>
      <c r="AY147" s="387">
        <f t="shared" si="165"/>
        <v>5.9136000000000001E-2</v>
      </c>
      <c r="AZ147" s="387">
        <f t="shared" si="166"/>
        <v>7.3471999999999996E-2</v>
      </c>
      <c r="BA147" s="387">
        <f t="shared" si="123"/>
        <v>9.5135999999999998E-2</v>
      </c>
      <c r="BB147" s="387">
        <f t="shared" si="124"/>
        <v>1.4639461759870134</v>
      </c>
      <c r="BC147">
        <f t="shared" si="167"/>
        <v>72</v>
      </c>
      <c r="BD147" s="606">
        <f t="shared" si="125"/>
        <v>0.98007258999564151</v>
      </c>
      <c r="BE147" s="616">
        <f t="shared" si="168"/>
        <v>24.291757598421931</v>
      </c>
      <c r="BF147" s="616">
        <f t="shared" si="169"/>
        <v>9.0320095523542516</v>
      </c>
      <c r="BG147" s="9"/>
      <c r="BH147" s="4">
        <f t="shared" si="126"/>
        <v>98.007258999564158</v>
      </c>
      <c r="BI147" s="387">
        <f t="shared" si="127"/>
        <v>0.50647660268520645</v>
      </c>
      <c r="BJ147" s="387">
        <f t="shared" si="128"/>
        <v>0.73821093563439077</v>
      </c>
      <c r="BK147" s="387">
        <f t="shared" si="129"/>
        <v>0.26481846861508507</v>
      </c>
      <c r="BL147" s="387">
        <f t="shared" si="130"/>
        <v>9.9046474716695643E-2</v>
      </c>
    </row>
    <row r="148" spans="7:64" x14ac:dyDescent="0.2">
      <c r="G148">
        <v>139</v>
      </c>
      <c r="H148" s="612">
        <f t="shared" si="131"/>
        <v>18.204999999999998</v>
      </c>
      <c r="I148" s="4" t="str">
        <f t="shared" si="132"/>
        <v>BUCK</v>
      </c>
      <c r="J148">
        <f t="shared" si="170"/>
        <v>1</v>
      </c>
      <c r="K148">
        <f t="shared" si="133"/>
        <v>6</v>
      </c>
      <c r="L148" s="4">
        <f t="shared" si="134"/>
        <v>4.1197473221642413</v>
      </c>
      <c r="M148" s="4">
        <f t="shared" si="135"/>
        <v>6</v>
      </c>
      <c r="N148" s="387">
        <f t="shared" si="136"/>
        <v>0.66390182435764</v>
      </c>
      <c r="O148" s="387">
        <f t="shared" si="171"/>
        <v>0</v>
      </c>
      <c r="P148" s="4">
        <f t="shared" si="137"/>
        <v>3.8686406839563534</v>
      </c>
      <c r="Q148" s="387">
        <f t="shared" si="138"/>
        <v>6.1030482871373541</v>
      </c>
      <c r="R148" s="387">
        <f t="shared" si="116"/>
        <v>0.22755150528068524</v>
      </c>
      <c r="S148" s="387">
        <f t="shared" si="117"/>
        <v>0.28584503448829324</v>
      </c>
      <c r="T148" s="387">
        <f t="shared" si="118"/>
        <v>0.51339653976897848</v>
      </c>
      <c r="U148" s="4">
        <f t="shared" si="139"/>
        <v>1.1167803701400694</v>
      </c>
      <c r="V148" s="387">
        <f t="shared" si="119"/>
        <v>8.730388765911333E-3</v>
      </c>
      <c r="W148" s="387">
        <f t="shared" si="120"/>
        <v>8.730388765911333E-3</v>
      </c>
      <c r="X148" s="387">
        <f t="shared" si="140"/>
        <v>2.882914846387902</v>
      </c>
      <c r="Y148" s="387">
        <f t="shared" si="121"/>
        <v>1.6622396023047561E-2</v>
      </c>
      <c r="Z148" s="605">
        <f t="shared" si="122"/>
        <v>1.6622396023047561E-2</v>
      </c>
      <c r="AA148" s="387">
        <f t="shared" si="141"/>
        <v>4.9727741721033238</v>
      </c>
      <c r="AB148" s="387">
        <f t="shared" si="142"/>
        <v>0.140952352910406</v>
      </c>
      <c r="AC148" s="387">
        <f t="shared" si="143"/>
        <v>8.3056172625537994E-2</v>
      </c>
      <c r="AD148">
        <f t="shared" si="144"/>
        <v>0</v>
      </c>
      <c r="AE148" s="387">
        <f t="shared" si="145"/>
        <v>0.23050661549914783</v>
      </c>
      <c r="AF148" s="387">
        <f t="shared" si="146"/>
        <v>3.5381796772340852</v>
      </c>
      <c r="AG148" s="387">
        <f t="shared" si="147"/>
        <v>7.1356677941836089E-2</v>
      </c>
      <c r="AH148" s="387">
        <f t="shared" si="148"/>
        <v>0.10752</v>
      </c>
      <c r="AI148" s="387">
        <f t="shared" si="149"/>
        <v>0.18146644649783519</v>
      </c>
      <c r="AJ148" s="387">
        <f t="shared" si="150"/>
        <v>0</v>
      </c>
      <c r="AK148" s="387">
        <f t="shared" si="151"/>
        <v>0</v>
      </c>
      <c r="AL148" s="387">
        <f t="shared" si="152"/>
        <v>0</v>
      </c>
      <c r="AM148">
        <f t="shared" si="153"/>
        <v>0</v>
      </c>
      <c r="AN148" s="387">
        <f t="shared" si="154"/>
        <v>0</v>
      </c>
      <c r="AO148" s="387">
        <f t="shared" si="155"/>
        <v>6.1030482871373541</v>
      </c>
      <c r="AP148" s="387">
        <f t="shared" si="156"/>
        <v>7.0769676950747359E-2</v>
      </c>
      <c r="AQ148" s="387">
        <f t="shared" si="157"/>
        <v>0</v>
      </c>
      <c r="AR148" s="387">
        <f t="shared" si="158"/>
        <v>7.1785727499713167E-2</v>
      </c>
      <c r="AS148" s="387">
        <f t="shared" si="159"/>
        <v>7.0769676950747359E-2</v>
      </c>
      <c r="AT148" s="387">
        <f t="shared" si="160"/>
        <v>0</v>
      </c>
      <c r="AU148" s="387">
        <f t="shared" si="161"/>
        <v>0.2564263296</v>
      </c>
      <c r="AV148" s="387">
        <f t="shared" si="162"/>
        <v>0.10014972342713838</v>
      </c>
      <c r="AW148" s="387">
        <f t="shared" si="163"/>
        <v>0</v>
      </c>
      <c r="AX148" s="387">
        <f t="shared" si="164"/>
        <v>3.6000000000000004E-2</v>
      </c>
      <c r="AY148" s="387">
        <f t="shared" si="165"/>
        <v>5.9136000000000001E-2</v>
      </c>
      <c r="AZ148" s="387">
        <f t="shared" si="166"/>
        <v>7.3471999999999996E-2</v>
      </c>
      <c r="BA148" s="387">
        <f t="shared" si="123"/>
        <v>9.5135999999999998E-2</v>
      </c>
      <c r="BB148" s="387">
        <f t="shared" si="124"/>
        <v>1.4742201670817721</v>
      </c>
      <c r="BC148">
        <f t="shared" si="167"/>
        <v>72</v>
      </c>
      <c r="BD148" s="606">
        <f t="shared" si="125"/>
        <v>0.97993554523301696</v>
      </c>
      <c r="BE148" s="616">
        <f t="shared" si="168"/>
        <v>24.346647254957393</v>
      </c>
      <c r="BF148" s="616">
        <f t="shared" si="169"/>
        <v>9.0733223248917589</v>
      </c>
      <c r="BG148" s="9"/>
      <c r="BH148" s="4">
        <f t="shared" si="126"/>
        <v>97.993554523301697</v>
      </c>
      <c r="BI148" s="387">
        <f t="shared" si="127"/>
        <v>0.51339653976897848</v>
      </c>
      <c r="BJ148" s="387">
        <f t="shared" si="128"/>
        <v>0.74018511909669615</v>
      </c>
      <c r="BK148" s="387">
        <f t="shared" si="129"/>
        <v>0.26608713526583522</v>
      </c>
      <c r="BL148" s="387">
        <f t="shared" si="130"/>
        <v>0.10014972342713838</v>
      </c>
    </row>
    <row r="149" spans="7:64" x14ac:dyDescent="0.2">
      <c r="G149">
        <v>140</v>
      </c>
      <c r="H149" s="612">
        <f t="shared" si="131"/>
        <v>18.299999999999997</v>
      </c>
      <c r="I149" s="4" t="str">
        <f t="shared" si="132"/>
        <v>BUCK</v>
      </c>
      <c r="J149">
        <f t="shared" si="170"/>
        <v>1</v>
      </c>
      <c r="K149">
        <f t="shared" si="133"/>
        <v>6</v>
      </c>
      <c r="L149" s="4">
        <f t="shared" si="134"/>
        <v>4.0983606557377055</v>
      </c>
      <c r="M149" s="4">
        <f t="shared" si="135"/>
        <v>6</v>
      </c>
      <c r="N149" s="387">
        <f t="shared" si="136"/>
        <v>0.66046435578809692</v>
      </c>
      <c r="O149" s="387">
        <f t="shared" si="171"/>
        <v>0</v>
      </c>
      <c r="P149" s="4">
        <f t="shared" si="137"/>
        <v>3.9082074883061213</v>
      </c>
      <c r="Q149" s="387">
        <f t="shared" si="138"/>
        <v>6.1051486862295992</v>
      </c>
      <c r="R149" s="387">
        <f t="shared" si="116"/>
        <v>0.22771101227932083</v>
      </c>
      <c r="S149" s="387">
        <f t="shared" si="117"/>
        <v>0.29262574354755344</v>
      </c>
      <c r="T149" s="387">
        <f t="shared" si="118"/>
        <v>0.52033675582687433</v>
      </c>
      <c r="U149" s="4">
        <f t="shared" si="139"/>
        <v>1.1282023227112252</v>
      </c>
      <c r="V149" s="387">
        <f t="shared" si="119"/>
        <v>8.9098833667970254E-3</v>
      </c>
      <c r="W149" s="387">
        <f t="shared" si="120"/>
        <v>8.9098833667970254E-3</v>
      </c>
      <c r="X149" s="387">
        <f t="shared" si="140"/>
        <v>2.8911033969708031</v>
      </c>
      <c r="Y149" s="387">
        <f t="shared" si="121"/>
        <v>1.6716957703952238E-2</v>
      </c>
      <c r="Z149" s="605">
        <f t="shared" si="122"/>
        <v>1.6716957703952238E-2</v>
      </c>
      <c r="AA149" s="387">
        <f t="shared" si="141"/>
        <v>4.9615907304670959</v>
      </c>
      <c r="AB149" s="387">
        <f t="shared" si="142"/>
        <v>0.14031908068694496</v>
      </c>
      <c r="AC149" s="387">
        <f t="shared" si="143"/>
        <v>8.3489588522238131E-2</v>
      </c>
      <c r="AD149">
        <f t="shared" si="144"/>
        <v>0</v>
      </c>
      <c r="AE149" s="387">
        <f t="shared" si="145"/>
        <v>0.23027095083520396</v>
      </c>
      <c r="AF149" s="387">
        <f t="shared" si="146"/>
        <v>3.5574510403256414</v>
      </c>
      <c r="AG149" s="387">
        <f t="shared" si="147"/>
        <v>7.2136110054589739E-2</v>
      </c>
      <c r="AH149" s="387">
        <f t="shared" si="148"/>
        <v>0.10752</v>
      </c>
      <c r="AI149" s="387">
        <f t="shared" si="149"/>
        <v>0.18228599050914529</v>
      </c>
      <c r="AJ149" s="387">
        <f t="shared" si="150"/>
        <v>0</v>
      </c>
      <c r="AK149" s="387">
        <f t="shared" si="151"/>
        <v>0</v>
      </c>
      <c r="AL149" s="387">
        <f t="shared" si="152"/>
        <v>0</v>
      </c>
      <c r="AM149">
        <f t="shared" si="153"/>
        <v>0</v>
      </c>
      <c r="AN149" s="387">
        <f t="shared" si="154"/>
        <v>0</v>
      </c>
      <c r="AO149" s="387">
        <f t="shared" si="155"/>
        <v>6.1051486862295992</v>
      </c>
      <c r="AP149" s="387">
        <f t="shared" si="156"/>
        <v>7.0818396913844894E-2</v>
      </c>
      <c r="AQ149" s="387">
        <f t="shared" si="157"/>
        <v>0</v>
      </c>
      <c r="AR149" s="387">
        <f t="shared" si="158"/>
        <v>7.1835856960012975E-2</v>
      </c>
      <c r="AS149" s="387">
        <f t="shared" si="159"/>
        <v>7.0818396913844894E-2</v>
      </c>
      <c r="AT149" s="387">
        <f t="shared" si="160"/>
        <v>0</v>
      </c>
      <c r="AU149" s="387">
        <f t="shared" si="161"/>
        <v>0.25776696959999995</v>
      </c>
      <c r="AV149" s="387">
        <f t="shared" si="162"/>
        <v>0.10124366323451192</v>
      </c>
      <c r="AW149" s="387">
        <f t="shared" si="163"/>
        <v>0</v>
      </c>
      <c r="AX149" s="387">
        <f t="shared" si="164"/>
        <v>3.6000000000000004E-2</v>
      </c>
      <c r="AY149" s="387">
        <f t="shared" si="165"/>
        <v>5.9136000000000001E-2</v>
      </c>
      <c r="AZ149" s="387">
        <f t="shared" si="166"/>
        <v>7.3471999999999996E-2</v>
      </c>
      <c r="BA149" s="387">
        <f t="shared" si="123"/>
        <v>9.5135999999999998E-2</v>
      </c>
      <c r="BB149" s="387">
        <f t="shared" si="124"/>
        <v>1.4845030280364977</v>
      </c>
      <c r="BC149">
        <f t="shared" si="167"/>
        <v>72</v>
      </c>
      <c r="BD149" s="606">
        <f t="shared" si="125"/>
        <v>0.97979842052588806</v>
      </c>
      <c r="BE149" s="616">
        <f t="shared" si="168"/>
        <v>24.401896021760194</v>
      </c>
      <c r="BF149" s="616">
        <f t="shared" si="169"/>
        <v>9.1142995254572643</v>
      </c>
      <c r="BG149" s="9"/>
      <c r="BH149" s="4">
        <f t="shared" si="126"/>
        <v>97.979842052588808</v>
      </c>
      <c r="BI149" s="387">
        <f t="shared" si="127"/>
        <v>0.52033675582687433</v>
      </c>
      <c r="BJ149" s="387">
        <f t="shared" si="128"/>
        <v>0.74215976790436222</v>
      </c>
      <c r="BK149" s="387">
        <f t="shared" si="129"/>
        <v>0.26734909047714528</v>
      </c>
      <c r="BL149" s="387">
        <f t="shared" si="130"/>
        <v>0.10124366323451192</v>
      </c>
    </row>
    <row r="150" spans="7:64" x14ac:dyDescent="0.2">
      <c r="G150">
        <v>141</v>
      </c>
      <c r="H150" s="612">
        <f t="shared" si="131"/>
        <v>18.395</v>
      </c>
      <c r="I150" s="4" t="str">
        <f t="shared" si="132"/>
        <v>BUCK</v>
      </c>
      <c r="J150">
        <f t="shared" si="170"/>
        <v>1</v>
      </c>
      <c r="K150">
        <f t="shared" si="133"/>
        <v>6</v>
      </c>
      <c r="L150" s="4">
        <f t="shared" si="134"/>
        <v>4.077194889915738</v>
      </c>
      <c r="M150" s="4">
        <f t="shared" si="135"/>
        <v>6</v>
      </c>
      <c r="N150" s="387">
        <f t="shared" si="136"/>
        <v>0.65706230005964328</v>
      </c>
      <c r="O150" s="387">
        <f t="shared" si="171"/>
        <v>0</v>
      </c>
      <c r="P150" s="4">
        <f t="shared" si="137"/>
        <v>3.9473666749783738</v>
      </c>
      <c r="Q150" s="387">
        <f t="shared" si="138"/>
        <v>6.1072477684764701</v>
      </c>
      <c r="R150" s="387">
        <f t="shared" si="116"/>
        <v>0.22787047810559918</v>
      </c>
      <c r="S150" s="387">
        <f t="shared" si="117"/>
        <v>0.29942532017103179</v>
      </c>
      <c r="T150" s="387">
        <f t="shared" si="118"/>
        <v>0.52729579827663098</v>
      </c>
      <c r="U150" s="4">
        <f t="shared" si="139"/>
        <v>1.1395066061944612</v>
      </c>
      <c r="V150" s="387">
        <f t="shared" si="119"/>
        <v>9.0893271389257332E-3</v>
      </c>
      <c r="W150" s="387">
        <f t="shared" si="120"/>
        <v>9.0893271389257332E-3</v>
      </c>
      <c r="X150" s="387">
        <f t="shared" si="140"/>
        <v>2.8990548326799228</v>
      </c>
      <c r="Y150" s="387">
        <f t="shared" si="121"/>
        <v>1.680903784576963E-2</v>
      </c>
      <c r="Z150" s="605">
        <f t="shared" si="122"/>
        <v>1.680903784576963E-2</v>
      </c>
      <c r="AA150" s="387">
        <f t="shared" si="141"/>
        <v>4.9504971440239816</v>
      </c>
      <c r="AB150" s="387">
        <f t="shared" si="142"/>
        <v>0.1396923052460407</v>
      </c>
      <c r="AC150" s="387">
        <f t="shared" si="143"/>
        <v>8.3923004418938296E-2</v>
      </c>
      <c r="AD150">
        <f t="shared" si="144"/>
        <v>0</v>
      </c>
      <c r="AE150" s="387">
        <f t="shared" si="145"/>
        <v>0.23004233858109571</v>
      </c>
      <c r="AF150" s="387">
        <f t="shared" si="146"/>
        <v>3.5764582106563498</v>
      </c>
      <c r="AG150" s="387">
        <f t="shared" si="147"/>
        <v>7.290900399565596E-2</v>
      </c>
      <c r="AH150" s="387">
        <f t="shared" si="148"/>
        <v>0.10752</v>
      </c>
      <c r="AI150" s="387">
        <f t="shared" si="149"/>
        <v>0.18309891591405156</v>
      </c>
      <c r="AJ150" s="387">
        <f t="shared" si="150"/>
        <v>0</v>
      </c>
      <c r="AK150" s="387">
        <f t="shared" si="151"/>
        <v>0</v>
      </c>
      <c r="AL150" s="387">
        <f t="shared" si="152"/>
        <v>0</v>
      </c>
      <c r="AM150">
        <f t="shared" si="153"/>
        <v>0</v>
      </c>
      <c r="AN150" s="387">
        <f t="shared" si="154"/>
        <v>0</v>
      </c>
      <c r="AO150" s="387">
        <f t="shared" si="155"/>
        <v>6.1072477684764701</v>
      </c>
      <c r="AP150" s="387">
        <f t="shared" si="156"/>
        <v>7.0867103080565555E-2</v>
      </c>
      <c r="AQ150" s="387">
        <f t="shared" si="157"/>
        <v>0</v>
      </c>
      <c r="AR150" s="387">
        <f t="shared" si="158"/>
        <v>7.1885973215345289E-2</v>
      </c>
      <c r="AS150" s="387">
        <f t="shared" si="159"/>
        <v>7.0867103080565555E-2</v>
      </c>
      <c r="AT150" s="387">
        <f t="shared" si="160"/>
        <v>0</v>
      </c>
      <c r="AU150" s="387">
        <f t="shared" si="161"/>
        <v>0.25910760960000001</v>
      </c>
      <c r="AV150" s="387">
        <f t="shared" si="162"/>
        <v>0.10232842666056977</v>
      </c>
      <c r="AW150" s="387">
        <f t="shared" si="163"/>
        <v>0</v>
      </c>
      <c r="AX150" s="387">
        <f t="shared" si="164"/>
        <v>3.6000000000000004E-2</v>
      </c>
      <c r="AY150" s="387">
        <f t="shared" si="165"/>
        <v>5.9136000000000001E-2</v>
      </c>
      <c r="AZ150" s="387">
        <f t="shared" si="166"/>
        <v>7.3471999999999996E-2</v>
      </c>
      <c r="BA150" s="387">
        <f t="shared" si="123"/>
        <v>9.5135999999999998E-2</v>
      </c>
      <c r="BB150" s="387">
        <f t="shared" si="124"/>
        <v>1.4947934272323888</v>
      </c>
      <c r="BC150">
        <f t="shared" si="167"/>
        <v>72</v>
      </c>
      <c r="BD150" s="606">
        <f t="shared" si="125"/>
        <v>0.97966123370749525</v>
      </c>
      <c r="BE150" s="616">
        <f t="shared" si="168"/>
        <v>24.457497409054785</v>
      </c>
      <c r="BF150" s="616">
        <f t="shared" si="169"/>
        <v>9.1549457957025773</v>
      </c>
      <c r="BG150" s="9"/>
      <c r="BH150" s="4">
        <f t="shared" si="126"/>
        <v>97.966123370749528</v>
      </c>
      <c r="BI150" s="387">
        <f t="shared" si="127"/>
        <v>0.52729579827663098</v>
      </c>
      <c r="BJ150" s="387">
        <f t="shared" si="128"/>
        <v>0.74413483731049257</v>
      </c>
      <c r="BK150" s="387">
        <f t="shared" si="129"/>
        <v>0.26860442708205157</v>
      </c>
      <c r="BL150" s="387">
        <f t="shared" si="130"/>
        <v>0.10232842666056977</v>
      </c>
    </row>
    <row r="151" spans="7:64" x14ac:dyDescent="0.2">
      <c r="G151">
        <v>142</v>
      </c>
      <c r="H151" s="612">
        <f t="shared" si="131"/>
        <v>18.489999999999998</v>
      </c>
      <c r="I151" s="4" t="str">
        <f t="shared" si="132"/>
        <v>BUCK</v>
      </c>
      <c r="J151">
        <f t="shared" si="170"/>
        <v>1</v>
      </c>
      <c r="K151">
        <f t="shared" si="133"/>
        <v>6</v>
      </c>
      <c r="L151" s="4">
        <f t="shared" si="134"/>
        <v>4.056246619794484</v>
      </c>
      <c r="M151" s="4">
        <f t="shared" si="135"/>
        <v>6</v>
      </c>
      <c r="N151" s="387">
        <f t="shared" si="136"/>
        <v>0.65369511274139613</v>
      </c>
      <c r="O151" s="387">
        <f t="shared" si="171"/>
        <v>0</v>
      </c>
      <c r="P151" s="4">
        <f t="shared" si="137"/>
        <v>3.9861245106166545</v>
      </c>
      <c r="Q151" s="387">
        <f t="shared" si="138"/>
        <v>6.1093452227860094</v>
      </c>
      <c r="R151" s="387">
        <f t="shared" si="116"/>
        <v>0.22802987900659114</v>
      </c>
      <c r="S151" s="387">
        <f t="shared" si="117"/>
        <v>0.30624238111928909</v>
      </c>
      <c r="T151" s="387">
        <f t="shared" si="118"/>
        <v>0.53427226012588025</v>
      </c>
      <c r="U151" s="4">
        <f t="shared" si="139"/>
        <v>1.1506950296139455</v>
      </c>
      <c r="V151" s="387">
        <f t="shared" si="119"/>
        <v>9.2686933582476743E-3</v>
      </c>
      <c r="W151" s="387">
        <f t="shared" si="120"/>
        <v>9.2686933582476743E-3</v>
      </c>
      <c r="X151" s="387">
        <f t="shared" si="140"/>
        <v>2.9067762022554606</v>
      </c>
      <c r="Y151" s="387">
        <f t="shared" si="121"/>
        <v>1.6898695779997357E-2</v>
      </c>
      <c r="Z151" s="605">
        <f t="shared" si="122"/>
        <v>1.6898695779997357E-2</v>
      </c>
      <c r="AA151" s="387">
        <f t="shared" si="141"/>
        <v>4.9394919918176798</v>
      </c>
      <c r="AB151" s="387">
        <f t="shared" si="142"/>
        <v>0.13907191248221665</v>
      </c>
      <c r="AC151" s="387">
        <f t="shared" si="143"/>
        <v>8.4356420315638433E-2</v>
      </c>
      <c r="AD151">
        <f t="shared" si="144"/>
        <v>0</v>
      </c>
      <c r="AE151" s="387">
        <f t="shared" si="145"/>
        <v>0.22982065232726781</v>
      </c>
      <c r="AF151" s="387">
        <f t="shared" si="146"/>
        <v>3.5952076315488708</v>
      </c>
      <c r="AG151" s="387">
        <f t="shared" si="147"/>
        <v>7.3675452109499273E-2</v>
      </c>
      <c r="AH151" s="387">
        <f t="shared" si="148"/>
        <v>0.10752</v>
      </c>
      <c r="AI151" s="387">
        <f t="shared" si="149"/>
        <v>0.18390531353348299</v>
      </c>
      <c r="AJ151" s="387">
        <f t="shared" si="150"/>
        <v>0</v>
      </c>
      <c r="AK151" s="387">
        <f t="shared" si="151"/>
        <v>0</v>
      </c>
      <c r="AL151" s="387">
        <f t="shared" si="152"/>
        <v>0</v>
      </c>
      <c r="AM151">
        <f t="shared" si="153"/>
        <v>0</v>
      </c>
      <c r="AN151" s="387">
        <f t="shared" si="154"/>
        <v>0</v>
      </c>
      <c r="AO151" s="387">
        <f t="shared" si="155"/>
        <v>6.1093452227860094</v>
      </c>
      <c r="AP151" s="387">
        <f t="shared" si="156"/>
        <v>7.0915788197238649E-2</v>
      </c>
      <c r="AQ151" s="387">
        <f t="shared" si="157"/>
        <v>0</v>
      </c>
      <c r="AR151" s="387">
        <f t="shared" si="158"/>
        <v>7.1936068801005476E-2</v>
      </c>
      <c r="AS151" s="387">
        <f t="shared" si="159"/>
        <v>7.0915788197238649E-2</v>
      </c>
      <c r="AT151" s="387">
        <f t="shared" si="160"/>
        <v>0</v>
      </c>
      <c r="AU151" s="387">
        <f t="shared" si="161"/>
        <v>0.26044824960000001</v>
      </c>
      <c r="AV151" s="387">
        <f t="shared" si="162"/>
        <v>0.10340414331157793</v>
      </c>
      <c r="AW151" s="387">
        <f t="shared" si="163"/>
        <v>0</v>
      </c>
      <c r="AX151" s="387">
        <f t="shared" si="164"/>
        <v>3.6000000000000004E-2</v>
      </c>
      <c r="AY151" s="387">
        <f t="shared" si="165"/>
        <v>5.9136000000000001E-2</v>
      </c>
      <c r="AZ151" s="387">
        <f t="shared" si="166"/>
        <v>7.3471999999999996E-2</v>
      </c>
      <c r="BA151" s="387">
        <f t="shared" si="123"/>
        <v>9.5135999999999998E-2</v>
      </c>
      <c r="BB151" s="387">
        <f t="shared" si="124"/>
        <v>1.5050900768374595</v>
      </c>
      <c r="BC151">
        <f t="shared" si="167"/>
        <v>72</v>
      </c>
      <c r="BD151" s="606">
        <f t="shared" si="125"/>
        <v>0.97952400200769585</v>
      </c>
      <c r="BE151" s="616">
        <f t="shared" si="168"/>
        <v>24.513445096363391</v>
      </c>
      <c r="BF151" s="616">
        <f t="shared" si="169"/>
        <v>9.1952656766741505</v>
      </c>
      <c r="BG151" s="9"/>
      <c r="BH151" s="4">
        <f t="shared" si="126"/>
        <v>97.952400200769588</v>
      </c>
      <c r="BI151" s="387">
        <f t="shared" si="127"/>
        <v>0.53427226012588025</v>
      </c>
      <c r="BJ151" s="387">
        <f t="shared" si="128"/>
        <v>0.7461102842617563</v>
      </c>
      <c r="BK151" s="387">
        <f t="shared" si="129"/>
        <v>0.26985323590148302</v>
      </c>
      <c r="BL151" s="387">
        <f t="shared" si="130"/>
        <v>0.10340414331157793</v>
      </c>
    </row>
    <row r="152" spans="7:64" x14ac:dyDescent="0.2">
      <c r="G152">
        <v>143</v>
      </c>
      <c r="H152" s="612">
        <f t="shared" si="131"/>
        <v>18.585000000000001</v>
      </c>
      <c r="I152" s="4" t="str">
        <f t="shared" si="132"/>
        <v>BUCK</v>
      </c>
      <c r="J152">
        <f t="shared" si="170"/>
        <v>1</v>
      </c>
      <c r="K152">
        <f t="shared" si="133"/>
        <v>6</v>
      </c>
      <c r="L152" s="4">
        <f t="shared" si="134"/>
        <v>4.0355125100887816</v>
      </c>
      <c r="M152" s="4">
        <f t="shared" si="135"/>
        <v>6</v>
      </c>
      <c r="N152" s="387">
        <f t="shared" si="136"/>
        <v>0.65036226050555468</v>
      </c>
      <c r="O152" s="387">
        <f t="shared" si="171"/>
        <v>0</v>
      </c>
      <c r="P152" s="4">
        <f t="shared" si="137"/>
        <v>4.024487134063059</v>
      </c>
      <c r="Q152" s="387">
        <f t="shared" si="138"/>
        <v>6.1114407513847819</v>
      </c>
      <c r="R152" s="387">
        <f t="shared" si="116"/>
        <v>0.22818919220733391</v>
      </c>
      <c r="S152" s="387">
        <f t="shared" si="117"/>
        <v>0.31307558646518119</v>
      </c>
      <c r="T152" s="387">
        <f t="shared" si="118"/>
        <v>0.5412647786725151</v>
      </c>
      <c r="U152" s="4">
        <f t="shared" si="139"/>
        <v>1.1617693651007464</v>
      </c>
      <c r="V152" s="387">
        <f t="shared" si="119"/>
        <v>9.4479564038061382E-3</v>
      </c>
      <c r="W152" s="387">
        <f t="shared" si="120"/>
        <v>9.4479564038061382E-3</v>
      </c>
      <c r="X152" s="387">
        <f t="shared" si="140"/>
        <v>2.914274280911914</v>
      </c>
      <c r="Y152" s="387">
        <f t="shared" si="121"/>
        <v>1.6985989168769308E-2</v>
      </c>
      <c r="Z152" s="605">
        <f t="shared" si="122"/>
        <v>1.6985989168769308E-2</v>
      </c>
      <c r="AA152" s="387">
        <f t="shared" si="141"/>
        <v>4.9285738872030294</v>
      </c>
      <c r="AB152" s="387">
        <f t="shared" si="142"/>
        <v>0.13845779120123161</v>
      </c>
      <c r="AC152" s="387">
        <f t="shared" si="143"/>
        <v>8.4789836212338585E-2</v>
      </c>
      <c r="AD152">
        <f t="shared" si="144"/>
        <v>0</v>
      </c>
      <c r="AE152" s="387">
        <f t="shared" si="145"/>
        <v>0.22960576893636814</v>
      </c>
      <c r="AF152" s="387">
        <f t="shared" si="146"/>
        <v>3.6137055076565123</v>
      </c>
      <c r="AG152" s="387">
        <f t="shared" si="147"/>
        <v>7.4435544727581959E-2</v>
      </c>
      <c r="AH152" s="387">
        <f t="shared" si="148"/>
        <v>0.10752</v>
      </c>
      <c r="AI152" s="387">
        <f t="shared" si="149"/>
        <v>0.18470527223820335</v>
      </c>
      <c r="AJ152" s="387">
        <f t="shared" si="150"/>
        <v>0</v>
      </c>
      <c r="AK152" s="387">
        <f t="shared" si="151"/>
        <v>0</v>
      </c>
      <c r="AL152" s="387">
        <f t="shared" si="152"/>
        <v>0</v>
      </c>
      <c r="AM152">
        <f t="shared" si="153"/>
        <v>0</v>
      </c>
      <c r="AN152" s="387">
        <f t="shared" si="154"/>
        <v>0</v>
      </c>
      <c r="AO152" s="387">
        <f t="shared" si="155"/>
        <v>6.1114407513847819</v>
      </c>
      <c r="AP152" s="387">
        <f t="shared" si="156"/>
        <v>7.0964445309604524E-2</v>
      </c>
      <c r="AQ152" s="387">
        <f t="shared" si="157"/>
        <v>0</v>
      </c>
      <c r="AR152" s="387">
        <f t="shared" si="158"/>
        <v>7.1986136559793967E-2</v>
      </c>
      <c r="AS152" s="387">
        <f t="shared" si="159"/>
        <v>7.0964445309604524E-2</v>
      </c>
      <c r="AT152" s="387">
        <f t="shared" si="160"/>
        <v>0</v>
      </c>
      <c r="AU152" s="387">
        <f t="shared" si="161"/>
        <v>0.26178888960000002</v>
      </c>
      <c r="AV152" s="387">
        <f t="shared" si="162"/>
        <v>0.10447093996853608</v>
      </c>
      <c r="AW152" s="387">
        <f t="shared" si="163"/>
        <v>0</v>
      </c>
      <c r="AX152" s="387">
        <f t="shared" si="164"/>
        <v>3.6000000000000004E-2</v>
      </c>
      <c r="AY152" s="387">
        <f t="shared" si="165"/>
        <v>5.9136000000000001E-2</v>
      </c>
      <c r="AZ152" s="387">
        <f t="shared" si="166"/>
        <v>7.3471999999999996E-2</v>
      </c>
      <c r="BA152" s="387">
        <f t="shared" si="123"/>
        <v>9.5135999999999998E-2</v>
      </c>
      <c r="BB152" s="387">
        <f t="shared" si="124"/>
        <v>1.5153917315479919</v>
      </c>
      <c r="BC152">
        <f t="shared" si="167"/>
        <v>72</v>
      </c>
      <c r="BD152" s="606">
        <f t="shared" si="125"/>
        <v>0.97938674207053589</v>
      </c>
      <c r="BE152" s="616">
        <f t="shared" si="168"/>
        <v>24.569732926818407</v>
      </c>
      <c r="BF152" s="616">
        <f t="shared" si="169"/>
        <v>9.2352636119101668</v>
      </c>
      <c r="BG152" s="9"/>
      <c r="BH152" s="4">
        <f t="shared" si="126"/>
        <v>97.938674207053595</v>
      </c>
      <c r="BI152" s="387">
        <f t="shared" si="127"/>
        <v>0.5412647786725151</v>
      </c>
      <c r="BJ152" s="387">
        <f t="shared" si="128"/>
        <v>0.74808606733436545</v>
      </c>
      <c r="BK152" s="387">
        <f t="shared" si="129"/>
        <v>0.27109560580620334</v>
      </c>
      <c r="BL152" s="387">
        <f t="shared" si="130"/>
        <v>0.10447093996853608</v>
      </c>
    </row>
    <row r="153" spans="7:64" x14ac:dyDescent="0.2">
      <c r="G153">
        <v>144</v>
      </c>
      <c r="H153" s="612">
        <f t="shared" si="131"/>
        <v>18.68</v>
      </c>
      <c r="I153" s="4" t="str">
        <f t="shared" si="132"/>
        <v>BUCK</v>
      </c>
      <c r="J153">
        <f t="shared" si="170"/>
        <v>1</v>
      </c>
      <c r="K153">
        <f t="shared" si="133"/>
        <v>6</v>
      </c>
      <c r="L153" s="4">
        <f t="shared" si="134"/>
        <v>4.014989293361884</v>
      </c>
      <c r="M153" s="4">
        <f t="shared" si="135"/>
        <v>6</v>
      </c>
      <c r="N153" s="387">
        <f t="shared" si="136"/>
        <v>0.64706322084579249</v>
      </c>
      <c r="O153" s="387">
        <f t="shared" si="171"/>
        <v>0</v>
      </c>
      <c r="P153" s="4">
        <f t="shared" si="137"/>
        <v>4.0624605595996579</v>
      </c>
      <c r="Q153" s="387">
        <f t="shared" si="138"/>
        <v>6.1135340693027329</v>
      </c>
      <c r="R153" s="387">
        <f t="shared" si="116"/>
        <v>0.22834839587357494</v>
      </c>
      <c r="S153" s="387">
        <f t="shared" si="117"/>
        <v>0.31992363836331789</v>
      </c>
      <c r="T153" s="387">
        <f t="shared" si="118"/>
        <v>0.54827203423689286</v>
      </c>
      <c r="U153" s="4">
        <f t="shared" si="139"/>
        <v>1.1727313488285502</v>
      </c>
      <c r="V153" s="387">
        <f t="shared" si="119"/>
        <v>9.6270917156766143E-3</v>
      </c>
      <c r="W153" s="387">
        <f t="shared" si="120"/>
        <v>9.6270917156766143E-3</v>
      </c>
      <c r="X153" s="387">
        <f t="shared" si="140"/>
        <v>2.9215555840352829</v>
      </c>
      <c r="Y153" s="387">
        <f t="shared" si="121"/>
        <v>1.7070974061215487E-2</v>
      </c>
      <c r="Z153" s="605">
        <f t="shared" si="122"/>
        <v>1.7070974061215487E-2</v>
      </c>
      <c r="AA153" s="387">
        <f t="shared" si="141"/>
        <v>4.917741476764995</v>
      </c>
      <c r="AB153" s="387">
        <f t="shared" si="142"/>
        <v>0.1378498330240801</v>
      </c>
      <c r="AC153" s="387">
        <f t="shared" si="143"/>
        <v>8.5223252109038722E-2</v>
      </c>
      <c r="AD153">
        <f t="shared" si="144"/>
        <v>0</v>
      </c>
      <c r="AE153" s="387">
        <f t="shared" si="145"/>
        <v>0.22939756843407219</v>
      </c>
      <c r="AF153" s="387">
        <f t="shared" si="146"/>
        <v>3.6319578169673834</v>
      </c>
      <c r="AG153" s="387">
        <f t="shared" si="147"/>
        <v>7.5189370230113739E-2</v>
      </c>
      <c r="AH153" s="387">
        <f t="shared" si="148"/>
        <v>0.10752</v>
      </c>
      <c r="AI153" s="387">
        <f t="shared" si="149"/>
        <v>0.18549887900831927</v>
      </c>
      <c r="AJ153" s="387">
        <f t="shared" si="150"/>
        <v>0</v>
      </c>
      <c r="AK153" s="387">
        <f t="shared" si="151"/>
        <v>0</v>
      </c>
      <c r="AL153" s="387">
        <f t="shared" si="152"/>
        <v>0</v>
      </c>
      <c r="AM153">
        <f t="shared" si="153"/>
        <v>0</v>
      </c>
      <c r="AN153" s="387">
        <f t="shared" si="154"/>
        <v>0</v>
      </c>
      <c r="AO153" s="387">
        <f t="shared" si="155"/>
        <v>6.1135340693027329</v>
      </c>
      <c r="AP153" s="387">
        <f t="shared" si="156"/>
        <v>7.1013067751397943E-2</v>
      </c>
      <c r="AQ153" s="387">
        <f t="shared" si="157"/>
        <v>0</v>
      </c>
      <c r="AR153" s="387">
        <f t="shared" si="158"/>
        <v>7.2036169630299476E-2</v>
      </c>
      <c r="AS153" s="387">
        <f t="shared" si="159"/>
        <v>7.1013067751397943E-2</v>
      </c>
      <c r="AT153" s="387">
        <f t="shared" si="160"/>
        <v>0</v>
      </c>
      <c r="AU153" s="387">
        <f t="shared" si="161"/>
        <v>0.26312952960000002</v>
      </c>
      <c r="AV153" s="387">
        <f t="shared" si="162"/>
        <v>0.10552894067384386</v>
      </c>
      <c r="AW153" s="387">
        <f t="shared" si="163"/>
        <v>0</v>
      </c>
      <c r="AX153" s="387">
        <f t="shared" si="164"/>
        <v>3.6000000000000004E-2</v>
      </c>
      <c r="AY153" s="387">
        <f t="shared" si="165"/>
        <v>5.9136000000000001E-2</v>
      </c>
      <c r="AZ153" s="387">
        <f t="shared" si="166"/>
        <v>7.3471999999999996E-2</v>
      </c>
      <c r="BA153" s="387">
        <f t="shared" si="123"/>
        <v>9.5135999999999998E-2</v>
      </c>
      <c r="BB153" s="387">
        <f t="shared" si="124"/>
        <v>1.5256971873603198</v>
      </c>
      <c r="BC153">
        <f t="shared" si="167"/>
        <v>72</v>
      </c>
      <c r="BD153" s="606">
        <f t="shared" si="125"/>
        <v>0.97924946997139661</v>
      </c>
      <c r="BE153" s="616">
        <f t="shared" si="168"/>
        <v>24.626354901703611</v>
      </c>
      <c r="BF153" s="616">
        <f t="shared" si="169"/>
        <v>9.2749439504159632</v>
      </c>
      <c r="BG153" s="9"/>
      <c r="BH153" s="4">
        <f t="shared" si="126"/>
        <v>97.924946997139656</v>
      </c>
      <c r="BI153" s="387">
        <f t="shared" si="127"/>
        <v>0.54827203423689286</v>
      </c>
      <c r="BJ153" s="387">
        <f t="shared" si="128"/>
        <v>0.75006214667269089</v>
      </c>
      <c r="BK153" s="387">
        <f t="shared" si="129"/>
        <v>0.27233162377631925</v>
      </c>
      <c r="BL153" s="387">
        <f t="shared" si="130"/>
        <v>0.10552894067384386</v>
      </c>
    </row>
    <row r="154" spans="7:64" x14ac:dyDescent="0.2">
      <c r="G154">
        <v>145</v>
      </c>
      <c r="H154" s="612">
        <f t="shared" si="131"/>
        <v>18.774999999999999</v>
      </c>
      <c r="I154" s="4" t="str">
        <f t="shared" si="132"/>
        <v>BUCK</v>
      </c>
      <c r="J154">
        <f t="shared" si="170"/>
        <v>1</v>
      </c>
      <c r="K154">
        <f t="shared" si="133"/>
        <v>6</v>
      </c>
      <c r="L154" s="4">
        <f t="shared" si="134"/>
        <v>3.994673768308922</v>
      </c>
      <c r="M154" s="4">
        <f t="shared" si="135"/>
        <v>6</v>
      </c>
      <c r="N154" s="387">
        <f t="shared" si="136"/>
        <v>0.64379748180417584</v>
      </c>
      <c r="O154" s="387">
        <f t="shared" si="171"/>
        <v>0</v>
      </c>
      <c r="P154" s="4">
        <f t="shared" si="137"/>
        <v>4.1000506800917913</v>
      </c>
      <c r="Q154" s="387">
        <f t="shared" si="138"/>
        <v>6.115624903878869</v>
      </c>
      <c r="R154" s="387">
        <f t="shared" si="116"/>
        <v>0.22850746907602004</v>
      </c>
      <c r="S154" s="387">
        <f t="shared" si="117"/>
        <v>0.3267852798496747</v>
      </c>
      <c r="T154" s="387">
        <f t="shared" si="118"/>
        <v>0.55529274892569469</v>
      </c>
      <c r="U154" s="4">
        <f t="shared" si="139"/>
        <v>1.183582681921052</v>
      </c>
      <c r="V154" s="387">
        <f t="shared" si="119"/>
        <v>9.8060757546040104E-3</v>
      </c>
      <c r="W154" s="387">
        <f t="shared" si="120"/>
        <v>9.8060757546040104E-3</v>
      </c>
      <c r="X154" s="387">
        <f t="shared" si="140"/>
        <v>2.9286263800261279</v>
      </c>
      <c r="Y154" s="387">
        <f t="shared" si="121"/>
        <v>1.7153704947569886E-2</v>
      </c>
      <c r="Z154" s="605">
        <f t="shared" si="122"/>
        <v>1.7153704947569886E-2</v>
      </c>
      <c r="AA154" s="387">
        <f t="shared" si="141"/>
        <v>4.9069934392783781</v>
      </c>
      <c r="AB154" s="387">
        <f t="shared" si="142"/>
        <v>0.13724793229478996</v>
      </c>
      <c r="AC154" s="387">
        <f t="shared" si="143"/>
        <v>8.5656668005738859E-2</v>
      </c>
      <c r="AD154">
        <f t="shared" si="144"/>
        <v>0</v>
      </c>
      <c r="AE154" s="387">
        <f t="shared" si="145"/>
        <v>0.22919593390427587</v>
      </c>
      <c r="AF154" s="387">
        <f t="shared" si="146"/>
        <v>3.6499703220467938</v>
      </c>
      <c r="AG154" s="387">
        <f t="shared" si="147"/>
        <v>7.5937015105387543E-2</v>
      </c>
      <c r="AH154" s="387">
        <f t="shared" si="148"/>
        <v>0.10752</v>
      </c>
      <c r="AI154" s="387">
        <f t="shared" si="149"/>
        <v>0.18628621899046846</v>
      </c>
      <c r="AJ154" s="387">
        <f t="shared" si="150"/>
        <v>0</v>
      </c>
      <c r="AK154" s="387">
        <f t="shared" si="151"/>
        <v>0</v>
      </c>
      <c r="AL154" s="387">
        <f t="shared" si="152"/>
        <v>0</v>
      </c>
      <c r="AM154">
        <f t="shared" si="153"/>
        <v>0</v>
      </c>
      <c r="AN154" s="387">
        <f t="shared" si="154"/>
        <v>0</v>
      </c>
      <c r="AO154" s="387">
        <f t="shared" si="155"/>
        <v>6.115624903878869</v>
      </c>
      <c r="AP154" s="387">
        <f t="shared" si="156"/>
        <v>7.106164913339251E-2</v>
      </c>
      <c r="AQ154" s="387">
        <f t="shared" si="157"/>
        <v>0</v>
      </c>
      <c r="AR154" s="387">
        <f t="shared" si="158"/>
        <v>7.208616143565523E-2</v>
      </c>
      <c r="AS154" s="387">
        <f t="shared" si="159"/>
        <v>7.106164913339251E-2</v>
      </c>
      <c r="AT154" s="387">
        <f t="shared" si="160"/>
        <v>0</v>
      </c>
      <c r="AU154" s="387">
        <f t="shared" si="161"/>
        <v>0.26447016959999997</v>
      </c>
      <c r="AV154" s="387">
        <f t="shared" si="162"/>
        <v>0.10657826681457901</v>
      </c>
      <c r="AW154" s="387">
        <f t="shared" si="163"/>
        <v>0</v>
      </c>
      <c r="AX154" s="387">
        <f t="shared" si="164"/>
        <v>3.6000000000000004E-2</v>
      </c>
      <c r="AY154" s="387">
        <f t="shared" si="165"/>
        <v>5.9136000000000001E-2</v>
      </c>
      <c r="AZ154" s="387">
        <f t="shared" si="166"/>
        <v>7.3471999999999996E-2</v>
      </c>
      <c r="BA154" s="387">
        <f t="shared" si="123"/>
        <v>9.5135999999999998E-2</v>
      </c>
      <c r="BB154" s="387">
        <f t="shared" si="124"/>
        <v>1.5360052803728472</v>
      </c>
      <c r="BC154">
        <f t="shared" si="167"/>
        <v>72</v>
      </c>
      <c r="BD154" s="606">
        <f t="shared" si="125"/>
        <v>0.97911220123371567</v>
      </c>
      <c r="BE154" s="616">
        <f t="shared" si="168"/>
        <v>24.683305175213793</v>
      </c>
      <c r="BF154" s="616">
        <f t="shared" si="169"/>
        <v>9.3143109495234224</v>
      </c>
      <c r="BG154" s="9"/>
      <c r="BH154" s="4">
        <f t="shared" si="126"/>
        <v>97.911220123371564</v>
      </c>
      <c r="BI154" s="387">
        <f t="shared" si="127"/>
        <v>0.55529274892569469</v>
      </c>
      <c r="BJ154" s="387">
        <f t="shared" si="128"/>
        <v>0.75203848393039952</v>
      </c>
      <c r="BK154" s="387">
        <f t="shared" si="129"/>
        <v>0.27356137495846844</v>
      </c>
      <c r="BL154" s="387">
        <f t="shared" si="130"/>
        <v>0.10657826681457901</v>
      </c>
    </row>
    <row r="155" spans="7:64" x14ac:dyDescent="0.2">
      <c r="G155">
        <v>146</v>
      </c>
      <c r="H155" s="612">
        <f t="shared" si="131"/>
        <v>18.869999999999997</v>
      </c>
      <c r="I155" s="4" t="str">
        <f t="shared" si="132"/>
        <v>BUCK</v>
      </c>
      <c r="J155">
        <f t="shared" si="170"/>
        <v>1</v>
      </c>
      <c r="K155">
        <f t="shared" si="133"/>
        <v>6</v>
      </c>
      <c r="L155" s="4">
        <f t="shared" si="134"/>
        <v>3.9745627980922102</v>
      </c>
      <c r="M155" s="4">
        <f t="shared" si="135"/>
        <v>6</v>
      </c>
      <c r="N155" s="387">
        <f t="shared" si="136"/>
        <v>0.64056454170631161</v>
      </c>
      <c r="O155" s="387">
        <f t="shared" si="171"/>
        <v>0</v>
      </c>
      <c r="P155" s="4">
        <f t="shared" si="137"/>
        <v>4.1372632700366418</v>
      </c>
      <c r="Q155" s="387">
        <f t="shared" si="138"/>
        <v>6.1177129942868511</v>
      </c>
      <c r="R155" s="387">
        <f t="shared" si="116"/>
        <v>0.22866639175601988</v>
      </c>
      <c r="S155" s="387">
        <f t="shared" si="117"/>
        <v>0.33365929367114494</v>
      </c>
      <c r="T155" s="387">
        <f t="shared" si="118"/>
        <v>0.56232568542716477</v>
      </c>
      <c r="U155" s="4">
        <f t="shared" si="139"/>
        <v>1.1943250313320033</v>
      </c>
      <c r="V155" s="387">
        <f t="shared" si="119"/>
        <v>9.9848859632633361E-3</v>
      </c>
      <c r="W155" s="387">
        <f t="shared" si="120"/>
        <v>9.9848859632633361E-3</v>
      </c>
      <c r="X155" s="387">
        <f t="shared" si="140"/>
        <v>2.9354927023525699</v>
      </c>
      <c r="Y155" s="387">
        <f t="shared" si="121"/>
        <v>1.723423481113039E-2</v>
      </c>
      <c r="Z155" s="605">
        <f t="shared" si="122"/>
        <v>1.723423481113039E-2</v>
      </c>
      <c r="AA155" s="387">
        <f t="shared" si="141"/>
        <v>4.8963284847065047</v>
      </c>
      <c r="AB155" s="387">
        <f t="shared" si="142"/>
        <v>0.1366519859918453</v>
      </c>
      <c r="AC155" s="387">
        <f t="shared" si="143"/>
        <v>8.6090083902438996E-2</v>
      </c>
      <c r="AD155">
        <f t="shared" si="144"/>
        <v>0</v>
      </c>
      <c r="AE155" s="387">
        <f t="shared" si="145"/>
        <v>0.22900075138845577</v>
      </c>
      <c r="AF155" s="387">
        <f t="shared" si="146"/>
        <v>3.6677485805760859</v>
      </c>
      <c r="AG155" s="387">
        <f t="shared" si="147"/>
        <v>7.6678564006811986E-2</v>
      </c>
      <c r="AH155" s="387">
        <f t="shared" si="148"/>
        <v>0.10752</v>
      </c>
      <c r="AI155" s="387">
        <f t="shared" si="149"/>
        <v>0.18706737555279426</v>
      </c>
      <c r="AJ155" s="387">
        <f t="shared" si="150"/>
        <v>0</v>
      </c>
      <c r="AK155" s="387">
        <f t="shared" si="151"/>
        <v>0</v>
      </c>
      <c r="AL155" s="387">
        <f t="shared" si="152"/>
        <v>0</v>
      </c>
      <c r="AM155">
        <f t="shared" si="153"/>
        <v>0</v>
      </c>
      <c r="AN155" s="387">
        <f t="shared" si="154"/>
        <v>0</v>
      </c>
      <c r="AO155" s="387">
        <f t="shared" si="155"/>
        <v>6.1177129942868511</v>
      </c>
      <c r="AP155" s="387">
        <f t="shared" si="156"/>
        <v>7.1110183332885754E-2</v>
      </c>
      <c r="AQ155" s="387">
        <f t="shared" si="157"/>
        <v>0</v>
      </c>
      <c r="AR155" s="387">
        <f t="shared" si="158"/>
        <v>7.2136105672747655E-2</v>
      </c>
      <c r="AS155" s="387">
        <f t="shared" si="159"/>
        <v>7.1110183332885754E-2</v>
      </c>
      <c r="AT155" s="387">
        <f t="shared" si="160"/>
        <v>0</v>
      </c>
      <c r="AU155" s="387">
        <f t="shared" si="161"/>
        <v>0.26581080959999998</v>
      </c>
      <c r="AV155" s="387">
        <f t="shared" si="162"/>
        <v>0.10761903720254314</v>
      </c>
      <c r="AW155" s="387">
        <f t="shared" si="163"/>
        <v>0</v>
      </c>
      <c r="AX155" s="387">
        <f t="shared" si="164"/>
        <v>3.6000000000000004E-2</v>
      </c>
      <c r="AY155" s="387">
        <f t="shared" si="165"/>
        <v>5.9136000000000001E-2</v>
      </c>
      <c r="AZ155" s="387">
        <f t="shared" si="166"/>
        <v>7.3471999999999996E-2</v>
      </c>
      <c r="BA155" s="387">
        <f t="shared" si="123"/>
        <v>9.5135999999999998E-2</v>
      </c>
      <c r="BB155" s="387">
        <f t="shared" si="124"/>
        <v>1.5463148856180993</v>
      </c>
      <c r="BC155">
        <f t="shared" si="167"/>
        <v>72</v>
      </c>
      <c r="BD155" s="606">
        <f t="shared" si="125"/>
        <v>0.9789749508452873</v>
      </c>
      <c r="BE155" s="616">
        <f t="shared" si="168"/>
        <v>24.740578049422787</v>
      </c>
      <c r="BF155" s="616">
        <f t="shared" si="169"/>
        <v>9.3533687776397123</v>
      </c>
      <c r="BG155" s="9"/>
      <c r="BH155" s="4">
        <f t="shared" si="126"/>
        <v>97.897495084528728</v>
      </c>
      <c r="BI155" s="387">
        <f t="shared" si="127"/>
        <v>0.56232568542716477</v>
      </c>
      <c r="BJ155" s="387">
        <f t="shared" si="128"/>
        <v>0.75401504221399773</v>
      </c>
      <c r="BK155" s="387">
        <f t="shared" si="129"/>
        <v>0.27478494272079423</v>
      </c>
      <c r="BL155" s="387">
        <f t="shared" si="130"/>
        <v>0.10761903720254314</v>
      </c>
    </row>
    <row r="156" spans="7:64" x14ac:dyDescent="0.2">
      <c r="G156">
        <v>147</v>
      </c>
      <c r="H156" s="612">
        <f t="shared" si="131"/>
        <v>18.965</v>
      </c>
      <c r="I156" s="4" t="str">
        <f t="shared" si="132"/>
        <v>BUCK</v>
      </c>
      <c r="J156">
        <f t="shared" si="170"/>
        <v>1</v>
      </c>
      <c r="K156">
        <f t="shared" si="133"/>
        <v>6</v>
      </c>
      <c r="L156" s="4">
        <f t="shared" si="134"/>
        <v>3.954653308726602</v>
      </c>
      <c r="M156" s="4">
        <f t="shared" si="135"/>
        <v>6</v>
      </c>
      <c r="N156" s="387">
        <f t="shared" si="136"/>
        <v>0.63736390890443384</v>
      </c>
      <c r="O156" s="387">
        <f t="shared" si="171"/>
        <v>0</v>
      </c>
      <c r="P156" s="4">
        <f t="shared" si="137"/>
        <v>4.1741039885204128</v>
      </c>
      <c r="Q156" s="387">
        <f t="shared" si="138"/>
        <v>6.1197980910796259</v>
      </c>
      <c r="R156" s="387">
        <f t="shared" si="116"/>
        <v>0.22882514469263088</v>
      </c>
      <c r="S156" s="387">
        <f t="shared" si="117"/>
        <v>0.34054450114476881</v>
      </c>
      <c r="T156" s="387">
        <f t="shared" si="118"/>
        <v>0.56936964583739968</v>
      </c>
      <c r="U156" s="4">
        <f t="shared" si="139"/>
        <v>1.2049600306988755</v>
      </c>
      <c r="V156" s="387">
        <f t="shared" si="119"/>
        <v>1.0163500729072846E-2</v>
      </c>
      <c r="W156" s="387">
        <f t="shared" si="120"/>
        <v>1.0163500729072846E-2</v>
      </c>
      <c r="X156" s="387">
        <f t="shared" si="140"/>
        <v>2.9421603608717213</v>
      </c>
      <c r="Y156" s="387">
        <f t="shared" si="121"/>
        <v>1.7312615178169632E-2</v>
      </c>
      <c r="Z156" s="605">
        <f t="shared" si="122"/>
        <v>1.7312615178169632E-2</v>
      </c>
      <c r="AA156" s="387">
        <f t="shared" si="141"/>
        <v>4.8857453532372004</v>
      </c>
      <c r="AB156" s="387">
        <f t="shared" si="142"/>
        <v>0.13606189364306973</v>
      </c>
      <c r="AC156" s="387">
        <f t="shared" si="143"/>
        <v>8.6523499799139147E-2</v>
      </c>
      <c r="AD156">
        <f t="shared" si="144"/>
        <v>0</v>
      </c>
      <c r="AE156" s="387">
        <f t="shared" si="145"/>
        <v>0.2288119097890047</v>
      </c>
      <c r="AF156" s="387">
        <f t="shared" si="146"/>
        <v>3.6852979552409248</v>
      </c>
      <c r="AG156" s="387">
        <f t="shared" si="147"/>
        <v>7.7414099807746772E-2</v>
      </c>
      <c r="AH156" s="387">
        <f t="shared" si="148"/>
        <v>0.10752</v>
      </c>
      <c r="AI156" s="387">
        <f t="shared" si="149"/>
        <v>0.1878424303378069</v>
      </c>
      <c r="AJ156" s="387">
        <f t="shared" si="150"/>
        <v>0</v>
      </c>
      <c r="AK156" s="387">
        <f t="shared" si="151"/>
        <v>0</v>
      </c>
      <c r="AL156" s="387">
        <f t="shared" si="152"/>
        <v>0</v>
      </c>
      <c r="AM156">
        <f t="shared" si="153"/>
        <v>0</v>
      </c>
      <c r="AN156" s="387">
        <f t="shared" si="154"/>
        <v>0</v>
      </c>
      <c r="AO156" s="387">
        <f t="shared" si="155"/>
        <v>6.1197980910796259</v>
      </c>
      <c r="AP156" s="387">
        <f t="shared" si="156"/>
        <v>7.1158664483605485E-2</v>
      </c>
      <c r="AQ156" s="387">
        <f t="shared" si="157"/>
        <v>0</v>
      </c>
      <c r="AR156" s="387">
        <f t="shared" si="158"/>
        <v>7.2185996301857208E-2</v>
      </c>
      <c r="AS156" s="387">
        <f t="shared" si="159"/>
        <v>7.1158664483605485E-2</v>
      </c>
      <c r="AT156" s="387">
        <f t="shared" si="160"/>
        <v>0</v>
      </c>
      <c r="AU156" s="387">
        <f t="shared" si="161"/>
        <v>0.26715144960000003</v>
      </c>
      <c r="AV156" s="387">
        <f t="shared" si="162"/>
        <v>0.10865136815122353</v>
      </c>
      <c r="AW156" s="387">
        <f t="shared" si="163"/>
        <v>0</v>
      </c>
      <c r="AX156" s="387">
        <f t="shared" si="164"/>
        <v>3.6000000000000004E-2</v>
      </c>
      <c r="AY156" s="387">
        <f t="shared" si="165"/>
        <v>5.9136000000000001E-2</v>
      </c>
      <c r="AZ156" s="387">
        <f t="shared" si="166"/>
        <v>7.3471999999999996E-2</v>
      </c>
      <c r="BA156" s="387">
        <f t="shared" si="123"/>
        <v>9.5135999999999998E-2</v>
      </c>
      <c r="BB156" s="387">
        <f t="shared" si="124"/>
        <v>1.5566249159245344</v>
      </c>
      <c r="BC156">
        <f t="shared" si="167"/>
        <v>72</v>
      </c>
      <c r="BD156" s="606">
        <f t="shared" si="125"/>
        <v>0.97883773327414414</v>
      </c>
      <c r="BE156" s="616">
        <f t="shared" si="168"/>
        <v>24.798167969450237</v>
      </c>
      <c r="BF156" s="616">
        <f t="shared" si="169"/>
        <v>9.3921215168903451</v>
      </c>
      <c r="BG156" s="9"/>
      <c r="BH156" s="4">
        <f t="shared" si="126"/>
        <v>97.883773327414417</v>
      </c>
      <c r="BI156" s="387">
        <f t="shared" si="127"/>
        <v>0.56936964583739968</v>
      </c>
      <c r="BJ156" s="387">
        <f t="shared" si="128"/>
        <v>0.75599178602866879</v>
      </c>
      <c r="BK156" s="387">
        <f t="shared" si="129"/>
        <v>0.27600240870580695</v>
      </c>
      <c r="BL156" s="387">
        <f t="shared" si="130"/>
        <v>0.10865136815122353</v>
      </c>
    </row>
    <row r="157" spans="7:64" x14ac:dyDescent="0.2">
      <c r="G157">
        <v>148</v>
      </c>
      <c r="H157" s="612">
        <f t="shared" si="131"/>
        <v>19.060000000000002</v>
      </c>
      <c r="I157" s="4" t="str">
        <f t="shared" si="132"/>
        <v>BUCK</v>
      </c>
      <c r="J157">
        <f t="shared" si="170"/>
        <v>1</v>
      </c>
      <c r="K157">
        <f t="shared" si="133"/>
        <v>6</v>
      </c>
      <c r="L157" s="4">
        <f t="shared" si="134"/>
        <v>3.9349422875131159</v>
      </c>
      <c r="M157" s="4">
        <f t="shared" si="135"/>
        <v>6</v>
      </c>
      <c r="N157" s="387">
        <f t="shared" si="136"/>
        <v>0.63419510152815572</v>
      </c>
      <c r="O157" s="387">
        <f t="shared" si="171"/>
        <v>0</v>
      </c>
      <c r="P157" s="4">
        <f t="shared" si="137"/>
        <v>4.210578382087296</v>
      </c>
      <c r="Q157" s="387">
        <f t="shared" si="138"/>
        <v>6.1218799557522967</v>
      </c>
      <c r="R157" s="387">
        <f t="shared" si="116"/>
        <v>0.22898370947099217</v>
      </c>
      <c r="S157" s="387">
        <f t="shared" si="117"/>
        <v>0.34743976104631064</v>
      </c>
      <c r="T157" s="387">
        <f t="shared" si="118"/>
        <v>0.57642347051730281</v>
      </c>
      <c r="U157" s="4">
        <f t="shared" si="139"/>
        <v>1.2154892811710596</v>
      </c>
      <c r="V157" s="387">
        <f t="shared" si="119"/>
        <v>1.0341899348492174E-2</v>
      </c>
      <c r="W157" s="387">
        <f t="shared" si="120"/>
        <v>1.0341899348492174E-2</v>
      </c>
      <c r="X157" s="387">
        <f t="shared" si="140"/>
        <v>2.9486349524729611</v>
      </c>
      <c r="Y157" s="387">
        <f t="shared" si="121"/>
        <v>1.7388896165890445E-2</v>
      </c>
      <c r="Z157" s="605">
        <f t="shared" si="122"/>
        <v>1.7388896165890445E-2</v>
      </c>
      <c r="AA157" s="387">
        <f t="shared" si="141"/>
        <v>4.8752428143544986</v>
      </c>
      <c r="AB157" s="387">
        <f t="shared" si="142"/>
        <v>0.13547755724381649</v>
      </c>
      <c r="AC157" s="387">
        <f t="shared" si="143"/>
        <v>8.6956915695839312E-2</v>
      </c>
      <c r="AD157">
        <f t="shared" si="144"/>
        <v>0</v>
      </c>
      <c r="AE157" s="387">
        <f t="shared" si="145"/>
        <v>0.22862930077636454</v>
      </c>
      <c r="AF157" s="387">
        <f t="shared" si="146"/>
        <v>3.7026236230174097</v>
      </c>
      <c r="AG157" s="387">
        <f t="shared" si="147"/>
        <v>7.8143703654241448E-2</v>
      </c>
      <c r="AH157" s="387">
        <f t="shared" si="148"/>
        <v>0.10752</v>
      </c>
      <c r="AI157" s="387">
        <f t="shared" si="149"/>
        <v>0.18861146331322984</v>
      </c>
      <c r="AJ157" s="387">
        <f t="shared" si="150"/>
        <v>0</v>
      </c>
      <c r="AK157" s="387">
        <f t="shared" si="151"/>
        <v>0</v>
      </c>
      <c r="AL157" s="387">
        <f t="shared" si="152"/>
        <v>0</v>
      </c>
      <c r="AM157">
        <f t="shared" si="153"/>
        <v>0</v>
      </c>
      <c r="AN157" s="387">
        <f t="shared" si="154"/>
        <v>0</v>
      </c>
      <c r="AO157" s="387">
        <f t="shared" si="155"/>
        <v>6.1218799557522967</v>
      </c>
      <c r="AP157" s="387">
        <f t="shared" si="156"/>
        <v>7.1207086966019323E-2</v>
      </c>
      <c r="AQ157" s="387">
        <f t="shared" si="157"/>
        <v>0</v>
      </c>
      <c r="AR157" s="387">
        <f t="shared" si="158"/>
        <v>7.2235827536713149E-2</v>
      </c>
      <c r="AS157" s="387">
        <f t="shared" si="159"/>
        <v>7.1207086966019323E-2</v>
      </c>
      <c r="AT157" s="387">
        <f t="shared" si="160"/>
        <v>0</v>
      </c>
      <c r="AU157" s="387">
        <f t="shared" si="161"/>
        <v>0.26849208960000004</v>
      </c>
      <c r="AV157" s="387">
        <f t="shared" si="162"/>
        <v>0.10967537354981255</v>
      </c>
      <c r="AW157" s="387">
        <f t="shared" si="163"/>
        <v>0</v>
      </c>
      <c r="AX157" s="387">
        <f t="shared" si="164"/>
        <v>3.6000000000000004E-2</v>
      </c>
      <c r="AY157" s="387">
        <f t="shared" si="165"/>
        <v>5.9136000000000001E-2</v>
      </c>
      <c r="AZ157" s="387">
        <f t="shared" si="166"/>
        <v>7.3471999999999996E-2</v>
      </c>
      <c r="BA157" s="387">
        <f t="shared" si="123"/>
        <v>9.5135999999999998E-2</v>
      </c>
      <c r="BB157" s="387">
        <f t="shared" si="124"/>
        <v>1.5669343208078055</v>
      </c>
      <c r="BC157">
        <f t="shared" si="167"/>
        <v>72</v>
      </c>
      <c r="BD157" s="606">
        <f t="shared" si="125"/>
        <v>0.97870056248402604</v>
      </c>
      <c r="BE157" s="616">
        <f t="shared" si="168"/>
        <v>24.856069518818231</v>
      </c>
      <c r="BF157" s="616">
        <f t="shared" si="169"/>
        <v>9.4305731656614924</v>
      </c>
      <c r="BG157" s="9"/>
      <c r="BH157" s="4">
        <f t="shared" si="126"/>
        <v>97.870056248402605</v>
      </c>
      <c r="BI157" s="387">
        <f t="shared" si="127"/>
        <v>0.57642347051730281</v>
      </c>
      <c r="BJ157" s="387">
        <f t="shared" si="128"/>
        <v>0.75796868122630756</v>
      </c>
      <c r="BK157" s="387">
        <f t="shared" si="129"/>
        <v>0.27721385288122985</v>
      </c>
      <c r="BL157" s="387">
        <f t="shared" si="130"/>
        <v>0.10967537354981255</v>
      </c>
    </row>
    <row r="158" spans="7:64" x14ac:dyDescent="0.2">
      <c r="G158">
        <v>149</v>
      </c>
      <c r="H158" s="612">
        <f t="shared" si="131"/>
        <v>19.155000000000001</v>
      </c>
      <c r="I158" s="4" t="str">
        <f t="shared" si="132"/>
        <v>BUCK</v>
      </c>
      <c r="J158">
        <f t="shared" si="170"/>
        <v>1</v>
      </c>
      <c r="K158">
        <f t="shared" si="133"/>
        <v>6</v>
      </c>
      <c r="L158" s="4">
        <f t="shared" si="134"/>
        <v>3.9154267815191854</v>
      </c>
      <c r="M158" s="4">
        <f t="shared" si="135"/>
        <v>6</v>
      </c>
      <c r="N158" s="387">
        <f t="shared" si="136"/>
        <v>0.63105764724261837</v>
      </c>
      <c r="O158" s="387">
        <f t="shared" si="171"/>
        <v>0</v>
      </c>
      <c r="P158" s="4">
        <f t="shared" si="137"/>
        <v>4.2466918875232746</v>
      </c>
      <c r="Q158" s="387">
        <f t="shared" si="138"/>
        <v>6.1239583603224315</v>
      </c>
      <c r="R158" s="387">
        <f t="shared" si="116"/>
        <v>0.22914206845195997</v>
      </c>
      <c r="S158" s="387">
        <f t="shared" si="117"/>
        <v>0.35434396852781685</v>
      </c>
      <c r="T158" s="387">
        <f t="shared" si="118"/>
        <v>0.58348603697977686</v>
      </c>
      <c r="U158" s="4">
        <f t="shared" si="139"/>
        <v>1.2259143522134814</v>
      </c>
      <c r="V158" s="387">
        <f t="shared" si="119"/>
        <v>1.0520061992740999E-2</v>
      </c>
      <c r="W158" s="387">
        <f t="shared" si="120"/>
        <v>1.0520061992740999E-2</v>
      </c>
      <c r="X158" s="387">
        <f t="shared" si="140"/>
        <v>2.9549218710919054</v>
      </c>
      <c r="Y158" s="387">
        <f t="shared" si="121"/>
        <v>1.7463126528514575E-2</v>
      </c>
      <c r="Z158" s="605">
        <f t="shared" si="122"/>
        <v>1.7463126528514575E-2</v>
      </c>
      <c r="AA158" s="387">
        <f t="shared" si="141"/>
        <v>4.8648196659445437</v>
      </c>
      <c r="AB158" s="387">
        <f t="shared" si="142"/>
        <v>0.13489888117831647</v>
      </c>
      <c r="AC158" s="387">
        <f t="shared" si="143"/>
        <v>8.7390331592539436E-2</v>
      </c>
      <c r="AD158">
        <f t="shared" si="144"/>
        <v>0</v>
      </c>
      <c r="AE158" s="387">
        <f t="shared" si="145"/>
        <v>0.22845281869978257</v>
      </c>
      <c r="AF158" s="387">
        <f t="shared" si="146"/>
        <v>3.7197305839001595</v>
      </c>
      <c r="AG158" s="387">
        <f t="shared" si="147"/>
        <v>7.8867455015772664E-2</v>
      </c>
      <c r="AH158" s="387">
        <f t="shared" si="148"/>
        <v>0.10752</v>
      </c>
      <c r="AI158" s="387">
        <f t="shared" si="149"/>
        <v>0.18937455282091986</v>
      </c>
      <c r="AJ158" s="387">
        <f t="shared" si="150"/>
        <v>0</v>
      </c>
      <c r="AK158" s="387">
        <f t="shared" si="151"/>
        <v>0</v>
      </c>
      <c r="AL158" s="387">
        <f t="shared" si="152"/>
        <v>0</v>
      </c>
      <c r="AM158">
        <f t="shared" si="153"/>
        <v>0</v>
      </c>
      <c r="AN158" s="387">
        <f t="shared" si="154"/>
        <v>0</v>
      </c>
      <c r="AO158" s="387">
        <f t="shared" si="155"/>
        <v>6.1239583603224315</v>
      </c>
      <c r="AP158" s="387">
        <f t="shared" si="156"/>
        <v>7.1255445398029707E-2</v>
      </c>
      <c r="AQ158" s="387">
        <f t="shared" si="157"/>
        <v>0</v>
      </c>
      <c r="AR158" s="387">
        <f t="shared" si="158"/>
        <v>7.2285593834943707E-2</v>
      </c>
      <c r="AS158" s="387">
        <f t="shared" si="159"/>
        <v>7.1255445398029707E-2</v>
      </c>
      <c r="AT158" s="387">
        <f t="shared" si="160"/>
        <v>0</v>
      </c>
      <c r="AU158" s="387">
        <f t="shared" si="161"/>
        <v>0.26983272960000004</v>
      </c>
      <c r="AV158" s="387">
        <f t="shared" si="162"/>
        <v>0.11069116493441777</v>
      </c>
      <c r="AW158" s="387">
        <f t="shared" si="163"/>
        <v>0</v>
      </c>
      <c r="AX158" s="387">
        <f t="shared" si="164"/>
        <v>3.6000000000000004E-2</v>
      </c>
      <c r="AY158" s="387">
        <f t="shared" si="165"/>
        <v>5.9136000000000001E-2</v>
      </c>
      <c r="AZ158" s="387">
        <f t="shared" si="166"/>
        <v>7.3471999999999996E-2</v>
      </c>
      <c r="BA158" s="387">
        <f t="shared" si="123"/>
        <v>9.5135999999999998E-2</v>
      </c>
      <c r="BB158" s="387">
        <f t="shared" si="124"/>
        <v>1.5772420853910964</v>
      </c>
      <c r="BC158">
        <f t="shared" si="167"/>
        <v>72</v>
      </c>
      <c r="BD158" s="606">
        <f t="shared" si="125"/>
        <v>0.97856345194944105</v>
      </c>
      <c r="BE158" s="616">
        <f t="shared" si="168"/>
        <v>24.91427741498913</v>
      </c>
      <c r="BF158" s="616">
        <f t="shared" si="169"/>
        <v>9.4687276410459926</v>
      </c>
      <c r="BG158" s="9"/>
      <c r="BH158" s="4">
        <f t="shared" si="126"/>
        <v>97.856345194944112</v>
      </c>
      <c r="BI158" s="387">
        <f t="shared" si="127"/>
        <v>0.58348603697977686</v>
      </c>
      <c r="BJ158" s="387">
        <f t="shared" si="128"/>
        <v>0.75994569495564623</v>
      </c>
      <c r="BK158" s="387">
        <f t="shared" si="129"/>
        <v>0.27841935358891989</v>
      </c>
      <c r="BL158" s="387">
        <f t="shared" si="130"/>
        <v>0.11069116493441777</v>
      </c>
    </row>
    <row r="159" spans="7:64" x14ac:dyDescent="0.2">
      <c r="G159">
        <v>150</v>
      </c>
      <c r="H159" s="612">
        <f t="shared" si="131"/>
        <v>19.25</v>
      </c>
      <c r="I159" s="4" t="str">
        <f t="shared" si="132"/>
        <v>BUCK</v>
      </c>
      <c r="J159">
        <f t="shared" si="170"/>
        <v>1</v>
      </c>
      <c r="K159">
        <f t="shared" si="133"/>
        <v>6</v>
      </c>
      <c r="L159" s="4">
        <f t="shared" si="134"/>
        <v>3.8961038961038961</v>
      </c>
      <c r="M159" s="4">
        <f t="shared" si="135"/>
        <v>6</v>
      </c>
      <c r="N159" s="387">
        <f t="shared" si="136"/>
        <v>0.62795108301378388</v>
      </c>
      <c r="O159" s="387">
        <f t="shared" si="171"/>
        <v>0</v>
      </c>
      <c r="P159" s="4">
        <f t="shared" si="137"/>
        <v>4.2824498345577187</v>
      </c>
      <c r="Q159" s="387">
        <f t="shared" si="138"/>
        <v>6.1260330869270767</v>
      </c>
      <c r="R159" s="387">
        <f t="shared" si="116"/>
        <v>0.22930020474294641</v>
      </c>
      <c r="S159" s="387">
        <f t="shared" si="117"/>
        <v>0.36125605406373346</v>
      </c>
      <c r="T159" s="387">
        <f t="shared" si="118"/>
        <v>0.59055625880667983</v>
      </c>
      <c r="U159" s="4">
        <f t="shared" si="139"/>
        <v>1.2362367823864837</v>
      </c>
      <c r="V159" s="387">
        <f t="shared" si="119"/>
        <v>1.0697969674877005E-2</v>
      </c>
      <c r="W159" s="387">
        <f t="shared" si="120"/>
        <v>1.0697969674877005E-2</v>
      </c>
      <c r="X159" s="387">
        <f t="shared" si="140"/>
        <v>2.9610263171398077</v>
      </c>
      <c r="Y159" s="387">
        <f t="shared" si="121"/>
        <v>1.7535353701589068E-2</v>
      </c>
      <c r="Z159" s="605">
        <f t="shared" si="122"/>
        <v>1.7535353701589068E-2</v>
      </c>
      <c r="AA159" s="387">
        <f t="shared" si="141"/>
        <v>4.8544747334342562</v>
      </c>
      <c r="AB159" s="387">
        <f t="shared" si="142"/>
        <v>0.13432577214404409</v>
      </c>
      <c r="AC159" s="387">
        <f t="shared" si="143"/>
        <v>8.7823747489239587E-2</v>
      </c>
      <c r="AD159">
        <f t="shared" si="144"/>
        <v>0</v>
      </c>
      <c r="AE159" s="387">
        <f t="shared" si="145"/>
        <v>0.22828236050153028</v>
      </c>
      <c r="AF159" s="387">
        <f t="shared" si="146"/>
        <v>3.7366236691127583</v>
      </c>
      <c r="AG159" s="387">
        <f t="shared" si="147"/>
        <v>7.9585431734070053E-2</v>
      </c>
      <c r="AH159" s="387">
        <f t="shared" si="148"/>
        <v>0.10752</v>
      </c>
      <c r="AI159" s="387">
        <f t="shared" si="149"/>
        <v>0.19013177562394953</v>
      </c>
      <c r="AJ159" s="387">
        <f t="shared" si="150"/>
        <v>0</v>
      </c>
      <c r="AK159" s="387">
        <f t="shared" si="151"/>
        <v>0</v>
      </c>
      <c r="AL159" s="387">
        <f t="shared" si="152"/>
        <v>0</v>
      </c>
      <c r="AM159">
        <f t="shared" si="153"/>
        <v>0</v>
      </c>
      <c r="AN159" s="387">
        <f t="shared" si="154"/>
        <v>0</v>
      </c>
      <c r="AO159" s="387">
        <f t="shared" si="155"/>
        <v>6.1260330869270767</v>
      </c>
      <c r="AP159" s="387">
        <f t="shared" si="156"/>
        <v>7.1303734626038048E-2</v>
      </c>
      <c r="AQ159" s="387">
        <f t="shared" si="157"/>
        <v>0</v>
      </c>
      <c r="AR159" s="387">
        <f t="shared" si="158"/>
        <v>7.2335289888905252E-2</v>
      </c>
      <c r="AS159" s="387">
        <f t="shared" si="159"/>
        <v>7.1303734626038048E-2</v>
      </c>
      <c r="AT159" s="387">
        <f t="shared" si="160"/>
        <v>0</v>
      </c>
      <c r="AU159" s="387">
        <f t="shared" si="161"/>
        <v>0.27117336959999999</v>
      </c>
      <c r="AV159" s="387">
        <f t="shared" si="162"/>
        <v>0.11169885155658955</v>
      </c>
      <c r="AW159" s="387">
        <f t="shared" si="163"/>
        <v>0</v>
      </c>
      <c r="AX159" s="387">
        <f t="shared" si="164"/>
        <v>3.6000000000000004E-2</v>
      </c>
      <c r="AY159" s="387">
        <f t="shared" si="165"/>
        <v>5.9136000000000001E-2</v>
      </c>
      <c r="AZ159" s="387">
        <f t="shared" si="166"/>
        <v>7.3471999999999996E-2</v>
      </c>
      <c r="BA159" s="387">
        <f t="shared" si="123"/>
        <v>9.5135999999999998E-2</v>
      </c>
      <c r="BB159" s="387">
        <f t="shared" si="124"/>
        <v>1.5875472293541206</v>
      </c>
      <c r="BC159">
        <f t="shared" si="167"/>
        <v>72</v>
      </c>
      <c r="BD159" s="606">
        <f t="shared" si="125"/>
        <v>0.97842641467032287</v>
      </c>
      <c r="BE159" s="616">
        <f t="shared" si="168"/>
        <v>24.972786505076513</v>
      </c>
      <c r="BF159" s="616">
        <f t="shared" si="169"/>
        <v>9.5065887811974772</v>
      </c>
      <c r="BG159" s="9"/>
      <c r="BH159" s="4">
        <f t="shared" si="126"/>
        <v>97.842641467032294</v>
      </c>
      <c r="BI159" s="387">
        <f t="shared" si="127"/>
        <v>0.59055625880667983</v>
      </c>
      <c r="BJ159" s="387">
        <f t="shared" si="128"/>
        <v>0.76192279561438503</v>
      </c>
      <c r="BK159" s="387">
        <f t="shared" si="129"/>
        <v>0.27961898759194953</v>
      </c>
      <c r="BL159" s="387">
        <f t="shared" si="130"/>
        <v>0.11169885155658955</v>
      </c>
    </row>
    <row r="160" spans="7:64" x14ac:dyDescent="0.2">
      <c r="G160">
        <v>151</v>
      </c>
      <c r="H160" s="612">
        <f t="shared" si="131"/>
        <v>19.344999999999999</v>
      </c>
      <c r="I160" s="4" t="str">
        <f t="shared" si="132"/>
        <v>BUCK</v>
      </c>
      <c r="J160">
        <f t="shared" si="170"/>
        <v>1</v>
      </c>
      <c r="K160">
        <f t="shared" si="133"/>
        <v>6</v>
      </c>
      <c r="L160" s="4">
        <f t="shared" si="134"/>
        <v>3.8769707934866897</v>
      </c>
      <c r="M160" s="4">
        <f t="shared" si="135"/>
        <v>6</v>
      </c>
      <c r="N160" s="387">
        <f t="shared" si="136"/>
        <v>0.62487495488062716</v>
      </c>
      <c r="O160" s="387">
        <f t="shared" si="171"/>
        <v>0</v>
      </c>
      <c r="P160" s="4">
        <f t="shared" si="137"/>
        <v>4.3178574484855492</v>
      </c>
      <c r="Q160" s="387">
        <f t="shared" si="138"/>
        <v>6.1281039274357543</v>
      </c>
      <c r="R160" s="387">
        <f t="shared" si="116"/>
        <v>0.22945810216990994</v>
      </c>
      <c r="S160" s="387">
        <f t="shared" si="117"/>
        <v>0.36817498242513602</v>
      </c>
      <c r="T160" s="387">
        <f t="shared" si="118"/>
        <v>0.59763308459504594</v>
      </c>
      <c r="U160" s="4">
        <f t="shared" si="139"/>
        <v>1.2464580801027814</v>
      </c>
      <c r="V160" s="387">
        <f t="shared" si="119"/>
        <v>1.0875604218174581E-2</v>
      </c>
      <c r="W160" s="387">
        <f t="shared" si="120"/>
        <v>1.0875604218174581E-2</v>
      </c>
      <c r="X160" s="387">
        <f t="shared" si="140"/>
        <v>2.9669533063894025</v>
      </c>
      <c r="Y160" s="387">
        <f t="shared" si="121"/>
        <v>1.7605623844590013E-2</v>
      </c>
      <c r="Z160" s="605">
        <f t="shared" si="122"/>
        <v>1.7605623844590013E-2</v>
      </c>
      <c r="AA160" s="387">
        <f t="shared" si="141"/>
        <v>4.8442068689613969</v>
      </c>
      <c r="AB160" s="387">
        <f t="shared" si="142"/>
        <v>0.13375813907896886</v>
      </c>
      <c r="AC160" s="387">
        <f t="shared" si="143"/>
        <v>8.8257163385939724E-2</v>
      </c>
      <c r="AD160">
        <f t="shared" si="144"/>
        <v>0</v>
      </c>
      <c r="AE160" s="387">
        <f t="shared" si="145"/>
        <v>0.22811782563442895</v>
      </c>
      <c r="AF160" s="387">
        <f t="shared" si="146"/>
        <v>3.7533075488375229</v>
      </c>
      <c r="AG160" s="387">
        <f t="shared" si="147"/>
        <v>8.0297710070116185E-2</v>
      </c>
      <c r="AH160" s="387">
        <f t="shared" si="148"/>
        <v>0.10752</v>
      </c>
      <c r="AI160" s="387">
        <f t="shared" si="149"/>
        <v>0.19088320695193225</v>
      </c>
      <c r="AJ160" s="387">
        <f t="shared" si="150"/>
        <v>0</v>
      </c>
      <c r="AK160" s="387">
        <f t="shared" si="151"/>
        <v>0</v>
      </c>
      <c r="AL160" s="387">
        <f t="shared" si="152"/>
        <v>0</v>
      </c>
      <c r="AM160">
        <f t="shared" si="153"/>
        <v>0</v>
      </c>
      <c r="AN160" s="387">
        <f t="shared" si="154"/>
        <v>0</v>
      </c>
      <c r="AO160" s="387">
        <f t="shared" si="155"/>
        <v>6.1281039274357543</v>
      </c>
      <c r="AP160" s="387">
        <f t="shared" si="156"/>
        <v>7.1351949716361676E-2</v>
      </c>
      <c r="AQ160" s="387">
        <f t="shared" si="157"/>
        <v>0</v>
      </c>
      <c r="AR160" s="387">
        <f t="shared" si="158"/>
        <v>7.2384910616873369E-2</v>
      </c>
      <c r="AS160" s="387">
        <f t="shared" si="159"/>
        <v>7.1351949716361676E-2</v>
      </c>
      <c r="AT160" s="387">
        <f t="shared" si="160"/>
        <v>0</v>
      </c>
      <c r="AU160" s="387">
        <f t="shared" si="161"/>
        <v>0.2725140096</v>
      </c>
      <c r="AV160" s="387">
        <f t="shared" si="162"/>
        <v>0.11269854044928587</v>
      </c>
      <c r="AW160" s="387">
        <f t="shared" si="163"/>
        <v>0</v>
      </c>
      <c r="AX160" s="387">
        <f t="shared" si="164"/>
        <v>3.6000000000000004E-2</v>
      </c>
      <c r="AY160" s="387">
        <f t="shared" si="165"/>
        <v>5.9136000000000001E-2</v>
      </c>
      <c r="AZ160" s="387">
        <f t="shared" si="166"/>
        <v>7.3471999999999996E-2</v>
      </c>
      <c r="BA160" s="387">
        <f t="shared" si="123"/>
        <v>9.5135999999999998E-2</v>
      </c>
      <c r="BB160" s="387">
        <f t="shared" si="124"/>
        <v>1.5978488059103311</v>
      </c>
      <c r="BC160">
        <f t="shared" si="167"/>
        <v>72</v>
      </c>
      <c r="BD160" s="606">
        <f t="shared" si="125"/>
        <v>0.9782894631862934</v>
      </c>
      <c r="BE160" s="616">
        <f t="shared" si="168"/>
        <v>25.031591761721451</v>
      </c>
      <c r="BF160" s="616">
        <f t="shared" si="169"/>
        <v>9.5441603475966126</v>
      </c>
      <c r="BG160" s="9"/>
      <c r="BH160" s="4">
        <f t="shared" si="126"/>
        <v>97.828946318629335</v>
      </c>
      <c r="BI160" s="387">
        <f t="shared" si="127"/>
        <v>0.59763308459504594</v>
      </c>
      <c r="BJ160" s="387">
        <f t="shared" si="128"/>
        <v>0.76389995280323464</v>
      </c>
      <c r="BK160" s="387">
        <f t="shared" si="129"/>
        <v>0.28081283011993224</v>
      </c>
      <c r="BL160" s="387">
        <f t="shared" si="130"/>
        <v>0.11269854044928587</v>
      </c>
    </row>
    <row r="161" spans="7:64" x14ac:dyDescent="0.2">
      <c r="G161">
        <v>152</v>
      </c>
      <c r="H161" s="612">
        <f t="shared" si="131"/>
        <v>19.439999999999998</v>
      </c>
      <c r="I161" s="4" t="str">
        <f t="shared" si="132"/>
        <v>BUCK</v>
      </c>
      <c r="J161">
        <f t="shared" si="170"/>
        <v>1</v>
      </c>
      <c r="K161">
        <f t="shared" si="133"/>
        <v>6</v>
      </c>
      <c r="L161" s="4">
        <f t="shared" si="134"/>
        <v>3.8580246913580249</v>
      </c>
      <c r="M161" s="4">
        <f t="shared" si="135"/>
        <v>6</v>
      </c>
      <c r="N161" s="387">
        <f t="shared" si="136"/>
        <v>0.62182881773399024</v>
      </c>
      <c r="O161" s="387">
        <f t="shared" si="171"/>
        <v>0</v>
      </c>
      <c r="P161" s="4">
        <f t="shared" si="137"/>
        <v>4.352919852712728</v>
      </c>
      <c r="Q161" s="387">
        <f t="shared" si="138"/>
        <v>6.1301706830787666</v>
      </c>
      <c r="R161" s="387">
        <f t="shared" si="116"/>
        <v>0.22961574525044862</v>
      </c>
      <c r="S161" s="387">
        <f t="shared" si="117"/>
        <v>0.37509975168159398</v>
      </c>
      <c r="T161" s="387">
        <f t="shared" si="118"/>
        <v>0.60471549693204263</v>
      </c>
      <c r="U161" s="4">
        <f t="shared" si="139"/>
        <v>1.2565797243622798</v>
      </c>
      <c r="V161" s="387">
        <f t="shared" si="119"/>
        <v>1.1052948225748684E-2</v>
      </c>
      <c r="W161" s="387">
        <f t="shared" si="120"/>
        <v>1.1052948225748684E-2</v>
      </c>
      <c r="X161" s="387">
        <f t="shared" si="140"/>
        <v>2.9727076783548374</v>
      </c>
      <c r="Y161" s="387">
        <f t="shared" si="121"/>
        <v>1.7673981881899614E-2</v>
      </c>
      <c r="Z161" s="605">
        <f t="shared" si="122"/>
        <v>1.7673981881899614E-2</v>
      </c>
      <c r="AA161" s="387">
        <f t="shared" si="141"/>
        <v>4.8340149505746979</v>
      </c>
      <c r="AB161" s="387">
        <f t="shared" si="142"/>
        <v>0.13319589309156429</v>
      </c>
      <c r="AC161" s="387">
        <f t="shared" si="143"/>
        <v>8.8690579282639861E-2</v>
      </c>
      <c r="AD161">
        <f t="shared" si="144"/>
        <v>0</v>
      </c>
      <c r="AE161" s="387">
        <f t="shared" si="145"/>
        <v>0.22795911598253563</v>
      </c>
      <c r="AF161" s="387">
        <f t="shared" si="146"/>
        <v>3.7697867394984947</v>
      </c>
      <c r="AG161" s="387">
        <f t="shared" si="147"/>
        <v>8.1004364749402549E-2</v>
      </c>
      <c r="AH161" s="387">
        <f t="shared" si="148"/>
        <v>0.10752</v>
      </c>
      <c r="AI161" s="387">
        <f t="shared" si="149"/>
        <v>0.19162892054466948</v>
      </c>
      <c r="AJ161" s="387">
        <f t="shared" si="150"/>
        <v>0</v>
      </c>
      <c r="AK161" s="387">
        <f t="shared" si="151"/>
        <v>0</v>
      </c>
      <c r="AL161" s="387">
        <f t="shared" si="152"/>
        <v>0</v>
      </c>
      <c r="AM161">
        <f t="shared" si="153"/>
        <v>0</v>
      </c>
      <c r="AN161" s="387">
        <f t="shared" si="154"/>
        <v>0</v>
      </c>
      <c r="AO161" s="387">
        <f t="shared" si="155"/>
        <v>6.1301706830787666</v>
      </c>
      <c r="AP161" s="387">
        <f t="shared" si="156"/>
        <v>7.1400085946988948E-2</v>
      </c>
      <c r="AQ161" s="387">
        <f t="shared" si="157"/>
        <v>0</v>
      </c>
      <c r="AR161" s="387">
        <f t="shared" si="158"/>
        <v>7.2434451154580956E-2</v>
      </c>
      <c r="AS161" s="387">
        <f t="shared" si="159"/>
        <v>7.1400085946988948E-2</v>
      </c>
      <c r="AT161" s="387">
        <f t="shared" si="160"/>
        <v>0</v>
      </c>
      <c r="AU161" s="387">
        <f t="shared" si="161"/>
        <v>0.2738546496</v>
      </c>
      <c r="AV161" s="387">
        <f t="shared" si="162"/>
        <v>0.11369033649038954</v>
      </c>
      <c r="AW161" s="387">
        <f t="shared" si="163"/>
        <v>0</v>
      </c>
      <c r="AX161" s="387">
        <f t="shared" si="164"/>
        <v>3.6000000000000004E-2</v>
      </c>
      <c r="AY161" s="387">
        <f t="shared" si="165"/>
        <v>5.9136000000000001E-2</v>
      </c>
      <c r="AZ161" s="387">
        <f t="shared" si="166"/>
        <v>7.3471999999999996E-2</v>
      </c>
      <c r="BA161" s="387">
        <f t="shared" si="123"/>
        <v>9.5135999999999998E-2</v>
      </c>
      <c r="BB161" s="387">
        <f t="shared" si="124"/>
        <v>1.6081459008118666</v>
      </c>
      <c r="BC161">
        <f t="shared" si="167"/>
        <v>72</v>
      </c>
      <c r="BD161" s="606">
        <f t="shared" si="125"/>
        <v>0.97815260959053552</v>
      </c>
      <c r="BE161" s="616">
        <f t="shared" si="168"/>
        <v>25.090688279126784</v>
      </c>
      <c r="BF161" s="616">
        <f t="shared" si="169"/>
        <v>9.5814460272334738</v>
      </c>
      <c r="BG161" s="9"/>
      <c r="BH161" s="4">
        <f t="shared" si="126"/>
        <v>97.815260959053546</v>
      </c>
      <c r="BI161" s="387">
        <f t="shared" si="127"/>
        <v>0.60471549693204263</v>
      </c>
      <c r="BJ161" s="387">
        <f t="shared" si="128"/>
        <v>0.76587713728178608</v>
      </c>
      <c r="BK161" s="387">
        <f t="shared" si="129"/>
        <v>0.28200095491266952</v>
      </c>
      <c r="BL161" s="387">
        <f t="shared" si="130"/>
        <v>0.11369033649038954</v>
      </c>
    </row>
    <row r="162" spans="7:64" x14ac:dyDescent="0.2">
      <c r="G162">
        <v>153</v>
      </c>
      <c r="H162" s="612">
        <f t="shared" si="131"/>
        <v>19.535</v>
      </c>
      <c r="I162" s="4" t="str">
        <f t="shared" si="132"/>
        <v>BUCK</v>
      </c>
      <c r="J162">
        <f t="shared" si="170"/>
        <v>1</v>
      </c>
      <c r="K162">
        <f t="shared" si="133"/>
        <v>6</v>
      </c>
      <c r="L162" s="4">
        <f t="shared" si="134"/>
        <v>3.8392628615305866</v>
      </c>
      <c r="M162" s="4">
        <f t="shared" si="135"/>
        <v>6</v>
      </c>
      <c r="N162" s="387">
        <f t="shared" si="136"/>
        <v>0.61881223510187411</v>
      </c>
      <c r="O162" s="387">
        <f t="shared" si="171"/>
        <v>0</v>
      </c>
      <c r="P162" s="4">
        <f t="shared" si="137"/>
        <v>4.3876420712276509</v>
      </c>
      <c r="Q162" s="387">
        <f t="shared" si="138"/>
        <v>6.1322331640901622</v>
      </c>
      <c r="R162" s="387">
        <f t="shared" si="116"/>
        <v>0.22977311916794879</v>
      </c>
      <c r="S162" s="387">
        <f t="shared" si="117"/>
        <v>0.38202939223017413</v>
      </c>
      <c r="T162" s="387">
        <f t="shared" si="118"/>
        <v>0.61180251139812292</v>
      </c>
      <c r="U162" s="4">
        <f t="shared" si="139"/>
        <v>1.2666031654655059</v>
      </c>
      <c r="V162" s="387">
        <f t="shared" si="119"/>
        <v>1.1229985051370678E-2</v>
      </c>
      <c r="W162" s="387">
        <f t="shared" si="120"/>
        <v>1.1229985051370678E-2</v>
      </c>
      <c r="X162" s="387">
        <f t="shared" si="140"/>
        <v>2.9782941042003017</v>
      </c>
      <c r="Y162" s="387">
        <f t="shared" si="121"/>
        <v>1.7740471542228554E-2</v>
      </c>
      <c r="Z162" s="605">
        <f t="shared" si="122"/>
        <v>1.7740471542228554E-2</v>
      </c>
      <c r="AA162" s="387">
        <f t="shared" si="141"/>
        <v>4.8238978814628384</v>
      </c>
      <c r="AB162" s="387">
        <f t="shared" si="142"/>
        <v>0.13263894739345547</v>
      </c>
      <c r="AC162" s="387">
        <f t="shared" si="143"/>
        <v>8.9123995179340013E-2</v>
      </c>
      <c r="AD162">
        <f t="shared" si="144"/>
        <v>0</v>
      </c>
      <c r="AE162" s="387">
        <f t="shared" si="145"/>
        <v>0.22780613578485012</v>
      </c>
      <c r="AF162" s="387">
        <f t="shared" si="146"/>
        <v>3.7860656106287411</v>
      </c>
      <c r="AG162" s="387">
        <f t="shared" si="147"/>
        <v>8.1705469005517825E-2</v>
      </c>
      <c r="AH162" s="387">
        <f t="shared" si="148"/>
        <v>0.10752</v>
      </c>
      <c r="AI162" s="387">
        <f t="shared" si="149"/>
        <v>0.19236898869419308</v>
      </c>
      <c r="AJ162" s="387">
        <f t="shared" si="150"/>
        <v>0</v>
      </c>
      <c r="AK162" s="387">
        <f t="shared" si="151"/>
        <v>0</v>
      </c>
      <c r="AL162" s="387">
        <f t="shared" si="152"/>
        <v>0</v>
      </c>
      <c r="AM162">
        <f t="shared" si="153"/>
        <v>0</v>
      </c>
      <c r="AN162" s="387">
        <f t="shared" si="154"/>
        <v>0</v>
      </c>
      <c r="AO162" s="387">
        <f t="shared" si="155"/>
        <v>6.1322331640901622</v>
      </c>
      <c r="AP162" s="387">
        <f t="shared" si="156"/>
        <v>7.1448138799657765E-2</v>
      </c>
      <c r="AQ162" s="387">
        <f t="shared" si="157"/>
        <v>0</v>
      </c>
      <c r="AR162" s="387">
        <f t="shared" si="158"/>
        <v>7.2483906847088206E-2</v>
      </c>
      <c r="AS162" s="387">
        <f t="shared" si="159"/>
        <v>7.1448138799657765E-2</v>
      </c>
      <c r="AT162" s="387">
        <f t="shared" si="160"/>
        <v>0</v>
      </c>
      <c r="AU162" s="387">
        <f t="shared" si="161"/>
        <v>0.2751952896</v>
      </c>
      <c r="AV162" s="387">
        <f t="shared" si="162"/>
        <v>0.11467434246388467</v>
      </c>
      <c r="AW162" s="387">
        <f t="shared" si="163"/>
        <v>0</v>
      </c>
      <c r="AX162" s="387">
        <f t="shared" si="164"/>
        <v>3.6000000000000004E-2</v>
      </c>
      <c r="AY162" s="387">
        <f t="shared" si="165"/>
        <v>5.9136000000000001E-2</v>
      </c>
      <c r="AZ162" s="387">
        <f t="shared" si="166"/>
        <v>7.3471999999999996E-2</v>
      </c>
      <c r="BA162" s="387">
        <f t="shared" si="123"/>
        <v>9.5135999999999998E-2</v>
      </c>
      <c r="BB162" s="387">
        <f t="shared" si="124"/>
        <v>1.6184376313817381</v>
      </c>
      <c r="BC162">
        <f t="shared" si="167"/>
        <v>72</v>
      </c>
      <c r="BD162" s="606">
        <f t="shared" si="125"/>
        <v>0.9780158655432829</v>
      </c>
      <c r="BE162" s="616">
        <f t="shared" si="168"/>
        <v>25.150071269242506</v>
      </c>
      <c r="BF162" s="616">
        <f t="shared" si="169"/>
        <v>9.618449434709655</v>
      </c>
      <c r="BG162" s="9"/>
      <c r="BH162" s="4">
        <f t="shared" si="126"/>
        <v>97.801586554328296</v>
      </c>
      <c r="BI162" s="387">
        <f t="shared" si="127"/>
        <v>0.61180251139812292</v>
      </c>
      <c r="BJ162" s="387">
        <f t="shared" si="128"/>
        <v>0.76785432092613148</v>
      </c>
      <c r="BK162" s="387">
        <f t="shared" si="129"/>
        <v>0.28318343426219306</v>
      </c>
      <c r="BL162" s="387">
        <f t="shared" si="130"/>
        <v>0.11467434246388467</v>
      </c>
    </row>
    <row r="163" spans="7:64" x14ac:dyDescent="0.2">
      <c r="G163">
        <v>154</v>
      </c>
      <c r="H163" s="612">
        <f t="shared" si="131"/>
        <v>19.630000000000003</v>
      </c>
      <c r="I163" s="4" t="str">
        <f t="shared" si="132"/>
        <v>BUCK</v>
      </c>
      <c r="J163">
        <f t="shared" si="170"/>
        <v>1</v>
      </c>
      <c r="K163">
        <f t="shared" si="133"/>
        <v>6</v>
      </c>
      <c r="L163" s="4">
        <f t="shared" si="134"/>
        <v>3.820682628629648</v>
      </c>
      <c r="M163" s="4">
        <f t="shared" si="135"/>
        <v>6</v>
      </c>
      <c r="N163" s="387">
        <f t="shared" si="136"/>
        <v>0.61582477894094922</v>
      </c>
      <c r="O163" s="387">
        <f t="shared" si="171"/>
        <v>0</v>
      </c>
      <c r="P163" s="4">
        <f t="shared" si="137"/>
        <v>4.4220290310009398</v>
      </c>
      <c r="Q163" s="387">
        <f t="shared" si="138"/>
        <v>6.1342911893647436</v>
      </c>
      <c r="R163" s="387">
        <f t="shared" si="116"/>
        <v>0.22993020974674488</v>
      </c>
      <c r="S163" s="387">
        <f t="shared" si="117"/>
        <v>0.38896296585104462</v>
      </c>
      <c r="T163" s="387">
        <f t="shared" si="118"/>
        <v>0.61889317559778956</v>
      </c>
      <c r="U163" s="4">
        <f t="shared" si="139"/>
        <v>1.2765298257063664</v>
      </c>
      <c r="V163" s="387">
        <f t="shared" si="119"/>
        <v>1.1406698771425484E-2</v>
      </c>
      <c r="W163" s="387">
        <f t="shared" si="120"/>
        <v>1.1406698771425484E-2</v>
      </c>
      <c r="X163" s="387">
        <f t="shared" si="140"/>
        <v>2.9837170942091698</v>
      </c>
      <c r="Y163" s="387">
        <f t="shared" si="121"/>
        <v>1.780513539655202E-2</v>
      </c>
      <c r="Z163" s="605">
        <f t="shared" si="122"/>
        <v>1.780513539655202E-2</v>
      </c>
      <c r="AA163" s="387">
        <f t="shared" si="141"/>
        <v>4.8138545892110534</v>
      </c>
      <c r="AB163" s="387">
        <f t="shared" si="142"/>
        <v>0.13208721723458944</v>
      </c>
      <c r="AC163" s="387">
        <f t="shared" si="143"/>
        <v>8.9557411076040164E-2</v>
      </c>
      <c r="AD163">
        <f t="shared" si="144"/>
        <v>0</v>
      </c>
      <c r="AE163" s="387">
        <f t="shared" si="145"/>
        <v>0.22765879156191002</v>
      </c>
      <c r="AF163" s="387">
        <f t="shared" si="146"/>
        <v>3.8021483913505527</v>
      </c>
      <c r="AG163" s="387">
        <f t="shared" si="147"/>
        <v>8.2401094622142707E-2</v>
      </c>
      <c r="AH163" s="387">
        <f t="shared" si="148"/>
        <v>0.10752</v>
      </c>
      <c r="AI163" s="387">
        <f t="shared" si="149"/>
        <v>0.19310348228527352</v>
      </c>
      <c r="AJ163" s="387">
        <f t="shared" si="150"/>
        <v>0</v>
      </c>
      <c r="AK163" s="387">
        <f t="shared" si="151"/>
        <v>0</v>
      </c>
      <c r="AL163" s="387">
        <f t="shared" si="152"/>
        <v>0</v>
      </c>
      <c r="AM163">
        <f t="shared" si="153"/>
        <v>0</v>
      </c>
      <c r="AN163" s="387">
        <f t="shared" si="154"/>
        <v>0</v>
      </c>
      <c r="AO163" s="387">
        <f t="shared" si="155"/>
        <v>6.1342911893647436</v>
      </c>
      <c r="AP163" s="387">
        <f t="shared" si="156"/>
        <v>7.1496103952244053E-2</v>
      </c>
      <c r="AQ163" s="387">
        <f t="shared" si="157"/>
        <v>0</v>
      </c>
      <c r="AR163" s="387">
        <f t="shared" si="158"/>
        <v>7.2533273240970642E-2</v>
      </c>
      <c r="AS163" s="387">
        <f t="shared" si="159"/>
        <v>7.1496103952244053E-2</v>
      </c>
      <c r="AT163" s="387">
        <f t="shared" si="160"/>
        <v>0</v>
      </c>
      <c r="AU163" s="387">
        <f t="shared" si="161"/>
        <v>0.27653592960000006</v>
      </c>
      <c r="AV163" s="387">
        <f t="shared" si="162"/>
        <v>0.11565065911879677</v>
      </c>
      <c r="AW163" s="387">
        <f t="shared" si="163"/>
        <v>0</v>
      </c>
      <c r="AX163" s="387">
        <f t="shared" si="164"/>
        <v>3.6000000000000004E-2</v>
      </c>
      <c r="AY163" s="387">
        <f t="shared" si="165"/>
        <v>5.9136000000000001E-2</v>
      </c>
      <c r="AZ163" s="387">
        <f t="shared" si="166"/>
        <v>7.3471999999999996E-2</v>
      </c>
      <c r="BA163" s="387">
        <f t="shared" si="123"/>
        <v>9.5135999999999998E-2</v>
      </c>
      <c r="BB163" s="387">
        <f t="shared" si="124"/>
        <v>1.628723145572718</v>
      </c>
      <c r="BC163">
        <f t="shared" si="167"/>
        <v>72</v>
      </c>
      <c r="BD163" s="606">
        <f t="shared" si="125"/>
        <v>0.97787924228493628</v>
      </c>
      <c r="BE163" s="616">
        <f t="shared" si="168"/>
        <v>25.209736058095505</v>
      </c>
      <c r="BF163" s="616">
        <f t="shared" si="169"/>
        <v>9.6551741142636764</v>
      </c>
      <c r="BG163" s="9"/>
      <c r="BH163" s="4">
        <f t="shared" si="126"/>
        <v>97.787924228493623</v>
      </c>
      <c r="BI163" s="387">
        <f t="shared" si="127"/>
        <v>0.61889317559778956</v>
      </c>
      <c r="BJ163" s="387">
        <f t="shared" si="128"/>
        <v>0.76983147668815421</v>
      </c>
      <c r="BK163" s="387">
        <f t="shared" si="129"/>
        <v>0.28436033905327351</v>
      </c>
      <c r="BL163" s="387">
        <f t="shared" si="130"/>
        <v>0.11565065911879677</v>
      </c>
    </row>
    <row r="164" spans="7:64" x14ac:dyDescent="0.2">
      <c r="G164">
        <v>155</v>
      </c>
      <c r="H164" s="612">
        <f t="shared" si="131"/>
        <v>19.725000000000001</v>
      </c>
      <c r="I164" s="4" t="str">
        <f t="shared" si="132"/>
        <v>BUCK</v>
      </c>
      <c r="J164">
        <f t="shared" si="170"/>
        <v>1</v>
      </c>
      <c r="K164">
        <f t="shared" si="133"/>
        <v>6</v>
      </c>
      <c r="L164" s="4">
        <f t="shared" si="134"/>
        <v>3.8022813688212929</v>
      </c>
      <c r="M164" s="4">
        <f t="shared" si="135"/>
        <v>6</v>
      </c>
      <c r="N164" s="387">
        <f t="shared" si="136"/>
        <v>0.61286602943407675</v>
      </c>
      <c r="O164" s="387">
        <f t="shared" si="171"/>
        <v>0</v>
      </c>
      <c r="P164" s="4">
        <f t="shared" si="137"/>
        <v>4.4560855643160826</v>
      </c>
      <c r="Q164" s="387">
        <f t="shared" si="138"/>
        <v>6.1363445861285246</v>
      </c>
      <c r="R164" s="387">
        <f t="shared" si="116"/>
        <v>0.23008700342824701</v>
      </c>
      <c r="S164" s="387">
        <f t="shared" si="117"/>
        <v>0.39589956478916838</v>
      </c>
      <c r="T164" s="387">
        <f t="shared" si="118"/>
        <v>0.62598656821741538</v>
      </c>
      <c r="U164" s="4">
        <f t="shared" si="139"/>
        <v>1.286361100044948</v>
      </c>
      <c r="V164" s="387">
        <f t="shared" si="119"/>
        <v>1.1583074157961941E-2</v>
      </c>
      <c r="W164" s="387">
        <f t="shared" si="120"/>
        <v>1.1583074157961941E-2</v>
      </c>
      <c r="X164" s="387">
        <f t="shared" si="140"/>
        <v>2.9889810048429855</v>
      </c>
      <c r="Y164" s="387">
        <f t="shared" si="121"/>
        <v>1.7868014894624366E-2</v>
      </c>
      <c r="Z164" s="605">
        <f t="shared" si="122"/>
        <v>1.7868014894624366E-2</v>
      </c>
      <c r="AA164" s="387">
        <f t="shared" si="141"/>
        <v>4.8038840250842556</v>
      </c>
      <c r="AB164" s="387">
        <f t="shared" si="142"/>
        <v>0.13154061984082036</v>
      </c>
      <c r="AC164" s="387">
        <f t="shared" si="143"/>
        <v>8.9990826972740315E-2</v>
      </c>
      <c r="AD164">
        <f t="shared" si="144"/>
        <v>0</v>
      </c>
      <c r="AE164" s="387">
        <f t="shared" si="145"/>
        <v>0.22751699204514825</v>
      </c>
      <c r="AF164" s="387">
        <f t="shared" si="146"/>
        <v>3.818039176494807</v>
      </c>
      <c r="AG164" s="387">
        <f t="shared" si="147"/>
        <v>8.3091311973520127E-2</v>
      </c>
      <c r="AH164" s="387">
        <f t="shared" si="148"/>
        <v>0.10752</v>
      </c>
      <c r="AI164" s="387">
        <f t="shared" si="149"/>
        <v>0.19383247083446101</v>
      </c>
      <c r="AJ164" s="387">
        <f t="shared" si="150"/>
        <v>0</v>
      </c>
      <c r="AK164" s="387">
        <f t="shared" si="151"/>
        <v>0</v>
      </c>
      <c r="AL164" s="387">
        <f t="shared" si="152"/>
        <v>0</v>
      </c>
      <c r="AM164">
        <f t="shared" si="153"/>
        <v>0</v>
      </c>
      <c r="AN164" s="387">
        <f t="shared" si="154"/>
        <v>0</v>
      </c>
      <c r="AO164" s="387">
        <f t="shared" si="155"/>
        <v>6.1363445861285246</v>
      </c>
      <c r="AP164" s="387">
        <f t="shared" si="156"/>
        <v>7.1543977271446818E-2</v>
      </c>
      <c r="AQ164" s="387">
        <f t="shared" si="157"/>
        <v>0</v>
      </c>
      <c r="AR164" s="387">
        <f t="shared" si="158"/>
        <v>7.2582546076811444E-2</v>
      </c>
      <c r="AS164" s="387">
        <f t="shared" si="159"/>
        <v>7.1543977271446818E-2</v>
      </c>
      <c r="AT164" s="387">
        <f t="shared" si="160"/>
        <v>0</v>
      </c>
      <c r="AU164" s="387">
        <f t="shared" si="161"/>
        <v>0.27787656960000001</v>
      </c>
      <c r="AV164" s="387">
        <f t="shared" si="162"/>
        <v>0.11661938522599316</v>
      </c>
      <c r="AW164" s="387">
        <f t="shared" si="163"/>
        <v>0</v>
      </c>
      <c r="AX164" s="387">
        <f t="shared" si="164"/>
        <v>3.6000000000000004E-2</v>
      </c>
      <c r="AY164" s="387">
        <f t="shared" si="165"/>
        <v>5.9136000000000001E-2</v>
      </c>
      <c r="AZ164" s="387">
        <f t="shared" si="166"/>
        <v>7.3471999999999996E-2</v>
      </c>
      <c r="BA164" s="387">
        <f t="shared" si="123"/>
        <v>9.5135999999999998E-2</v>
      </c>
      <c r="BB164" s="387">
        <f t="shared" si="124"/>
        <v>1.6390016210524154</v>
      </c>
      <c r="BC164">
        <f t="shared" si="167"/>
        <v>72</v>
      </c>
      <c r="BD164" s="606">
        <f t="shared" si="125"/>
        <v>0.97774275064881044</v>
      </c>
      <c r="BE164" s="616">
        <f t="shared" si="168"/>
        <v>25.269678082257414</v>
      </c>
      <c r="BF164" s="616">
        <f t="shared" si="169"/>
        <v>9.6916235417230503</v>
      </c>
      <c r="BG164" s="9"/>
      <c r="BH164" s="4">
        <f t="shared" si="126"/>
        <v>97.774275064881039</v>
      </c>
      <c r="BI164" s="387">
        <f t="shared" si="127"/>
        <v>0.62598656821741538</v>
      </c>
      <c r="BJ164" s="387">
        <f t="shared" si="128"/>
        <v>0.77180857855642082</v>
      </c>
      <c r="BK164" s="387">
        <f t="shared" si="129"/>
        <v>0.28553173880246102</v>
      </c>
      <c r="BL164" s="387">
        <f t="shared" si="130"/>
        <v>0.11661938522599316</v>
      </c>
    </row>
    <row r="165" spans="7:64" x14ac:dyDescent="0.2">
      <c r="G165">
        <v>156</v>
      </c>
      <c r="H165" s="612">
        <f t="shared" si="131"/>
        <v>19.82</v>
      </c>
      <c r="I165" s="4" t="str">
        <f t="shared" si="132"/>
        <v>BUCK</v>
      </c>
      <c r="J165">
        <f t="shared" si="170"/>
        <v>1</v>
      </c>
      <c r="K165">
        <f t="shared" si="133"/>
        <v>6</v>
      </c>
      <c r="L165" s="4">
        <f t="shared" si="134"/>
        <v>3.7840565085771947</v>
      </c>
      <c r="M165" s="4">
        <f t="shared" si="135"/>
        <v>6</v>
      </c>
      <c r="N165" s="387">
        <f t="shared" si="136"/>
        <v>0.60993557479363802</v>
      </c>
      <c r="O165" s="387">
        <f t="shared" si="171"/>
        <v>0</v>
      </c>
      <c r="P165" s="4">
        <f t="shared" si="137"/>
        <v>4.4898164110331837</v>
      </c>
      <c r="Q165" s="387">
        <f t="shared" si="138"/>
        <v>6.1383931896220671</v>
      </c>
      <c r="R165" s="387">
        <f t="shared" si="116"/>
        <v>0.23024348724799507</v>
      </c>
      <c r="S165" s="387">
        <f t="shared" si="117"/>
        <v>0.40283831086151817</v>
      </c>
      <c r="T165" s="387">
        <f t="shared" si="118"/>
        <v>0.63308179810951326</v>
      </c>
      <c r="U165" s="4">
        <f t="shared" si="139"/>
        <v>1.296098356761004</v>
      </c>
      <c r="V165" s="387">
        <f t="shared" si="119"/>
        <v>1.1759096652790025E-2</v>
      </c>
      <c r="W165" s="387">
        <f t="shared" si="120"/>
        <v>1.1759096652790025E-2</v>
      </c>
      <c r="X165" s="387">
        <f t="shared" si="140"/>
        <v>2.9940900454173125</v>
      </c>
      <c r="Y165" s="387">
        <f t="shared" si="121"/>
        <v>1.7929150400134087E-2</v>
      </c>
      <c r="Z165" s="605">
        <f t="shared" si="122"/>
        <v>1.7929150400134087E-2</v>
      </c>
      <c r="AA165" s="387">
        <f t="shared" si="141"/>
        <v>4.7939851633355586</v>
      </c>
      <c r="AB165" s="387">
        <f t="shared" si="142"/>
        <v>0.13099907435380434</v>
      </c>
      <c r="AC165" s="387">
        <f t="shared" si="143"/>
        <v>9.0424242869440438E-2</v>
      </c>
      <c r="AD165">
        <f t="shared" si="144"/>
        <v>0</v>
      </c>
      <c r="AE165" s="387">
        <f t="shared" si="145"/>
        <v>0.22738064810889133</v>
      </c>
      <c r="AF165" s="387">
        <f t="shared" si="146"/>
        <v>3.8337419323837016</v>
      </c>
      <c r="AG165" s="387">
        <f t="shared" si="147"/>
        <v>8.3776190063467579E-2</v>
      </c>
      <c r="AH165" s="387">
        <f t="shared" si="148"/>
        <v>0.10752</v>
      </c>
      <c r="AI165" s="387">
        <f t="shared" si="149"/>
        <v>0.19455602252772256</v>
      </c>
      <c r="AJ165" s="387">
        <f t="shared" si="150"/>
        <v>0</v>
      </c>
      <c r="AK165" s="387">
        <f t="shared" si="151"/>
        <v>0</v>
      </c>
      <c r="AL165" s="387">
        <f t="shared" si="152"/>
        <v>0</v>
      </c>
      <c r="AM165">
        <f t="shared" si="153"/>
        <v>0</v>
      </c>
      <c r="AN165" s="387">
        <f t="shared" si="154"/>
        <v>0</v>
      </c>
      <c r="AO165" s="387">
        <f t="shared" si="155"/>
        <v>6.1383931896220671</v>
      </c>
      <c r="AP165" s="387">
        <f t="shared" si="156"/>
        <v>7.1591754805757288E-2</v>
      </c>
      <c r="AQ165" s="387">
        <f t="shared" si="157"/>
        <v>0</v>
      </c>
      <c r="AR165" s="387">
        <f t="shared" si="158"/>
        <v>7.2631721281985279E-2</v>
      </c>
      <c r="AS165" s="387">
        <f t="shared" si="159"/>
        <v>7.1591754805757288E-2</v>
      </c>
      <c r="AT165" s="387">
        <f t="shared" si="160"/>
        <v>0</v>
      </c>
      <c r="AU165" s="387">
        <f t="shared" si="161"/>
        <v>0.27921720960000002</v>
      </c>
      <c r="AV165" s="387">
        <f t="shared" si="162"/>
        <v>0.11758061763293695</v>
      </c>
      <c r="AW165" s="387">
        <f t="shared" si="163"/>
        <v>0</v>
      </c>
      <c r="AX165" s="387">
        <f t="shared" si="164"/>
        <v>3.6000000000000004E-2</v>
      </c>
      <c r="AY165" s="387">
        <f t="shared" si="165"/>
        <v>5.9136000000000001E-2</v>
      </c>
      <c r="AZ165" s="387">
        <f t="shared" si="166"/>
        <v>7.3471999999999996E-2</v>
      </c>
      <c r="BA165" s="387">
        <f t="shared" si="123"/>
        <v>9.5135999999999998E-2</v>
      </c>
      <c r="BB165" s="387">
        <f t="shared" si="124"/>
        <v>1.6492722643139737</v>
      </c>
      <c r="BC165">
        <f t="shared" si="167"/>
        <v>72</v>
      </c>
      <c r="BD165" s="606">
        <f t="shared" si="125"/>
        <v>0.9776064010735227</v>
      </c>
      <c r="BE165" s="616">
        <f t="shared" si="168"/>
        <v>25.329892885444565</v>
      </c>
      <c r="BF165" s="616">
        <f t="shared" si="169"/>
        <v>9.7278011263861277</v>
      </c>
      <c r="BG165" s="9"/>
      <c r="BH165" s="4">
        <f t="shared" si="126"/>
        <v>97.760640107352273</v>
      </c>
      <c r="BI165" s="387">
        <f t="shared" si="127"/>
        <v>0.63308179810951326</v>
      </c>
      <c r="BJ165" s="387">
        <f t="shared" si="128"/>
        <v>0.7737856015185991</v>
      </c>
      <c r="BK165" s="387">
        <f t="shared" si="129"/>
        <v>0.28669770169572256</v>
      </c>
      <c r="BL165" s="387">
        <f t="shared" si="130"/>
        <v>0.11758061763293695</v>
      </c>
    </row>
    <row r="166" spans="7:64" x14ac:dyDescent="0.2">
      <c r="G166">
        <v>157</v>
      </c>
      <c r="H166" s="612">
        <f t="shared" si="131"/>
        <v>19.914999999999999</v>
      </c>
      <c r="I166" s="4" t="str">
        <f t="shared" si="132"/>
        <v>BUCK</v>
      </c>
      <c r="J166">
        <f t="shared" si="170"/>
        <v>1</v>
      </c>
      <c r="K166">
        <f t="shared" si="133"/>
        <v>6</v>
      </c>
      <c r="L166" s="4">
        <f t="shared" si="134"/>
        <v>3.7660055234747682</v>
      </c>
      <c r="M166" s="4">
        <f t="shared" si="135"/>
        <v>6</v>
      </c>
      <c r="N166" s="387">
        <f t="shared" si="136"/>
        <v>0.60703301107048047</v>
      </c>
      <c r="O166" s="387">
        <f t="shared" si="171"/>
        <v>0</v>
      </c>
      <c r="P166" s="4">
        <f t="shared" si="137"/>
        <v>4.5232262207880938</v>
      </c>
      <c r="Q166" s="387">
        <f t="shared" si="138"/>
        <v>6.1404368427961815</v>
      </c>
      <c r="R166" s="387">
        <f t="shared" si="116"/>
        <v>0.23039964881360231</v>
      </c>
      <c r="S166" s="387">
        <f t="shared" si="117"/>
        <v>0.40977835458926848</v>
      </c>
      <c r="T166" s="387">
        <f t="shared" si="118"/>
        <v>0.64017800340287079</v>
      </c>
      <c r="U166" s="4">
        <f t="shared" si="139"/>
        <v>1.3057429380887899</v>
      </c>
      <c r="V166" s="387">
        <f t="shared" si="119"/>
        <v>1.1934752342581218E-2</v>
      </c>
      <c r="W166" s="387">
        <f t="shared" si="120"/>
        <v>1.1934752342581218E-2</v>
      </c>
      <c r="X166" s="387">
        <f t="shared" si="140"/>
        <v>2.9990482844194073</v>
      </c>
      <c r="Y166" s="387">
        <f t="shared" si="121"/>
        <v>1.798858122455798E-2</v>
      </c>
      <c r="Z166" s="605">
        <f t="shared" si="122"/>
        <v>1.798858122455798E-2</v>
      </c>
      <c r="AA166" s="387">
        <f t="shared" si="141"/>
        <v>4.7841570005392144</v>
      </c>
      <c r="AB166" s="387">
        <f t="shared" si="142"/>
        <v>0.13046250177310773</v>
      </c>
      <c r="AC166" s="387">
        <f t="shared" si="143"/>
        <v>9.0857658766140589E-2</v>
      </c>
      <c r="AD166">
        <f t="shared" si="144"/>
        <v>0</v>
      </c>
      <c r="AE166" s="387">
        <f t="shared" si="145"/>
        <v>0.22724967270488822</v>
      </c>
      <c r="AF166" s="387">
        <f t="shared" si="146"/>
        <v>3.8492605022991584</v>
      </c>
      <c r="AG166" s="387">
        <f t="shared" si="147"/>
        <v>8.4455796562994109E-2</v>
      </c>
      <c r="AH166" s="387">
        <f t="shared" si="148"/>
        <v>0.10752</v>
      </c>
      <c r="AI166" s="387">
        <f t="shared" si="149"/>
        <v>0.19527420425673561</v>
      </c>
      <c r="AJ166" s="387">
        <f t="shared" si="150"/>
        <v>0</v>
      </c>
      <c r="AK166" s="387">
        <f t="shared" si="151"/>
        <v>0</v>
      </c>
      <c r="AL166" s="387">
        <f t="shared" si="152"/>
        <v>0</v>
      </c>
      <c r="AM166">
        <f t="shared" si="153"/>
        <v>0</v>
      </c>
      <c r="AN166" s="387">
        <f t="shared" si="154"/>
        <v>0</v>
      </c>
      <c r="AO166" s="387">
        <f t="shared" si="155"/>
        <v>6.1404368427961815</v>
      </c>
      <c r="AP166" s="387">
        <f t="shared" si="156"/>
        <v>7.1639432778700593E-2</v>
      </c>
      <c r="AQ166" s="387">
        <f t="shared" si="157"/>
        <v>0</v>
      </c>
      <c r="AR166" s="387">
        <f t="shared" si="158"/>
        <v>7.2680794963721804E-2</v>
      </c>
      <c r="AS166" s="387">
        <f t="shared" si="159"/>
        <v>7.1639432778700593E-2</v>
      </c>
      <c r="AT166" s="387">
        <f t="shared" si="160"/>
        <v>0</v>
      </c>
      <c r="AU166" s="387">
        <f t="shared" si="161"/>
        <v>0.28055784960000002</v>
      </c>
      <c r="AV166" s="387">
        <f t="shared" si="162"/>
        <v>0.11853445131648296</v>
      </c>
      <c r="AW166" s="387">
        <f t="shared" si="163"/>
        <v>0</v>
      </c>
      <c r="AX166" s="387">
        <f t="shared" si="164"/>
        <v>3.6000000000000004E-2</v>
      </c>
      <c r="AY166" s="387">
        <f t="shared" si="165"/>
        <v>5.9136000000000001E-2</v>
      </c>
      <c r="AZ166" s="387">
        <f t="shared" si="166"/>
        <v>7.3471999999999996E-2</v>
      </c>
      <c r="BA166" s="387">
        <f t="shared" si="123"/>
        <v>9.5135999999999998E-2</v>
      </c>
      <c r="BB166" s="387">
        <f t="shared" si="124"/>
        <v>1.6595343098118389</v>
      </c>
      <c r="BC166">
        <f t="shared" si="167"/>
        <v>72</v>
      </c>
      <c r="BD166" s="606">
        <f t="shared" si="125"/>
        <v>0.97747020361502923</v>
      </c>
      <c r="BE166" s="616">
        <f t="shared" si="168"/>
        <v>25.390376115244411</v>
      </c>
      <c r="BF166" s="616">
        <f t="shared" si="169"/>
        <v>9.7637102128367808</v>
      </c>
      <c r="BG166" s="9"/>
      <c r="BH166" s="4">
        <f t="shared" si="126"/>
        <v>97.747020361502919</v>
      </c>
      <c r="BI166" s="387">
        <f t="shared" si="127"/>
        <v>0.64017800340287079</v>
      </c>
      <c r="BJ166" s="387">
        <f t="shared" si="128"/>
        <v>0.77576252152534564</v>
      </c>
      <c r="BK166" s="387">
        <f t="shared" si="129"/>
        <v>0.28785829462473561</v>
      </c>
      <c r="BL166" s="387">
        <f t="shared" si="130"/>
        <v>0.11853445131648296</v>
      </c>
    </row>
    <row r="167" spans="7:64" x14ac:dyDescent="0.2">
      <c r="G167">
        <v>158</v>
      </c>
      <c r="H167" s="612">
        <f t="shared" si="131"/>
        <v>20.010000000000002</v>
      </c>
      <c r="I167" s="4" t="str">
        <f t="shared" si="132"/>
        <v>BUCK</v>
      </c>
      <c r="J167">
        <f t="shared" si="170"/>
        <v>1</v>
      </c>
      <c r="K167">
        <f t="shared" si="133"/>
        <v>6</v>
      </c>
      <c r="L167" s="4">
        <f t="shared" si="134"/>
        <v>3.7481259370314839</v>
      </c>
      <c r="M167" s="4">
        <f t="shared" si="135"/>
        <v>6</v>
      </c>
      <c r="N167" s="387">
        <f t="shared" si="136"/>
        <v>0.60415794196829198</v>
      </c>
      <c r="O167" s="387">
        <f t="shared" si="171"/>
        <v>0</v>
      </c>
      <c r="P167" s="4">
        <f t="shared" si="137"/>
        <v>4.5563195551290328</v>
      </c>
      <c r="Q167" s="387">
        <f t="shared" si="138"/>
        <v>6.1424753960194476</v>
      </c>
      <c r="R167" s="387">
        <f t="shared" si="116"/>
        <v>0.230555476283549</v>
      </c>
      <c r="S167" s="387">
        <f t="shared" si="117"/>
        <v>0.41671887435439986</v>
      </c>
      <c r="T167" s="387">
        <f t="shared" si="118"/>
        <v>0.6472743506379488</v>
      </c>
      <c r="U167" s="4">
        <f t="shared" si="139"/>
        <v>1.3152961608338516</v>
      </c>
      <c r="V167" s="387">
        <f t="shared" si="119"/>
        <v>1.2110027934929884E-2</v>
      </c>
      <c r="W167" s="387">
        <f t="shared" si="120"/>
        <v>1.2110027934929884E-2</v>
      </c>
      <c r="X167" s="387">
        <f t="shared" si="140"/>
        <v>3.0038596554907513</v>
      </c>
      <c r="Y167" s="387">
        <f t="shared" si="121"/>
        <v>1.8046345659770029E-2</v>
      </c>
      <c r="Z167" s="605">
        <f t="shared" si="122"/>
        <v>1.8046345659770029E-2</v>
      </c>
      <c r="AA167" s="387">
        <f t="shared" si="141"/>
        <v>4.7743985549469299</v>
      </c>
      <c r="AB167" s="387">
        <f t="shared" si="142"/>
        <v>0.1299308249004322</v>
      </c>
      <c r="AC167" s="387">
        <f t="shared" si="143"/>
        <v>9.1291074662840727E-2</v>
      </c>
      <c r="AD167">
        <f t="shared" si="144"/>
        <v>0</v>
      </c>
      <c r="AE167" s="387">
        <f t="shared" si="145"/>
        <v>0.22712398079925639</v>
      </c>
      <c r="AF167" s="387">
        <f t="shared" si="146"/>
        <v>3.8645986116574815</v>
      </c>
      <c r="AG167" s="387">
        <f t="shared" si="147"/>
        <v>8.5130197846582129E-2</v>
      </c>
      <c r="AH167" s="387">
        <f t="shared" si="148"/>
        <v>0.10752</v>
      </c>
      <c r="AI167" s="387">
        <f t="shared" si="149"/>
        <v>0.19598708165389622</v>
      </c>
      <c r="AJ167" s="387">
        <f t="shared" si="150"/>
        <v>0</v>
      </c>
      <c r="AK167" s="387">
        <f t="shared" si="151"/>
        <v>0</v>
      </c>
      <c r="AL167" s="387">
        <f t="shared" si="152"/>
        <v>0</v>
      </c>
      <c r="AM167">
        <f t="shared" si="153"/>
        <v>0</v>
      </c>
      <c r="AN167" s="387">
        <f t="shared" si="154"/>
        <v>0</v>
      </c>
      <c r="AO167" s="387">
        <f t="shared" si="155"/>
        <v>6.1424753960194476</v>
      </c>
      <c r="AP167" s="387">
        <f t="shared" si="156"/>
        <v>7.1687007582338105E-2</v>
      </c>
      <c r="AQ167" s="387">
        <f t="shared" si="157"/>
        <v>0</v>
      </c>
      <c r="AR167" s="387">
        <f t="shared" si="158"/>
        <v>7.2729763402436531E-2</v>
      </c>
      <c r="AS167" s="387">
        <f t="shared" si="159"/>
        <v>7.1687007582338105E-2</v>
      </c>
      <c r="AT167" s="387">
        <f t="shared" si="160"/>
        <v>0</v>
      </c>
      <c r="AU167" s="387">
        <f t="shared" si="161"/>
        <v>0.28189848960000002</v>
      </c>
      <c r="AV167" s="387">
        <f t="shared" si="162"/>
        <v>0.11948097943379948</v>
      </c>
      <c r="AW167" s="387">
        <f t="shared" si="163"/>
        <v>0</v>
      </c>
      <c r="AX167" s="387">
        <f t="shared" si="164"/>
        <v>3.6000000000000004E-2</v>
      </c>
      <c r="AY167" s="387">
        <f t="shared" si="165"/>
        <v>5.9136000000000001E-2</v>
      </c>
      <c r="AZ167" s="387">
        <f t="shared" si="166"/>
        <v>7.3471999999999996E-2</v>
      </c>
      <c r="BA167" s="387">
        <f t="shared" si="123"/>
        <v>9.5135999999999998E-2</v>
      </c>
      <c r="BB167" s="387">
        <f t="shared" si="124"/>
        <v>1.6697870191220374</v>
      </c>
      <c r="BC167">
        <f t="shared" si="167"/>
        <v>72</v>
      </c>
      <c r="BD167" s="606">
        <f t="shared" si="125"/>
        <v>0.97733416795831618</v>
      </c>
      <c r="BE167" s="616">
        <f t="shared" si="168"/>
        <v>25.45112351996282</v>
      </c>
      <c r="BF167" s="616">
        <f t="shared" si="169"/>
        <v>9.799354082694812</v>
      </c>
      <c r="BG167" s="9"/>
      <c r="BH167" s="4">
        <f t="shared" si="126"/>
        <v>97.733416795831616</v>
      </c>
      <c r="BI167" s="387">
        <f t="shared" si="127"/>
        <v>0.6472743506379488</v>
      </c>
      <c r="BJ167" s="387">
        <f t="shared" si="128"/>
        <v>0.77773931545558916</v>
      </c>
      <c r="BK167" s="387">
        <f t="shared" si="129"/>
        <v>0.28901358322189624</v>
      </c>
      <c r="BL167" s="387">
        <f t="shared" si="130"/>
        <v>0.11948097943379948</v>
      </c>
    </row>
    <row r="168" spans="7:64" x14ac:dyDescent="0.2">
      <c r="G168">
        <v>159</v>
      </c>
      <c r="H168" s="612">
        <f t="shared" si="131"/>
        <v>20.105</v>
      </c>
      <c r="I168" s="4" t="str">
        <f t="shared" si="132"/>
        <v>BUCK</v>
      </c>
      <c r="J168">
        <f t="shared" si="170"/>
        <v>1</v>
      </c>
      <c r="K168">
        <f t="shared" si="133"/>
        <v>6</v>
      </c>
      <c r="L168" s="4">
        <f t="shared" si="134"/>
        <v>3.7304153195722458</v>
      </c>
      <c r="M168" s="4">
        <f t="shared" si="135"/>
        <v>6</v>
      </c>
      <c r="N168" s="387">
        <f t="shared" si="136"/>
        <v>0.60130997866322633</v>
      </c>
      <c r="O168" s="387">
        <f t="shared" si="171"/>
        <v>0</v>
      </c>
      <c r="P168" s="4">
        <f t="shared" si="137"/>
        <v>4.5891008895927925</v>
      </c>
      <c r="Q168" s="387">
        <f t="shared" si="138"/>
        <v>6.1445087067970787</v>
      </c>
      <c r="R168" s="387">
        <f t="shared" si="116"/>
        <v>0.23071095834679151</v>
      </c>
      <c r="S168" s="387">
        <f t="shared" si="117"/>
        <v>0.42365907558015226</v>
      </c>
      <c r="T168" s="387">
        <f t="shared" si="118"/>
        <v>0.65437003392694382</v>
      </c>
      <c r="U168" s="4">
        <f t="shared" si="139"/>
        <v>1.324759316972375</v>
      </c>
      <c r="V168" s="387">
        <f t="shared" si="119"/>
        <v>1.2284910735335795E-2</v>
      </c>
      <c r="W168" s="387">
        <f t="shared" si="120"/>
        <v>1.2284910735335795E-2</v>
      </c>
      <c r="X168" s="387">
        <f t="shared" si="140"/>
        <v>3.0085279630957658</v>
      </c>
      <c r="Y168" s="387">
        <f t="shared" si="121"/>
        <v>1.8102481009458316E-2</v>
      </c>
      <c r="Z168" s="605">
        <f t="shared" si="122"/>
        <v>1.8102481009458316E-2</v>
      </c>
      <c r="AA168" s="387">
        <f t="shared" si="141"/>
        <v>4.7647088658666439</v>
      </c>
      <c r="AB168" s="387">
        <f t="shared" si="142"/>
        <v>0.12940396828586873</v>
      </c>
      <c r="AC168" s="387">
        <f t="shared" si="143"/>
        <v>9.1724490559540878E-2</v>
      </c>
      <c r="AD168">
        <f t="shared" si="144"/>
        <v>0</v>
      </c>
      <c r="AE168" s="387">
        <f t="shared" si="145"/>
        <v>0.22700348931174533</v>
      </c>
      <c r="AF168" s="387">
        <f t="shared" si="146"/>
        <v>3.8797598729092635</v>
      </c>
      <c r="AG168" s="387">
        <f t="shared" si="147"/>
        <v>8.5799459027190356E-2</v>
      </c>
      <c r="AH168" s="387">
        <f t="shared" si="148"/>
        <v>0.10752</v>
      </c>
      <c r="AI168" s="387">
        <f t="shared" si="149"/>
        <v>0.19669471912609518</v>
      </c>
      <c r="AJ168" s="387">
        <f t="shared" si="150"/>
        <v>0</v>
      </c>
      <c r="AK168" s="387">
        <f t="shared" si="151"/>
        <v>0</v>
      </c>
      <c r="AL168" s="387">
        <f t="shared" si="152"/>
        <v>0</v>
      </c>
      <c r="AM168">
        <f t="shared" si="153"/>
        <v>0</v>
      </c>
      <c r="AN168" s="387">
        <f t="shared" si="154"/>
        <v>0</v>
      </c>
      <c r="AO168" s="387">
        <f t="shared" si="155"/>
        <v>6.1445087067970787</v>
      </c>
      <c r="AP168" s="387">
        <f t="shared" si="156"/>
        <v>7.1734475771019698E-2</v>
      </c>
      <c r="AQ168" s="387">
        <f t="shared" si="157"/>
        <v>0</v>
      </c>
      <c r="AR168" s="387">
        <f t="shared" si="158"/>
        <v>7.2778623045318208E-2</v>
      </c>
      <c r="AS168" s="387">
        <f t="shared" si="159"/>
        <v>7.1734475771019698E-2</v>
      </c>
      <c r="AT168" s="387">
        <f t="shared" si="160"/>
        <v>0</v>
      </c>
      <c r="AU168" s="387">
        <f t="shared" si="161"/>
        <v>0.28323912960000003</v>
      </c>
      <c r="AV168" s="387">
        <f t="shared" si="162"/>
        <v>0.12042029337149524</v>
      </c>
      <c r="AW168" s="387">
        <f t="shared" si="163"/>
        <v>0</v>
      </c>
      <c r="AX168" s="387">
        <f t="shared" si="164"/>
        <v>3.6000000000000004E-2</v>
      </c>
      <c r="AY168" s="387">
        <f t="shared" si="165"/>
        <v>5.9136000000000001E-2</v>
      </c>
      <c r="AZ168" s="387">
        <f t="shared" si="166"/>
        <v>7.3471999999999996E-2</v>
      </c>
      <c r="BA168" s="387">
        <f t="shared" si="123"/>
        <v>9.5135999999999998E-2</v>
      </c>
      <c r="BB168" s="387">
        <f t="shared" si="124"/>
        <v>1.6800296801263919</v>
      </c>
      <c r="BC168">
        <f t="shared" si="167"/>
        <v>72</v>
      </c>
      <c r="BD168" s="606">
        <f t="shared" si="125"/>
        <v>0.97719830342875735</v>
      </c>
      <c r="BE168" s="616">
        <f t="shared" si="168"/>
        <v>25.51213094558727</v>
      </c>
      <c r="BF168" s="616">
        <f t="shared" si="169"/>
        <v>9.8347359563047583</v>
      </c>
      <c r="BG168" s="9"/>
      <c r="BH168" s="4">
        <f t="shared" si="126"/>
        <v>97.719830342875738</v>
      </c>
      <c r="BI168" s="387">
        <f t="shared" si="127"/>
        <v>0.65437003392694382</v>
      </c>
      <c r="BJ168" s="387">
        <f t="shared" si="128"/>
        <v>0.77971596108315877</v>
      </c>
      <c r="BK168" s="387">
        <f t="shared" si="129"/>
        <v>0.29016363189409522</v>
      </c>
      <c r="BL168" s="387">
        <f t="shared" si="130"/>
        <v>0.12042029337149524</v>
      </c>
    </row>
    <row r="169" spans="7:64" x14ac:dyDescent="0.2">
      <c r="G169">
        <v>160</v>
      </c>
      <c r="H169" s="612">
        <f t="shared" si="131"/>
        <v>20.200000000000003</v>
      </c>
      <c r="I169" s="4" t="str">
        <f t="shared" si="132"/>
        <v>BUCK</v>
      </c>
      <c r="J169">
        <f t="shared" si="170"/>
        <v>1</v>
      </c>
      <c r="K169">
        <f t="shared" si="133"/>
        <v>6</v>
      </c>
      <c r="L169" s="4">
        <f t="shared" si="134"/>
        <v>3.7128712871287122</v>
      </c>
      <c r="M169" s="4">
        <f t="shared" si="135"/>
        <v>6</v>
      </c>
      <c r="N169" s="387">
        <f t="shared" si="136"/>
        <v>0.59848873962860527</v>
      </c>
      <c r="O169" s="387">
        <f t="shared" si="171"/>
        <v>0</v>
      </c>
      <c r="P169" s="4">
        <f t="shared" si="137"/>
        <v>4.6215746157224897</v>
      </c>
      <c r="Q169" s="387">
        <f t="shared" si="138"/>
        <v>6.1465366395006713</v>
      </c>
      <c r="R169" s="387">
        <f t="shared" si="116"/>
        <v>0.23086608420315416</v>
      </c>
      <c r="S169" s="387">
        <f t="shared" si="117"/>
        <v>0.43059818993476001</v>
      </c>
      <c r="T169" s="387">
        <f t="shared" si="118"/>
        <v>0.6614642741379142</v>
      </c>
      <c r="U169" s="4">
        <f t="shared" si="139"/>
        <v>1.3341336742336605</v>
      </c>
      <c r="V169" s="387">
        <f t="shared" si="119"/>
        <v>1.2459388625069448E-2</v>
      </c>
      <c r="W169" s="387">
        <f t="shared" si="120"/>
        <v>1.2459388625069448E-2</v>
      </c>
      <c r="X169" s="387">
        <f t="shared" si="140"/>
        <v>3.0130568878964468</v>
      </c>
      <c r="Y169" s="387">
        <f t="shared" si="121"/>
        <v>1.8157023619400442E-2</v>
      </c>
      <c r="Z169" s="605">
        <f t="shared" si="122"/>
        <v>1.8157023619400442E-2</v>
      </c>
      <c r="AA169" s="387">
        <f t="shared" si="141"/>
        <v>4.7550869930628625</v>
      </c>
      <c r="AB169" s="387">
        <f t="shared" si="142"/>
        <v>0.12888185817609502</v>
      </c>
      <c r="AC169" s="387">
        <f t="shared" si="143"/>
        <v>9.2157906456241029E-2</v>
      </c>
      <c r="AD169">
        <f t="shared" si="144"/>
        <v>0</v>
      </c>
      <c r="AE169" s="387">
        <f t="shared" si="145"/>
        <v>0.22688811705721795</v>
      </c>
      <c r="AF169" s="387">
        <f t="shared" si="146"/>
        <v>3.8947477901821301</v>
      </c>
      <c r="AG169" s="387">
        <f t="shared" si="147"/>
        <v>8.6463643990032937E-2</v>
      </c>
      <c r="AH169" s="387">
        <f t="shared" si="148"/>
        <v>0.10752</v>
      </c>
      <c r="AI169" s="387">
        <f t="shared" si="149"/>
        <v>0.19739717988731559</v>
      </c>
      <c r="AJ169" s="387">
        <f t="shared" si="150"/>
        <v>0</v>
      </c>
      <c r="AK169" s="387">
        <f t="shared" si="151"/>
        <v>0</v>
      </c>
      <c r="AL169" s="387">
        <f t="shared" si="152"/>
        <v>0</v>
      </c>
      <c r="AM169">
        <f t="shared" si="153"/>
        <v>0</v>
      </c>
      <c r="AN169" s="387">
        <f t="shared" si="154"/>
        <v>0</v>
      </c>
      <c r="AO169" s="387">
        <f t="shared" si="155"/>
        <v>6.1465366395006713</v>
      </c>
      <c r="AP169" s="387">
        <f t="shared" si="156"/>
        <v>7.1781834055375998E-2</v>
      </c>
      <c r="AQ169" s="387">
        <f t="shared" si="157"/>
        <v>0</v>
      </c>
      <c r="AR169" s="387">
        <f t="shared" si="158"/>
        <v>7.2827370500162414E-2</v>
      </c>
      <c r="AS169" s="387">
        <f t="shared" si="159"/>
        <v>7.1781834055375998E-2</v>
      </c>
      <c r="AT169" s="387">
        <f t="shared" si="160"/>
        <v>0</v>
      </c>
      <c r="AU169" s="387">
        <f t="shared" si="161"/>
        <v>0.28457976960000003</v>
      </c>
      <c r="AV169" s="387">
        <f t="shared" si="162"/>
        <v>0.12135248279302868</v>
      </c>
      <c r="AW169" s="387">
        <f t="shared" si="163"/>
        <v>0</v>
      </c>
      <c r="AX169" s="387">
        <f t="shared" si="164"/>
        <v>3.6000000000000004E-2</v>
      </c>
      <c r="AY169" s="387">
        <f t="shared" si="165"/>
        <v>5.9136000000000001E-2</v>
      </c>
      <c r="AZ169" s="387">
        <f t="shared" si="166"/>
        <v>7.3471999999999996E-2</v>
      </c>
      <c r="BA169" s="387">
        <f t="shared" si="123"/>
        <v>9.5135999999999998E-2</v>
      </c>
      <c r="BB169" s="387">
        <f t="shared" si="124"/>
        <v>1.6902616062201088</v>
      </c>
      <c r="BC169">
        <f t="shared" si="167"/>
        <v>72</v>
      </c>
      <c r="BD169" s="606">
        <f t="shared" si="125"/>
        <v>0.97706261900314073</v>
      </c>
      <c r="BE169" s="616">
        <f t="shared" si="168"/>
        <v>25.5733943328609</v>
      </c>
      <c r="BF169" s="616">
        <f t="shared" si="169"/>
        <v>9.8698589943657797</v>
      </c>
      <c r="BG169" s="9"/>
      <c r="BH169" s="4">
        <f t="shared" si="126"/>
        <v>97.706261900314075</v>
      </c>
      <c r="BI169" s="387">
        <f t="shared" si="127"/>
        <v>0.6614642741379142</v>
      </c>
      <c r="BJ169" s="387">
        <f t="shared" si="128"/>
        <v>0.78169243704469604</v>
      </c>
      <c r="BK169" s="387">
        <f t="shared" si="129"/>
        <v>0.29130850385531559</v>
      </c>
      <c r="BL169" s="387">
        <f t="shared" si="130"/>
        <v>0.12135248279302868</v>
      </c>
    </row>
    <row r="170" spans="7:64" x14ac:dyDescent="0.2">
      <c r="G170">
        <v>161</v>
      </c>
      <c r="H170" s="612">
        <f t="shared" si="131"/>
        <v>20.295000000000002</v>
      </c>
      <c r="I170" s="4" t="str">
        <f t="shared" si="132"/>
        <v>BUCK</v>
      </c>
      <c r="J170">
        <f t="shared" si="170"/>
        <v>1</v>
      </c>
      <c r="K170">
        <f t="shared" si="133"/>
        <v>6</v>
      </c>
      <c r="L170" s="4">
        <f t="shared" si="134"/>
        <v>3.695491500369549</v>
      </c>
      <c r="M170" s="4">
        <f t="shared" si="135"/>
        <v>6</v>
      </c>
      <c r="N170" s="387">
        <f t="shared" si="136"/>
        <v>0.59569385046453327</v>
      </c>
      <c r="O170" s="387">
        <f t="shared" ref="O170:O201" si="172">CHOOSE(J170,0,(Vout+(Rdson3+Rdcr)*L170-H170)/(Vout+(Rdson3-Rdson4-Rs)*L170),IF(H170&gt;Vout,D_min_boost_exitBB_to_buck, (Vout-H170*D_max_buck_BB)/Vout))</f>
        <v>0</v>
      </c>
      <c r="P170" s="4">
        <f t="shared" si="137"/>
        <v>4.653745043028775</v>
      </c>
      <c r="Q170" s="387">
        <f t="shared" si="138"/>
        <v>6.1485590651083646</v>
      </c>
      <c r="R170" s="387">
        <f t="shared" si="116"/>
        <v>0.23102084354446931</v>
      </c>
      <c r="S170" s="387">
        <f t="shared" si="117"/>
        <v>0.43753547455790753</v>
      </c>
      <c r="T170" s="387">
        <f t="shared" si="118"/>
        <v>0.66855631810237681</v>
      </c>
      <c r="U170" s="4">
        <f t="shared" si="139"/>
        <v>1.343420476666275</v>
      </c>
      <c r="V170" s="387">
        <f t="shared" si="119"/>
        <v>1.2633450039883691E-2</v>
      </c>
      <c r="W170" s="387">
        <f t="shared" si="120"/>
        <v>1.2633450039883691E-2</v>
      </c>
      <c r="X170" s="387">
        <f t="shared" si="140"/>
        <v>3.017449991851183</v>
      </c>
      <c r="Y170" s="387">
        <f t="shared" si="121"/>
        <v>1.8210008906645411E-2</v>
      </c>
      <c r="Z170" s="605">
        <f t="shared" si="122"/>
        <v>1.8210008906645411E-2</v>
      </c>
      <c r="AA170" s="387">
        <f t="shared" si="141"/>
        <v>4.7455320161776839</v>
      </c>
      <c r="AB170" s="387">
        <f t="shared" si="142"/>
        <v>0.12836442246443436</v>
      </c>
      <c r="AC170" s="387">
        <f t="shared" si="143"/>
        <v>9.2591322352941166E-2</v>
      </c>
      <c r="AD170">
        <f t="shared" si="144"/>
        <v>0</v>
      </c>
      <c r="AE170" s="387">
        <f t="shared" si="145"/>
        <v>0.22677778468925552</v>
      </c>
      <c r="AF170" s="387">
        <f t="shared" si="146"/>
        <v>3.9095657636825618</v>
      </c>
      <c r="AG170" s="387">
        <f t="shared" si="147"/>
        <v>8.7122815425185227E-2</v>
      </c>
      <c r="AH170" s="387">
        <f t="shared" si="148"/>
        <v>0.10752</v>
      </c>
      <c r="AI170" s="387">
        <f t="shared" si="149"/>
        <v>0.19809452599010025</v>
      </c>
      <c r="AJ170" s="387">
        <f t="shared" si="150"/>
        <v>0</v>
      </c>
      <c r="AK170" s="387">
        <f t="shared" si="151"/>
        <v>0</v>
      </c>
      <c r="AL170" s="387">
        <f t="shared" si="152"/>
        <v>0</v>
      </c>
      <c r="AM170">
        <f t="shared" si="153"/>
        <v>0</v>
      </c>
      <c r="AN170" s="387">
        <f t="shared" si="154"/>
        <v>0</v>
      </c>
      <c r="AO170" s="387">
        <f t="shared" si="155"/>
        <v>6.1485590651083646</v>
      </c>
      <c r="AP170" s="387">
        <f t="shared" si="156"/>
        <v>7.182907929653988E-2</v>
      </c>
      <c r="AQ170" s="387">
        <f t="shared" si="157"/>
        <v>0</v>
      </c>
      <c r="AR170" s="387">
        <f t="shared" si="158"/>
        <v>7.2876002529440279E-2</v>
      </c>
      <c r="AS170" s="387">
        <f t="shared" si="159"/>
        <v>7.182907929653988E-2</v>
      </c>
      <c r="AT170" s="387">
        <f t="shared" si="160"/>
        <v>0</v>
      </c>
      <c r="AU170" s="387">
        <f t="shared" si="161"/>
        <v>0.28592040960000004</v>
      </c>
      <c r="AV170" s="387">
        <f t="shared" si="162"/>
        <v>0.1222776356844705</v>
      </c>
      <c r="AW170" s="387">
        <f t="shared" si="163"/>
        <v>0</v>
      </c>
      <c r="AX170" s="387">
        <f t="shared" si="164"/>
        <v>3.6000000000000004E-2</v>
      </c>
      <c r="AY170" s="387">
        <f t="shared" si="165"/>
        <v>5.9136000000000001E-2</v>
      </c>
      <c r="AZ170" s="387">
        <f t="shared" si="166"/>
        <v>7.3471999999999996E-2</v>
      </c>
      <c r="BA170" s="387">
        <f t="shared" si="123"/>
        <v>9.5135999999999998E-2</v>
      </c>
      <c r="BB170" s="387">
        <f t="shared" si="124"/>
        <v>1.7004821355421724</v>
      </c>
      <c r="BC170">
        <f t="shared" si="167"/>
        <v>72</v>
      </c>
      <c r="BD170" s="606">
        <f t="shared" si="125"/>
        <v>0.97692712332037634</v>
      </c>
      <c r="BE170" s="616">
        <f t="shared" si="168"/>
        <v>25.634909714462779</v>
      </c>
      <c r="BF170" s="616">
        <f t="shared" si="169"/>
        <v>9.9047262995050129</v>
      </c>
      <c r="BG170" s="9"/>
      <c r="BH170" s="4">
        <f t="shared" si="126"/>
        <v>97.69271233203763</v>
      </c>
      <c r="BI170" s="387">
        <f t="shared" si="127"/>
        <v>0.66855631810237681</v>
      </c>
      <c r="BJ170" s="387">
        <f t="shared" si="128"/>
        <v>0.78366872280879607</v>
      </c>
      <c r="BK170" s="387">
        <f t="shared" si="129"/>
        <v>0.29244826115810024</v>
      </c>
      <c r="BL170" s="387">
        <f t="shared" si="130"/>
        <v>0.1222776356844705</v>
      </c>
    </row>
    <row r="171" spans="7:64" x14ac:dyDescent="0.2">
      <c r="G171">
        <v>162</v>
      </c>
      <c r="H171" s="612">
        <f t="shared" si="131"/>
        <v>20.39</v>
      </c>
      <c r="I171" s="4" t="str">
        <f t="shared" si="132"/>
        <v>BUCK</v>
      </c>
      <c r="J171">
        <f t="shared" si="170"/>
        <v>1</v>
      </c>
      <c r="K171">
        <f t="shared" si="133"/>
        <v>6</v>
      </c>
      <c r="L171" s="4">
        <f t="shared" si="134"/>
        <v>3.6782736635605686</v>
      </c>
      <c r="M171" s="4">
        <f t="shared" si="135"/>
        <v>6</v>
      </c>
      <c r="N171" s="387">
        <f t="shared" si="136"/>
        <v>0.59292494373226345</v>
      </c>
      <c r="O171" s="387">
        <f t="shared" si="172"/>
        <v>0</v>
      </c>
      <c r="P171" s="4">
        <f t="shared" si="137"/>
        <v>4.6856164008963583</v>
      </c>
      <c r="Q171" s="387">
        <f t="shared" si="138"/>
        <v>6.1505758609550059</v>
      </c>
      <c r="R171" s="387">
        <f t="shared" si="116"/>
        <v>0.23117522653643649</v>
      </c>
      <c r="S171" s="387">
        <f t="shared" si="117"/>
        <v>0.44447021130933972</v>
      </c>
      <c r="T171" s="387">
        <f t="shared" si="118"/>
        <v>0.67564543784577624</v>
      </c>
      <c r="U171" s="4">
        <f t="shared" si="139"/>
        <v>1.352620945188419</v>
      </c>
      <c r="V171" s="387">
        <f t="shared" si="119"/>
        <v>1.2807083949536885E-2</v>
      </c>
      <c r="W171" s="387">
        <f t="shared" si="120"/>
        <v>1.2807083949536885E-2</v>
      </c>
      <c r="X171" s="387">
        <f t="shared" si="140"/>
        <v>3.0217107230547349</v>
      </c>
      <c r="Y171" s="387">
        <f t="shared" si="121"/>
        <v>1.8261471387647936E-2</v>
      </c>
      <c r="Z171" s="605">
        <f t="shared" si="122"/>
        <v>1.8261471387647936E-2</v>
      </c>
      <c r="AA171" s="387">
        <f t="shared" si="141"/>
        <v>4.7360430341716988</v>
      </c>
      <c r="AB171" s="387">
        <f t="shared" si="142"/>
        <v>0.12785159064269974</v>
      </c>
      <c r="AC171" s="387">
        <f t="shared" si="143"/>
        <v>9.3024738249641303E-2</v>
      </c>
      <c r="AD171">
        <f t="shared" si="144"/>
        <v>0</v>
      </c>
      <c r="AE171" s="387">
        <f t="shared" si="145"/>
        <v>0.22667241464579843</v>
      </c>
      <c r="AF171" s="387">
        <f t="shared" si="146"/>
        <v>3.9242170938718637</v>
      </c>
      <c r="AG171" s="387">
        <f t="shared" si="147"/>
        <v>8.7777034859065975E-2</v>
      </c>
      <c r="AH171" s="387">
        <f t="shared" si="148"/>
        <v>0.10752</v>
      </c>
      <c r="AI171" s="387">
        <f t="shared" si="149"/>
        <v>0.19878681835593634</v>
      </c>
      <c r="AJ171" s="387">
        <f t="shared" si="150"/>
        <v>0</v>
      </c>
      <c r="AK171" s="387">
        <f t="shared" si="151"/>
        <v>0</v>
      </c>
      <c r="AL171" s="387">
        <f t="shared" si="152"/>
        <v>0</v>
      </c>
      <c r="AM171">
        <f t="shared" si="153"/>
        <v>0</v>
      </c>
      <c r="AN171" s="387">
        <f t="shared" si="154"/>
        <v>0</v>
      </c>
      <c r="AO171" s="387">
        <f t="shared" si="155"/>
        <v>6.1505758609550059</v>
      </c>
      <c r="AP171" s="387">
        <f t="shared" si="156"/>
        <v>7.1876208500588581E-2</v>
      </c>
      <c r="AQ171" s="387">
        <f t="shared" si="157"/>
        <v>0</v>
      </c>
      <c r="AR171" s="387">
        <f t="shared" si="158"/>
        <v>7.2924516044593726E-2</v>
      </c>
      <c r="AS171" s="387">
        <f t="shared" si="159"/>
        <v>7.1876208500588581E-2</v>
      </c>
      <c r="AT171" s="387">
        <f t="shared" si="160"/>
        <v>0</v>
      </c>
      <c r="AU171" s="387">
        <f t="shared" si="161"/>
        <v>0.28726104960000004</v>
      </c>
      <c r="AV171" s="387">
        <f t="shared" si="162"/>
        <v>0.12319583839868908</v>
      </c>
      <c r="AW171" s="387">
        <f t="shared" si="163"/>
        <v>0</v>
      </c>
      <c r="AX171" s="387">
        <f t="shared" si="164"/>
        <v>3.6000000000000004E-2</v>
      </c>
      <c r="AY171" s="387">
        <f t="shared" si="165"/>
        <v>5.9136000000000001E-2</v>
      </c>
      <c r="AZ171" s="387">
        <f t="shared" si="166"/>
        <v>7.3471999999999996E-2</v>
      </c>
      <c r="BA171" s="387">
        <f t="shared" si="123"/>
        <v>9.5135999999999998E-2</v>
      </c>
      <c r="BB171" s="387">
        <f t="shared" si="124"/>
        <v>1.7106906302279787</v>
      </c>
      <c r="BC171">
        <f t="shared" si="167"/>
        <v>72</v>
      </c>
      <c r="BD171" s="606">
        <f t="shared" si="125"/>
        <v>0.97679182469189296</v>
      </c>
      <c r="BE171" s="616">
        <f t="shared" si="168"/>
        <v>25.696673212289923</v>
      </c>
      <c r="BF171" s="616">
        <f t="shared" si="169"/>
        <v>9.9393409177968177</v>
      </c>
      <c r="BG171" s="9"/>
      <c r="BH171" s="4">
        <f t="shared" si="126"/>
        <v>97.6791824691893</v>
      </c>
      <c r="BI171" s="387">
        <f t="shared" si="127"/>
        <v>0.67564543784577624</v>
      </c>
      <c r="BJ171" s="387">
        <f t="shared" si="128"/>
        <v>0.78564479864632852</v>
      </c>
      <c r="BK171" s="387">
        <f t="shared" si="129"/>
        <v>0.29358296472393636</v>
      </c>
      <c r="BL171" s="387">
        <f t="shared" si="130"/>
        <v>0.12319583839868908</v>
      </c>
    </row>
    <row r="172" spans="7:64" x14ac:dyDescent="0.2">
      <c r="G172">
        <v>163</v>
      </c>
      <c r="H172" s="612">
        <f t="shared" si="131"/>
        <v>20.484999999999999</v>
      </c>
      <c r="I172" s="4" t="str">
        <f t="shared" si="132"/>
        <v>BUCK</v>
      </c>
      <c r="J172">
        <f t="shared" si="170"/>
        <v>1</v>
      </c>
      <c r="K172">
        <f t="shared" si="133"/>
        <v>6</v>
      </c>
      <c r="L172" s="4">
        <f t="shared" si="134"/>
        <v>3.6612155235538202</v>
      </c>
      <c r="M172" s="4">
        <f t="shared" si="135"/>
        <v>6</v>
      </c>
      <c r="N172" s="387">
        <f t="shared" si="136"/>
        <v>0.59018165879316231</v>
      </c>
      <c r="O172" s="387">
        <f t="shared" si="172"/>
        <v>0</v>
      </c>
      <c r="P172" s="4">
        <f t="shared" si="137"/>
        <v>4.7171928404375967</v>
      </c>
      <c r="Q172" s="387">
        <f t="shared" si="138"/>
        <v>6.1525869104919035</v>
      </c>
      <c r="R172" s="387">
        <f t="shared" si="116"/>
        <v>0.23132922380117077</v>
      </c>
      <c r="S172" s="387">
        <f t="shared" si="117"/>
        <v>0.45140170603906804</v>
      </c>
      <c r="T172" s="387">
        <f t="shared" si="118"/>
        <v>0.68273092984023886</v>
      </c>
      <c r="U172" s="4">
        <f t="shared" si="139"/>
        <v>1.3617362781230109</v>
      </c>
      <c r="V172" s="387">
        <f t="shared" si="119"/>
        <v>1.2980279838094171E-2</v>
      </c>
      <c r="W172" s="387">
        <f t="shared" si="120"/>
        <v>1.2980279838094171E-2</v>
      </c>
      <c r="X172" s="387">
        <f t="shared" si="140"/>
        <v>3.0258424203350898</v>
      </c>
      <c r="Y172" s="387">
        <f t="shared" si="121"/>
        <v>1.8311444705398628E-2</v>
      </c>
      <c r="Z172" s="605">
        <f t="shared" si="122"/>
        <v>1.8311444705398628E-2</v>
      </c>
      <c r="AA172" s="387">
        <f t="shared" si="141"/>
        <v>4.7266191647839841</v>
      </c>
      <c r="AB172" s="387">
        <f t="shared" si="142"/>
        <v>0.12734329375474851</v>
      </c>
      <c r="AC172" s="387">
        <f t="shared" si="143"/>
        <v>9.3458154146341441E-2</v>
      </c>
      <c r="AD172">
        <f t="shared" si="144"/>
        <v>0</v>
      </c>
      <c r="AE172" s="387">
        <f t="shared" si="145"/>
        <v>0.22657193109673643</v>
      </c>
      <c r="AF172" s="387">
        <f t="shared" si="146"/>
        <v>3.9387049854302436</v>
      </c>
      <c r="AG172" s="387">
        <f t="shared" si="147"/>
        <v>8.8426362684842427E-2</v>
      </c>
      <c r="AH172" s="387">
        <f t="shared" si="148"/>
        <v>0.10752</v>
      </c>
      <c r="AI172" s="387">
        <f t="shared" si="149"/>
        <v>0.19947411680460295</v>
      </c>
      <c r="AJ172" s="387">
        <f t="shared" si="150"/>
        <v>0</v>
      </c>
      <c r="AK172" s="387">
        <f t="shared" si="151"/>
        <v>0</v>
      </c>
      <c r="AL172" s="387">
        <f t="shared" si="152"/>
        <v>0</v>
      </c>
      <c r="AM172">
        <f t="shared" si="153"/>
        <v>0</v>
      </c>
      <c r="AN172" s="387">
        <f t="shared" si="154"/>
        <v>0</v>
      </c>
      <c r="AO172" s="387">
        <f t="shared" si="155"/>
        <v>6.1525869104919035</v>
      </c>
      <c r="AP172" s="387">
        <f t="shared" si="156"/>
        <v>7.1923218813196979E-2</v>
      </c>
      <c r="AQ172" s="387">
        <f t="shared" si="157"/>
        <v>0</v>
      </c>
      <c r="AR172" s="387">
        <f t="shared" si="158"/>
        <v>7.2972908100547171E-2</v>
      </c>
      <c r="AS172" s="387">
        <f t="shared" si="159"/>
        <v>7.1923218813196979E-2</v>
      </c>
      <c r="AT172" s="387">
        <f t="shared" si="160"/>
        <v>0</v>
      </c>
      <c r="AU172" s="387">
        <f t="shared" si="161"/>
        <v>0.28860168959999999</v>
      </c>
      <c r="AV172" s="387">
        <f t="shared" si="162"/>
        <v>0.12410717569802446</v>
      </c>
      <c r="AW172" s="387">
        <f t="shared" si="163"/>
        <v>0</v>
      </c>
      <c r="AX172" s="387">
        <f t="shared" si="164"/>
        <v>3.6000000000000004E-2</v>
      </c>
      <c r="AY172" s="387">
        <f t="shared" si="165"/>
        <v>5.9136000000000001E-2</v>
      </c>
      <c r="AZ172" s="387">
        <f t="shared" si="166"/>
        <v>7.3471999999999996E-2</v>
      </c>
      <c r="BA172" s="387">
        <f t="shared" si="123"/>
        <v>9.5135999999999998E-2</v>
      </c>
      <c r="BB172" s="387">
        <f t="shared" si="124"/>
        <v>1.7208864756836428</v>
      </c>
      <c r="BC172">
        <f t="shared" si="167"/>
        <v>72</v>
      </c>
      <c r="BD172" s="606">
        <f t="shared" si="125"/>
        <v>0.97665673111172824</v>
      </c>
      <c r="BE172" s="616">
        <f t="shared" si="168"/>
        <v>25.758681034836822</v>
      </c>
      <c r="BF172" s="616">
        <f t="shared" si="169"/>
        <v>9.9737058402301475</v>
      </c>
      <c r="BG172" s="9"/>
      <c r="BH172" s="4">
        <f t="shared" si="126"/>
        <v>97.665673111172822</v>
      </c>
      <c r="BI172" s="387">
        <f t="shared" si="127"/>
        <v>0.68273092984023886</v>
      </c>
      <c r="BJ172" s="387">
        <f t="shared" si="128"/>
        <v>0.7876206456018866</v>
      </c>
      <c r="BK172" s="387">
        <f t="shared" si="129"/>
        <v>0.29471267437260296</v>
      </c>
      <c r="BL172" s="387">
        <f t="shared" si="130"/>
        <v>0.12410717569802446</v>
      </c>
    </row>
    <row r="173" spans="7:64" x14ac:dyDescent="0.2">
      <c r="G173">
        <v>164</v>
      </c>
      <c r="H173" s="612">
        <f t="shared" si="131"/>
        <v>20.58</v>
      </c>
      <c r="I173" s="4" t="str">
        <f t="shared" si="132"/>
        <v>BUCK</v>
      </c>
      <c r="J173">
        <f t="shared" si="170"/>
        <v>1</v>
      </c>
      <c r="K173">
        <f t="shared" si="133"/>
        <v>6</v>
      </c>
      <c r="L173" s="4">
        <f t="shared" si="134"/>
        <v>3.6443148688046652</v>
      </c>
      <c r="M173" s="4">
        <f t="shared" si="135"/>
        <v>6</v>
      </c>
      <c r="N173" s="387">
        <f t="shared" si="136"/>
        <v>0.58746364165212339</v>
      </c>
      <c r="O173" s="387">
        <f t="shared" si="172"/>
        <v>0</v>
      </c>
      <c r="P173" s="4">
        <f t="shared" si="137"/>
        <v>4.74847843629487</v>
      </c>
      <c r="Q173" s="387">
        <f t="shared" si="138"/>
        <v>6.1545921030557702</v>
      </c>
      <c r="R173" s="387">
        <f t="shared" si="116"/>
        <v>0.23148282640041148</v>
      </c>
      <c r="S173" s="387">
        <f t="shared" si="117"/>
        <v>0.45832928787862814</v>
      </c>
      <c r="T173" s="387">
        <f t="shared" si="118"/>
        <v>0.68981211427903966</v>
      </c>
      <c r="U173" s="4">
        <f t="shared" si="139"/>
        <v>1.3707676517179883</v>
      </c>
      <c r="V173" s="387">
        <f t="shared" si="119"/>
        <v>1.3153027684975137E-2</v>
      </c>
      <c r="W173" s="387">
        <f t="shared" si="120"/>
        <v>1.3153027684975137E-2</v>
      </c>
      <c r="X173" s="387">
        <f t="shared" si="140"/>
        <v>3.0298483176218287</v>
      </c>
      <c r="Y173" s="387">
        <f t="shared" si="121"/>
        <v>1.8359961655591651E-2</v>
      </c>
      <c r="Z173" s="605">
        <f t="shared" si="122"/>
        <v>1.8359961655591651E-2</v>
      </c>
      <c r="AA173" s="387">
        <f t="shared" si="141"/>
        <v>4.7172595440104201</v>
      </c>
      <c r="AB173" s="387">
        <f t="shared" si="142"/>
        <v>0.12683946435167717</v>
      </c>
      <c r="AC173" s="387">
        <f t="shared" si="143"/>
        <v>9.3891570043041578E-2</v>
      </c>
      <c r="AD173">
        <f t="shared" si="144"/>
        <v>0</v>
      </c>
      <c r="AE173" s="387">
        <f t="shared" si="145"/>
        <v>0.22647625989336798</v>
      </c>
      <c r="AF173" s="387">
        <f t="shared" si="146"/>
        <v>3.9530325510219431</v>
      </c>
      <c r="AG173" s="387">
        <f t="shared" si="147"/>
        <v>8.907085819180259E-2</v>
      </c>
      <c r="AH173" s="387">
        <f t="shared" si="148"/>
        <v>0.10752</v>
      </c>
      <c r="AI173" s="387">
        <f t="shared" si="149"/>
        <v>0.20015648008252276</v>
      </c>
      <c r="AJ173" s="387">
        <f t="shared" si="150"/>
        <v>0</v>
      </c>
      <c r="AK173" s="387">
        <f t="shared" si="151"/>
        <v>0</v>
      </c>
      <c r="AL173" s="387">
        <f t="shared" si="152"/>
        <v>0</v>
      </c>
      <c r="AM173">
        <f t="shared" si="153"/>
        <v>0</v>
      </c>
      <c r="AN173" s="387">
        <f t="shared" si="154"/>
        <v>0</v>
      </c>
      <c r="AO173" s="387">
        <f t="shared" si="155"/>
        <v>6.1545921030557702</v>
      </c>
      <c r="AP173" s="387">
        <f t="shared" si="156"/>
        <v>7.1970107514493259E-2</v>
      </c>
      <c r="AQ173" s="387">
        <f t="shared" si="157"/>
        <v>0</v>
      </c>
      <c r="AR173" s="387">
        <f t="shared" si="158"/>
        <v>7.3021175890427018E-2</v>
      </c>
      <c r="AS173" s="387">
        <f t="shared" si="159"/>
        <v>7.1970107514493259E-2</v>
      </c>
      <c r="AT173" s="387">
        <f t="shared" si="160"/>
        <v>0</v>
      </c>
      <c r="AU173" s="387">
        <f t="shared" si="161"/>
        <v>0.28994232959999999</v>
      </c>
      <c r="AV173" s="387">
        <f t="shared" si="162"/>
        <v>0.12501173079551242</v>
      </c>
      <c r="AW173" s="387">
        <f t="shared" si="163"/>
        <v>0</v>
      </c>
      <c r="AX173" s="387">
        <f t="shared" si="164"/>
        <v>3.6000000000000004E-2</v>
      </c>
      <c r="AY173" s="387">
        <f t="shared" si="165"/>
        <v>5.9136000000000001E-2</v>
      </c>
      <c r="AZ173" s="387">
        <f t="shared" si="166"/>
        <v>7.3471999999999996E-2</v>
      </c>
      <c r="BA173" s="387">
        <f t="shared" si="123"/>
        <v>9.5135999999999998E-2</v>
      </c>
      <c r="BB173" s="387">
        <f t="shared" si="124"/>
        <v>1.7310690798814368</v>
      </c>
      <c r="BC173">
        <f t="shared" si="167"/>
        <v>72</v>
      </c>
      <c r="BD173" s="606">
        <f t="shared" si="125"/>
        <v>0.97652185026632443</v>
      </c>
      <c r="BE173" s="616">
        <f t="shared" si="168"/>
        <v>25.820929474668397</v>
      </c>
      <c r="BF173" s="616">
        <f t="shared" si="169"/>
        <v>10.007824004126139</v>
      </c>
      <c r="BG173" s="9"/>
      <c r="BH173" s="4">
        <f t="shared" si="126"/>
        <v>97.652185026632438</v>
      </c>
      <c r="BI173" s="387">
        <f t="shared" si="127"/>
        <v>0.68981211427903966</v>
      </c>
      <c r="BJ173" s="387">
        <f t="shared" si="128"/>
        <v>0.78959624546631768</v>
      </c>
      <c r="BK173" s="387">
        <f t="shared" si="129"/>
        <v>0.29583744885052277</v>
      </c>
      <c r="BL173" s="387">
        <f t="shared" si="130"/>
        <v>0.12501173079551242</v>
      </c>
    </row>
    <row r="174" spans="7:64" x14ac:dyDescent="0.2">
      <c r="G174">
        <v>165</v>
      </c>
      <c r="H174" s="612">
        <f t="shared" si="131"/>
        <v>20.674999999999997</v>
      </c>
      <c r="I174" s="4" t="str">
        <f t="shared" si="132"/>
        <v>BUCK</v>
      </c>
      <c r="J174">
        <f t="shared" si="170"/>
        <v>1</v>
      </c>
      <c r="K174">
        <f t="shared" si="133"/>
        <v>6</v>
      </c>
      <c r="L174" s="4">
        <f t="shared" si="134"/>
        <v>3.6275695284159624</v>
      </c>
      <c r="M174" s="4">
        <f t="shared" si="135"/>
        <v>6</v>
      </c>
      <c r="N174" s="387">
        <f t="shared" si="136"/>
        <v>0.58477054480528889</v>
      </c>
      <c r="O174" s="387">
        <f t="shared" si="172"/>
        <v>0</v>
      </c>
      <c r="P174" s="4">
        <f t="shared" si="137"/>
        <v>4.7794771883933782</v>
      </c>
      <c r="Q174" s="387">
        <f t="shared" si="138"/>
        <v>6.1565913336464888</v>
      </c>
      <c r="R174" s="387">
        <f t="shared" ref="R174:R209" si="173">(Q174^2*Rdcr*(1+Ltc*Ta-Ltc*25))/(1-Q174^2*Rdcr*Ltc*ThetaCa)</f>
        <v>0.23163602581936488</v>
      </c>
      <c r="S174" s="387">
        <f t="shared" ref="S174:S209" si="174">7.759*10^-3*Fsw^0.9458*(0.00787*P174)^2.304</f>
        <v>0.46525230855282745</v>
      </c>
      <c r="T174" s="387">
        <f t="shared" ref="T174:T209" si="175">R174+S174</f>
        <v>0.69688833437219233</v>
      </c>
      <c r="U174" s="4">
        <f t="shared" si="139"/>
        <v>1.3797162206522964</v>
      </c>
      <c r="V174" s="387">
        <f t="shared" ref="V174:V209" si="176">RCoutEsr*U174^2</f>
        <v>1.3325317946717393E-2</v>
      </c>
      <c r="W174" s="387">
        <f t="shared" ref="W174:W209" si="177">V174</f>
        <v>1.3325317946717393E-2</v>
      </c>
      <c r="X174" s="387">
        <f t="shared" si="140"/>
        <v>3.0337315480995874</v>
      </c>
      <c r="Y174" s="387">
        <f t="shared" ref="Y174:Y209" si="178">RCinEsr*X174^2</f>
        <v>1.8407054211869441E-2</v>
      </c>
      <c r="Z174" s="605">
        <f t="shared" ref="Z174:Z209" si="179">Y174</f>
        <v>1.8407054211869441E-2</v>
      </c>
      <c r="AA174" s="387">
        <f t="shared" si="141"/>
        <v>4.7079633255996374</v>
      </c>
      <c r="AB174" s="387">
        <f t="shared" si="142"/>
        <v>0.12634003644858982</v>
      </c>
      <c r="AC174" s="387">
        <f t="shared" si="143"/>
        <v>9.4324985939741715E-2</v>
      </c>
      <c r="AD174">
        <f t="shared" si="144"/>
        <v>0</v>
      </c>
      <c r="AE174" s="387">
        <f t="shared" si="145"/>
        <v>0.22638532851965126</v>
      </c>
      <c r="AF174" s="387">
        <f t="shared" si="146"/>
        <v>3.9672028148734531</v>
      </c>
      <c r="AG174" s="387">
        <f t="shared" si="147"/>
        <v>8.9710579593737141E-2</v>
      </c>
      <c r="AH174" s="387">
        <f t="shared" si="148"/>
        <v>0.10752</v>
      </c>
      <c r="AI174" s="387">
        <f t="shared" si="149"/>
        <v>0.20083396589016014</v>
      </c>
      <c r="AJ174" s="387">
        <f t="shared" si="150"/>
        <v>0</v>
      </c>
      <c r="AK174" s="387">
        <f t="shared" si="151"/>
        <v>0</v>
      </c>
      <c r="AL174" s="387">
        <f t="shared" si="152"/>
        <v>0</v>
      </c>
      <c r="AM174">
        <f t="shared" si="153"/>
        <v>0</v>
      </c>
      <c r="AN174" s="387">
        <f t="shared" si="154"/>
        <v>0</v>
      </c>
      <c r="AO174" s="387">
        <f t="shared" si="155"/>
        <v>6.1565913336464888</v>
      </c>
      <c r="AP174" s="387">
        <f t="shared" si="156"/>
        <v>7.2016872014109001E-2</v>
      </c>
      <c r="AQ174" s="387">
        <f t="shared" si="157"/>
        <v>0</v>
      </c>
      <c r="AR174" s="387">
        <f t="shared" si="158"/>
        <v>7.3069316740480519E-2</v>
      </c>
      <c r="AS174" s="387">
        <f t="shared" si="159"/>
        <v>7.2016872014109001E-2</v>
      </c>
      <c r="AT174" s="387">
        <f t="shared" si="160"/>
        <v>0</v>
      </c>
      <c r="AU174" s="387">
        <f t="shared" si="161"/>
        <v>0.2912829696</v>
      </c>
      <c r="AV174" s="387">
        <f t="shared" si="162"/>
        <v>0.1259095853947188</v>
      </c>
      <c r="AW174" s="387">
        <f t="shared" si="163"/>
        <v>0</v>
      </c>
      <c r="AX174" s="387">
        <f t="shared" si="164"/>
        <v>3.6000000000000004E-2</v>
      </c>
      <c r="AY174" s="387">
        <f t="shared" si="165"/>
        <v>5.9136000000000001E-2</v>
      </c>
      <c r="AZ174" s="387">
        <f t="shared" si="166"/>
        <v>7.3471999999999996E-2</v>
      </c>
      <c r="BA174" s="387">
        <f t="shared" ref="BA174:BA209" si="180">SUM(AX174:AY174)</f>
        <v>9.5135999999999998E-2</v>
      </c>
      <c r="BB174" s="387">
        <f t="shared" ref="BB174:BB209" si="181">SUM(T174,W174,Z174,AE174,AI174,AN174,AR174, AT174,AU174,BA174,AV174,AW174)</f>
        <v>1.74123787267579</v>
      </c>
      <c r="BC174">
        <f t="shared" si="167"/>
        <v>72</v>
      </c>
      <c r="BD174" s="606">
        <f t="shared" ref="BD174:BD209" si="182">BC174/(BC174+BB174)</f>
        <v>0.97638718954403403</v>
      </c>
      <c r="BE174" s="616">
        <f t="shared" si="168"/>
        <v>25.883414905982562</v>
      </c>
      <c r="BF174" s="616">
        <f t="shared" si="169"/>
        <v>10.041698294508008</v>
      </c>
      <c r="BG174" s="9"/>
      <c r="BH174" s="4">
        <f t="shared" ref="BH174:BH209" si="183">BD174*100</f>
        <v>97.638718954403402</v>
      </c>
      <c r="BI174" s="387">
        <f t="shared" ref="BI174:BI209" si="184">T174</f>
        <v>0.69688833437219233</v>
      </c>
      <c r="BJ174" s="387">
        <f t="shared" ref="BJ174:BJ209" si="185">AE174+AI174+AN174+AR174+AU174</f>
        <v>0.79157158075029199</v>
      </c>
      <c r="BK174" s="387">
        <f t="shared" ref="BK174:BK209" si="186">AI174+AU174*0.33</f>
        <v>0.29695734585816014</v>
      </c>
      <c r="BL174" s="387">
        <f t="shared" ref="BL174:BL209" si="187">AV174</f>
        <v>0.1259095853947188</v>
      </c>
    </row>
    <row r="175" spans="7:64" x14ac:dyDescent="0.2">
      <c r="G175">
        <v>166</v>
      </c>
      <c r="H175" s="612">
        <f t="shared" si="131"/>
        <v>20.77</v>
      </c>
      <c r="I175" s="4" t="str">
        <f t="shared" si="132"/>
        <v>BUCK</v>
      </c>
      <c r="J175">
        <f t="shared" si="170"/>
        <v>1</v>
      </c>
      <c r="K175">
        <f t="shared" si="133"/>
        <v>6</v>
      </c>
      <c r="L175" s="4">
        <f t="shared" si="134"/>
        <v>3.6109773712084738</v>
      </c>
      <c r="M175" s="4">
        <f t="shared" si="135"/>
        <v>6</v>
      </c>
      <c r="N175" s="387">
        <f t="shared" si="136"/>
        <v>0.5821020270919397</v>
      </c>
      <c r="O175" s="387">
        <f t="shared" si="172"/>
        <v>0</v>
      </c>
      <c r="P175" s="4">
        <f t="shared" si="137"/>
        <v>4.8101930236459509</v>
      </c>
      <c r="Q175" s="387">
        <f t="shared" si="138"/>
        <v>6.1585845027133477</v>
      </c>
      <c r="R175" s="387">
        <f t="shared" si="173"/>
        <v>0.23178881395115553</v>
      </c>
      <c r="S175" s="387">
        <f t="shared" si="174"/>
        <v>0.47217014171145222</v>
      </c>
      <c r="T175" s="387">
        <f t="shared" si="175"/>
        <v>0.7039589556626078</v>
      </c>
      <c r="U175" s="4">
        <f t="shared" si="139"/>
        <v>1.3885831185280249</v>
      </c>
      <c r="V175" s="387">
        <f t="shared" si="176"/>
        <v>1.3497141539427104E-2</v>
      </c>
      <c r="W175" s="387">
        <f t="shared" si="177"/>
        <v>1.3497141539427104E-2</v>
      </c>
      <c r="X175" s="387">
        <f t="shared" si="140"/>
        <v>3.0374951481592682</v>
      </c>
      <c r="Y175" s="387">
        <f t="shared" si="178"/>
        <v>1.845275355018219E-2</v>
      </c>
      <c r="Z175" s="605">
        <f t="shared" si="179"/>
        <v>1.845275355018219E-2</v>
      </c>
      <c r="AA175" s="387">
        <f t="shared" si="141"/>
        <v>4.6987296805658945</v>
      </c>
      <c r="AB175" s="387">
        <f t="shared" si="142"/>
        <v>0.12584494548287598</v>
      </c>
      <c r="AC175" s="387">
        <f t="shared" si="143"/>
        <v>9.475840183644188E-2</v>
      </c>
      <c r="AD175">
        <f t="shared" si="144"/>
        <v>0</v>
      </c>
      <c r="AE175" s="387">
        <f t="shared" si="145"/>
        <v>0.226299066045174</v>
      </c>
      <c r="AF175" s="387">
        <f t="shared" si="146"/>
        <v>3.9812187161760075</v>
      </c>
      <c r="AG175" s="387">
        <f t="shared" si="147"/>
        <v>9.0345584056371789E-2</v>
      </c>
      <c r="AH175" s="387">
        <f t="shared" si="148"/>
        <v>0.10752</v>
      </c>
      <c r="AI175" s="387">
        <f t="shared" si="149"/>
        <v>0.20150663090850388</v>
      </c>
      <c r="AJ175" s="387">
        <f t="shared" si="150"/>
        <v>0</v>
      </c>
      <c r="AK175" s="387">
        <f t="shared" si="151"/>
        <v>0</v>
      </c>
      <c r="AL175" s="387">
        <f t="shared" si="152"/>
        <v>0</v>
      </c>
      <c r="AM175">
        <f t="shared" si="153"/>
        <v>0</v>
      </c>
      <c r="AN175" s="387">
        <f t="shared" si="154"/>
        <v>0</v>
      </c>
      <c r="AO175" s="387">
        <f t="shared" si="155"/>
        <v>6.1585845027133477</v>
      </c>
      <c r="AP175" s="387">
        <f t="shared" si="156"/>
        <v>7.2063509846415935E-2</v>
      </c>
      <c r="AQ175" s="387">
        <f t="shared" si="157"/>
        <v>0</v>
      </c>
      <c r="AR175" s="387">
        <f t="shared" si="158"/>
        <v>7.3117328105186286E-2</v>
      </c>
      <c r="AS175" s="387">
        <f t="shared" si="159"/>
        <v>7.2063509846415935E-2</v>
      </c>
      <c r="AT175" s="387">
        <f t="shared" si="160"/>
        <v>0</v>
      </c>
      <c r="AU175" s="387">
        <f t="shared" si="161"/>
        <v>0.2926236096</v>
      </c>
      <c r="AV175" s="387">
        <f t="shared" si="162"/>
        <v>0.12680081972824109</v>
      </c>
      <c r="AW175" s="387">
        <f t="shared" si="163"/>
        <v>0</v>
      </c>
      <c r="AX175" s="387">
        <f t="shared" si="164"/>
        <v>3.6000000000000004E-2</v>
      </c>
      <c r="AY175" s="387">
        <f t="shared" si="165"/>
        <v>5.9136000000000001E-2</v>
      </c>
      <c r="AZ175" s="387">
        <f t="shared" si="166"/>
        <v>7.3471999999999996E-2</v>
      </c>
      <c r="BA175" s="387">
        <f t="shared" si="180"/>
        <v>9.5135999999999998E-2</v>
      </c>
      <c r="BB175" s="387">
        <f t="shared" si="181"/>
        <v>1.7513923051393223</v>
      </c>
      <c r="BC175">
        <f t="shared" si="167"/>
        <v>72</v>
      </c>
      <c r="BD175" s="606">
        <f t="shared" si="182"/>
        <v>0.97625275604434558</v>
      </c>
      <c r="BE175" s="616">
        <f t="shared" si="168"/>
        <v>25.946133782258702</v>
      </c>
      <c r="BF175" s="616">
        <f t="shared" si="169"/>
        <v>10.075331545425193</v>
      </c>
      <c r="BG175" s="9"/>
      <c r="BH175" s="4">
        <f t="shared" si="183"/>
        <v>97.625275604434563</v>
      </c>
      <c r="BI175" s="387">
        <f t="shared" si="184"/>
        <v>0.7039589556626078</v>
      </c>
      <c r="BJ175" s="387">
        <f t="shared" si="185"/>
        <v>0.7935466346588641</v>
      </c>
      <c r="BK175" s="387">
        <f t="shared" si="186"/>
        <v>0.29807242207650386</v>
      </c>
      <c r="BL175" s="387">
        <f t="shared" si="187"/>
        <v>0.12680081972824109</v>
      </c>
    </row>
    <row r="176" spans="7:64" x14ac:dyDescent="0.2">
      <c r="G176">
        <v>167</v>
      </c>
      <c r="H176" s="612">
        <f t="shared" si="131"/>
        <v>20.864999999999998</v>
      </c>
      <c r="I176" s="4" t="str">
        <f t="shared" si="132"/>
        <v>BUCK</v>
      </c>
      <c r="J176">
        <f t="shared" si="170"/>
        <v>1</v>
      </c>
      <c r="K176">
        <f t="shared" si="133"/>
        <v>6</v>
      </c>
      <c r="L176" s="4">
        <f t="shared" si="134"/>
        <v>3.5945363048166792</v>
      </c>
      <c r="M176" s="4">
        <f t="shared" si="135"/>
        <v>6</v>
      </c>
      <c r="N176" s="387">
        <f t="shared" si="136"/>
        <v>0.57945775355042328</v>
      </c>
      <c r="O176" s="387">
        <f t="shared" si="172"/>
        <v>0</v>
      </c>
      <c r="P176" s="4">
        <f t="shared" si="137"/>
        <v>4.8406297976113812</v>
      </c>
      <c r="Q176" s="387">
        <f t="shared" si="138"/>
        <v>6.1605715159493872</v>
      </c>
      <c r="R176" s="387">
        <f t="shared" si="173"/>
        <v>0.2319411830818606</v>
      </c>
      <c r="S176" s="387">
        <f t="shared" si="174"/>
        <v>0.4790821822803974</v>
      </c>
      <c r="T176" s="387">
        <f t="shared" si="175"/>
        <v>0.71102336536225796</v>
      </c>
      <c r="U176" s="4">
        <f t="shared" si="139"/>
        <v>1.3973694583491274</v>
      </c>
      <c r="V176" s="387">
        <f t="shared" si="176"/>
        <v>1.3668489821888535E-2</v>
      </c>
      <c r="W176" s="387">
        <f t="shared" si="177"/>
        <v>1.3668489821888535E-2</v>
      </c>
      <c r="X176" s="387">
        <f t="shared" si="140"/>
        <v>3.0411420611587734</v>
      </c>
      <c r="Y176" s="387">
        <f t="shared" si="178"/>
        <v>1.8497090072298064E-2</v>
      </c>
      <c r="Z176" s="605">
        <f t="shared" si="179"/>
        <v>1.8497090072298064E-2</v>
      </c>
      <c r="AA176" s="387">
        <f t="shared" si="141"/>
        <v>4.689557796718228</v>
      </c>
      <c r="AB176" s="387">
        <f t="shared" si="142"/>
        <v>0.12535412827393611</v>
      </c>
      <c r="AC176" s="387">
        <f t="shared" si="143"/>
        <v>9.5191817733142017E-2</v>
      </c>
      <c r="AD176">
        <f t="shared" si="144"/>
        <v>0</v>
      </c>
      <c r="AE176" s="387">
        <f t="shared" si="145"/>
        <v>0.22621740307976976</v>
      </c>
      <c r="AF176" s="387">
        <f t="shared" si="146"/>
        <v>3.9950831123227228</v>
      </c>
      <c r="AG176" s="387">
        <f t="shared" si="147"/>
        <v>9.097592772388742E-2</v>
      </c>
      <c r="AH176" s="387">
        <f t="shared" si="148"/>
        <v>0.10752</v>
      </c>
      <c r="AI176" s="387">
        <f t="shared" si="149"/>
        <v>0.20217453082467063</v>
      </c>
      <c r="AJ176" s="387">
        <f t="shared" si="150"/>
        <v>0</v>
      </c>
      <c r="AK176" s="387">
        <f t="shared" si="151"/>
        <v>0</v>
      </c>
      <c r="AL176" s="387">
        <f t="shared" si="152"/>
        <v>0</v>
      </c>
      <c r="AM176">
        <f t="shared" si="153"/>
        <v>0</v>
      </c>
      <c r="AN176" s="387">
        <f t="shared" si="154"/>
        <v>0</v>
      </c>
      <c r="AO176" s="387">
        <f t="shared" si="155"/>
        <v>6.1605715159493872</v>
      </c>
      <c r="AP176" s="387">
        <f t="shared" si="156"/>
        <v>7.2110018665941175E-2</v>
      </c>
      <c r="AQ176" s="387">
        <f t="shared" si="157"/>
        <v>0</v>
      </c>
      <c r="AR176" s="387">
        <f t="shared" si="158"/>
        <v>7.3165207562547727E-2</v>
      </c>
      <c r="AS176" s="387">
        <f t="shared" si="159"/>
        <v>7.2110018665941175E-2</v>
      </c>
      <c r="AT176" s="387">
        <f t="shared" si="160"/>
        <v>0</v>
      </c>
      <c r="AU176" s="387">
        <f t="shared" si="161"/>
        <v>0.2939642496</v>
      </c>
      <c r="AV176" s="387">
        <f t="shared" si="162"/>
        <v>0.12768551259492972</v>
      </c>
      <c r="AW176" s="387">
        <f t="shared" si="163"/>
        <v>0</v>
      </c>
      <c r="AX176" s="387">
        <f t="shared" si="164"/>
        <v>3.6000000000000004E-2</v>
      </c>
      <c r="AY176" s="387">
        <f t="shared" si="165"/>
        <v>5.9136000000000001E-2</v>
      </c>
      <c r="AZ176" s="387">
        <f t="shared" si="166"/>
        <v>7.3471999999999996E-2</v>
      </c>
      <c r="BA176" s="387">
        <f t="shared" si="180"/>
        <v>9.5135999999999998E-2</v>
      </c>
      <c r="BB176" s="387">
        <f t="shared" si="181"/>
        <v>1.7615318489183625</v>
      </c>
      <c r="BC176">
        <f t="shared" si="167"/>
        <v>72</v>
      </c>
      <c r="BD176" s="606">
        <f t="shared" si="182"/>
        <v>0.97611855658683422</v>
      </c>
      <c r="BE176" s="616">
        <f t="shared" si="168"/>
        <v>26.009082633988491</v>
      </c>
      <c r="BF176" s="616">
        <f t="shared" si="169"/>
        <v>10.108726541233532</v>
      </c>
      <c r="BG176" s="9"/>
      <c r="BH176" s="4">
        <f t="shared" si="183"/>
        <v>97.611855658683425</v>
      </c>
      <c r="BI176" s="387">
        <f t="shared" si="184"/>
        <v>0.71102336536225796</v>
      </c>
      <c r="BJ176" s="387">
        <f t="shared" si="185"/>
        <v>0.79552139106698816</v>
      </c>
      <c r="BK176" s="387">
        <f t="shared" si="186"/>
        <v>0.29918273319267064</v>
      </c>
      <c r="BL176" s="387">
        <f t="shared" si="187"/>
        <v>0.12768551259492972</v>
      </c>
    </row>
    <row r="177" spans="7:64" x14ac:dyDescent="0.2">
      <c r="G177">
        <v>168</v>
      </c>
      <c r="H177" s="612">
        <f t="shared" si="131"/>
        <v>20.96</v>
      </c>
      <c r="I177" s="4" t="str">
        <f t="shared" si="132"/>
        <v>BUCK</v>
      </c>
      <c r="J177">
        <f t="shared" si="170"/>
        <v>1</v>
      </c>
      <c r="K177">
        <f t="shared" si="133"/>
        <v>6</v>
      </c>
      <c r="L177" s="4">
        <f t="shared" si="134"/>
        <v>3.5782442748091601</v>
      </c>
      <c r="M177" s="4">
        <f t="shared" si="135"/>
        <v>6</v>
      </c>
      <c r="N177" s="387">
        <f t="shared" si="136"/>
        <v>0.57683739527798938</v>
      </c>
      <c r="O177" s="387">
        <f t="shared" si="172"/>
        <v>0</v>
      </c>
      <c r="P177" s="4">
        <f t="shared" si="137"/>
        <v>4.8707912961077797</v>
      </c>
      <c r="Q177" s="387">
        <f t="shared" si="138"/>
        <v>6.1625522840935476</v>
      </c>
      <c r="R177" s="387">
        <f t="shared" si="173"/>
        <v>0.23209312587610456</v>
      </c>
      <c r="S177" s="387">
        <f t="shared" si="174"/>
        <v>0.48598784583170224</v>
      </c>
      <c r="T177" s="387">
        <f t="shared" si="175"/>
        <v>0.71808097170780683</v>
      </c>
      <c r="U177" s="4">
        <f t="shared" si="139"/>
        <v>1.4060763329871564</v>
      </c>
      <c r="V177" s="387">
        <f t="shared" si="176"/>
        <v>1.3839354579306261E-2</v>
      </c>
      <c r="W177" s="387">
        <f t="shared" si="177"/>
        <v>1.3839354579306261E-2</v>
      </c>
      <c r="X177" s="387">
        <f t="shared" si="140"/>
        <v>3.0446751410042499</v>
      </c>
      <c r="Y177" s="387">
        <f t="shared" si="178"/>
        <v>1.8540093428498498E-2</v>
      </c>
      <c r="Z177" s="605">
        <f t="shared" si="179"/>
        <v>1.8540093428498498E-2</v>
      </c>
      <c r="AA177" s="387">
        <f t="shared" si="141"/>
        <v>4.6804468782052489</v>
      </c>
      <c r="AB177" s="387">
        <f t="shared" si="142"/>
        <v>0.12486752298429718</v>
      </c>
      <c r="AC177" s="387">
        <f t="shared" si="143"/>
        <v>9.5625233629842168E-2</v>
      </c>
      <c r="AD177">
        <f t="shared" si="144"/>
        <v>0</v>
      </c>
      <c r="AE177" s="387">
        <f t="shared" si="145"/>
        <v>0.22614027172971649</v>
      </c>
      <c r="AF177" s="387">
        <f t="shared" si="146"/>
        <v>4.0087987819901034</v>
      </c>
      <c r="AG177" s="387">
        <f t="shared" si="147"/>
        <v>9.1601665744566421E-2</v>
      </c>
      <c r="AH177" s="387">
        <f t="shared" si="148"/>
        <v>0.10752</v>
      </c>
      <c r="AI177" s="387">
        <f t="shared" si="149"/>
        <v>0.20283772035666664</v>
      </c>
      <c r="AJ177" s="387">
        <f t="shared" si="150"/>
        <v>0</v>
      </c>
      <c r="AK177" s="387">
        <f t="shared" si="151"/>
        <v>0</v>
      </c>
      <c r="AL177" s="387">
        <f t="shared" si="152"/>
        <v>0</v>
      </c>
      <c r="AM177">
        <f t="shared" si="153"/>
        <v>0</v>
      </c>
      <c r="AN177" s="387">
        <f t="shared" si="154"/>
        <v>0</v>
      </c>
      <c r="AO177" s="387">
        <f t="shared" si="155"/>
        <v>6.1625522840935476</v>
      </c>
      <c r="AP177" s="387">
        <f t="shared" si="156"/>
        <v>7.2156396242954543E-2</v>
      </c>
      <c r="AQ177" s="387">
        <f t="shared" si="157"/>
        <v>0</v>
      </c>
      <c r="AR177" s="387">
        <f t="shared" si="158"/>
        <v>7.3212952809563261E-2</v>
      </c>
      <c r="AS177" s="387">
        <f t="shared" si="159"/>
        <v>7.2156396242954543E-2</v>
      </c>
      <c r="AT177" s="387">
        <f t="shared" si="160"/>
        <v>0</v>
      </c>
      <c r="AU177" s="387">
        <f t="shared" si="161"/>
        <v>0.29530488960000001</v>
      </c>
      <c r="AV177" s="387">
        <f t="shared" si="162"/>
        <v>0.1285637413958827</v>
      </c>
      <c r="AW177" s="387">
        <f t="shared" si="163"/>
        <v>0</v>
      </c>
      <c r="AX177" s="387">
        <f t="shared" si="164"/>
        <v>3.6000000000000004E-2</v>
      </c>
      <c r="AY177" s="387">
        <f t="shared" si="165"/>
        <v>5.9136000000000001E-2</v>
      </c>
      <c r="AZ177" s="387">
        <f t="shared" si="166"/>
        <v>7.3471999999999996E-2</v>
      </c>
      <c r="BA177" s="387">
        <f t="shared" si="180"/>
        <v>9.5135999999999998E-2</v>
      </c>
      <c r="BB177" s="387">
        <f t="shared" si="181"/>
        <v>1.7716559956074409</v>
      </c>
      <c r="BC177">
        <f t="shared" si="167"/>
        <v>72</v>
      </c>
      <c r="BD177" s="606">
        <f t="shared" si="182"/>
        <v>0.97598459771984869</v>
      </c>
      <c r="BE177" s="616">
        <f t="shared" si="168"/>
        <v>26.072258066485826</v>
      </c>
      <c r="BF177" s="616">
        <f t="shared" si="169"/>
        <v>10.141886017833333</v>
      </c>
      <c r="BG177" s="9"/>
      <c r="BH177" s="4">
        <f t="shared" si="183"/>
        <v>97.598459771984864</v>
      </c>
      <c r="BI177" s="387">
        <f t="shared" si="184"/>
        <v>0.71808097170780683</v>
      </c>
      <c r="BJ177" s="387">
        <f t="shared" si="185"/>
        <v>0.79749583449594641</v>
      </c>
      <c r="BK177" s="387">
        <f t="shared" si="186"/>
        <v>0.30028833392466664</v>
      </c>
      <c r="BL177" s="387">
        <f t="shared" si="187"/>
        <v>0.1285637413958827</v>
      </c>
    </row>
    <row r="178" spans="7:64" x14ac:dyDescent="0.2">
      <c r="G178">
        <v>169</v>
      </c>
      <c r="H178" s="612">
        <f t="shared" si="131"/>
        <v>21.055</v>
      </c>
      <c r="I178" s="4" t="str">
        <f t="shared" si="132"/>
        <v>BUCK</v>
      </c>
      <c r="J178">
        <f t="shared" si="170"/>
        <v>1</v>
      </c>
      <c r="K178">
        <f t="shared" si="133"/>
        <v>6</v>
      </c>
      <c r="L178" s="4">
        <f t="shared" si="134"/>
        <v>3.5620992638328191</v>
      </c>
      <c r="M178" s="4">
        <f t="shared" si="135"/>
        <v>6</v>
      </c>
      <c r="N178" s="387">
        <f t="shared" si="136"/>
        <v>0.57424062929441322</v>
      </c>
      <c r="O178" s="387">
        <f t="shared" si="172"/>
        <v>0</v>
      </c>
      <c r="P178" s="4">
        <f t="shared" si="137"/>
        <v>4.9006812367823374</v>
      </c>
      <c r="Q178" s="387">
        <f t="shared" si="138"/>
        <v>6.1645267227402956</v>
      </c>
      <c r="R178" s="387">
        <f t="shared" si="173"/>
        <v>0.23224463536319181</v>
      </c>
      <c r="S178" s="387">
        <f t="shared" si="174"/>
        <v>0.49288656797196395</v>
      </c>
      <c r="T178" s="387">
        <f t="shared" si="175"/>
        <v>0.72513120333515579</v>
      </c>
      <c r="U178" s="4">
        <f t="shared" si="139"/>
        <v>1.4147048156344153</v>
      </c>
      <c r="V178" s="387">
        <f t="shared" si="176"/>
        <v>1.4009728007654433E-2</v>
      </c>
      <c r="W178" s="387">
        <f t="shared" si="177"/>
        <v>1.4009728007654433E-2</v>
      </c>
      <c r="X178" s="387">
        <f t="shared" si="140"/>
        <v>3.0480971555620791</v>
      </c>
      <c r="Y178" s="387">
        <f t="shared" si="178"/>
        <v>1.8581792539491274E-2</v>
      </c>
      <c r="Z178" s="605">
        <f t="shared" si="179"/>
        <v>1.8581792539491274E-2</v>
      </c>
      <c r="AA178" s="387">
        <f t="shared" si="141"/>
        <v>4.6713961450750032</v>
      </c>
      <c r="AB178" s="387">
        <f t="shared" si="142"/>
        <v>0.12438506908206312</v>
      </c>
      <c r="AC178" s="387">
        <f t="shared" si="143"/>
        <v>9.6058649526542306E-2</v>
      </c>
      <c r="AD178">
        <f t="shared" si="144"/>
        <v>0</v>
      </c>
      <c r="AE178" s="387">
        <f t="shared" si="145"/>
        <v>0.22606760555545172</v>
      </c>
      <c r="AF178" s="387">
        <f t="shared" si="146"/>
        <v>4.0223684280728946</v>
      </c>
      <c r="AG178" s="387">
        <f t="shared" si="147"/>
        <v>9.2222852295598373E-2</v>
      </c>
      <c r="AH178" s="387">
        <f t="shared" si="148"/>
        <v>0.10752</v>
      </c>
      <c r="AI178" s="387">
        <f t="shared" si="149"/>
        <v>0.20349625327733911</v>
      </c>
      <c r="AJ178" s="387">
        <f t="shared" si="150"/>
        <v>0</v>
      </c>
      <c r="AK178" s="387">
        <f t="shared" si="151"/>
        <v>0</v>
      </c>
      <c r="AL178" s="387">
        <f t="shared" si="152"/>
        <v>0</v>
      </c>
      <c r="AM178">
        <f t="shared" si="153"/>
        <v>0</v>
      </c>
      <c r="AN178" s="387">
        <f t="shared" si="154"/>
        <v>0</v>
      </c>
      <c r="AO178" s="387">
        <f t="shared" si="155"/>
        <v>6.1645267227402956</v>
      </c>
      <c r="AP178" s="387">
        <f t="shared" si="156"/>
        <v>7.2202640459220507E-2</v>
      </c>
      <c r="AQ178" s="387">
        <f t="shared" si="157"/>
        <v>0</v>
      </c>
      <c r="AR178" s="387">
        <f t="shared" si="158"/>
        <v>7.3260561657865195E-2</v>
      </c>
      <c r="AS178" s="387">
        <f t="shared" si="159"/>
        <v>7.2202640459220507E-2</v>
      </c>
      <c r="AT178" s="387">
        <f t="shared" si="160"/>
        <v>0</v>
      </c>
      <c r="AU178" s="387">
        <f t="shared" si="161"/>
        <v>0.29664552960000001</v>
      </c>
      <c r="AV178" s="387">
        <f t="shared" si="162"/>
        <v>0.12943558216926088</v>
      </c>
      <c r="AW178" s="387">
        <f t="shared" si="163"/>
        <v>0</v>
      </c>
      <c r="AX178" s="387">
        <f t="shared" si="164"/>
        <v>3.6000000000000004E-2</v>
      </c>
      <c r="AY178" s="387">
        <f t="shared" si="165"/>
        <v>5.9136000000000001E-2</v>
      </c>
      <c r="AZ178" s="387">
        <f t="shared" si="166"/>
        <v>7.3471999999999996E-2</v>
      </c>
      <c r="BA178" s="387">
        <f t="shared" si="180"/>
        <v>9.5135999999999998E-2</v>
      </c>
      <c r="BB178" s="387">
        <f t="shared" si="181"/>
        <v>1.7817642561422184</v>
      </c>
      <c r="BC178">
        <f t="shared" si="167"/>
        <v>72</v>
      </c>
      <c r="BD178" s="606">
        <f t="shared" si="182"/>
        <v>0.97585088572893686</v>
      </c>
      <c r="BE178" s="616">
        <f t="shared" si="168"/>
        <v>26.135656757772587</v>
      </c>
      <c r="BF178" s="616">
        <f t="shared" si="169"/>
        <v>10.174812663866955</v>
      </c>
      <c r="BG178" s="9"/>
      <c r="BH178" s="4">
        <f t="shared" si="183"/>
        <v>97.585088572893682</v>
      </c>
      <c r="BI178" s="387">
        <f t="shared" si="184"/>
        <v>0.72513120333515579</v>
      </c>
      <c r="BJ178" s="387">
        <f t="shared" si="185"/>
        <v>0.79946995009065602</v>
      </c>
      <c r="BK178" s="387">
        <f t="shared" si="186"/>
        <v>0.3013892780453391</v>
      </c>
      <c r="BL178" s="387">
        <f t="shared" si="187"/>
        <v>0.12943558216926088</v>
      </c>
    </row>
    <row r="179" spans="7:64" x14ac:dyDescent="0.2">
      <c r="G179">
        <v>170</v>
      </c>
      <c r="H179" s="612">
        <f t="shared" si="131"/>
        <v>21.15</v>
      </c>
      <c r="I179" s="4" t="str">
        <f t="shared" si="132"/>
        <v>BUCK</v>
      </c>
      <c r="J179">
        <f t="shared" si="170"/>
        <v>1</v>
      </c>
      <c r="K179">
        <f t="shared" si="133"/>
        <v>6</v>
      </c>
      <c r="L179" s="4">
        <f t="shared" si="134"/>
        <v>3.5460992907801421</v>
      </c>
      <c r="M179" s="4">
        <f t="shared" si="135"/>
        <v>6</v>
      </c>
      <c r="N179" s="387">
        <f t="shared" si="136"/>
        <v>0.57166713840928396</v>
      </c>
      <c r="O179" s="387">
        <f t="shared" si="172"/>
        <v>0</v>
      </c>
      <c r="P179" s="4">
        <f t="shared" si="137"/>
        <v>4.9303032706388832</v>
      </c>
      <c r="Q179" s="387">
        <f t="shared" si="138"/>
        <v>6.1664947521564226</v>
      </c>
      <c r="R179" s="387">
        <f t="shared" si="173"/>
        <v>0.232395704923754</v>
      </c>
      <c r="S179" s="387">
        <f t="shared" si="174"/>
        <v>0.49977780374863029</v>
      </c>
      <c r="T179" s="387">
        <f t="shared" si="175"/>
        <v>0.73217350867238429</v>
      </c>
      <c r="U179" s="4">
        <f t="shared" si="139"/>
        <v>1.423255960244926</v>
      </c>
      <c r="V179" s="387">
        <f t="shared" si="176"/>
        <v>1.4179602698608944E-2</v>
      </c>
      <c r="W179" s="387">
        <f t="shared" si="177"/>
        <v>1.4179602698608944E-2</v>
      </c>
      <c r="X179" s="387">
        <f t="shared" si="140"/>
        <v>3.0514107899111638</v>
      </c>
      <c r="Y179" s="387">
        <f t="shared" si="178"/>
        <v>1.8622215617572546E-2</v>
      </c>
      <c r="Z179" s="605">
        <f t="shared" si="179"/>
        <v>1.8622215617572546E-2</v>
      </c>
      <c r="AA179" s="387">
        <f t="shared" si="141"/>
        <v>4.6624048328492744</v>
      </c>
      <c r="AB179" s="387">
        <f t="shared" si="142"/>
        <v>0.12390670730464473</v>
      </c>
      <c r="AC179" s="387">
        <f t="shared" si="143"/>
        <v>9.6492065423242443E-2</v>
      </c>
      <c r="AD179">
        <f t="shared" si="144"/>
        <v>0</v>
      </c>
      <c r="AE179" s="387">
        <f t="shared" si="145"/>
        <v>0.22599933953074292</v>
      </c>
      <c r="AF179" s="387">
        <f t="shared" si="146"/>
        <v>4.0357946804807145</v>
      </c>
      <c r="AG179" s="387">
        <f t="shared" si="147"/>
        <v>9.2839540607079662E-2</v>
      </c>
      <c r="AH179" s="387">
        <f t="shared" si="148"/>
        <v>0.10752</v>
      </c>
      <c r="AI179" s="387">
        <f t="shared" si="149"/>
        <v>0.2041501824375504</v>
      </c>
      <c r="AJ179" s="387">
        <f t="shared" si="150"/>
        <v>0</v>
      </c>
      <c r="AK179" s="387">
        <f t="shared" si="151"/>
        <v>0</v>
      </c>
      <c r="AL179" s="387">
        <f t="shared" si="152"/>
        <v>0</v>
      </c>
      <c r="AM179">
        <f t="shared" si="153"/>
        <v>0</v>
      </c>
      <c r="AN179" s="387">
        <f t="shared" si="154"/>
        <v>0</v>
      </c>
      <c r="AO179" s="387">
        <f t="shared" si="155"/>
        <v>6.1664947521564226</v>
      </c>
      <c r="AP179" s="387">
        <f t="shared" si="156"/>
        <v>7.2248749303908122E-2</v>
      </c>
      <c r="AQ179" s="387">
        <f t="shared" si="157"/>
        <v>0</v>
      </c>
      <c r="AR179" s="387">
        <f t="shared" si="158"/>
        <v>7.3308032029520867E-2</v>
      </c>
      <c r="AS179" s="387">
        <f t="shared" si="159"/>
        <v>7.2248749303908122E-2</v>
      </c>
      <c r="AT179" s="387">
        <f t="shared" si="160"/>
        <v>0</v>
      </c>
      <c r="AU179" s="387">
        <f t="shared" si="161"/>
        <v>0.29798616960000002</v>
      </c>
      <c r="AV179" s="387">
        <f t="shared" si="162"/>
        <v>0.13030110962397146</v>
      </c>
      <c r="AW179" s="387">
        <f t="shared" si="163"/>
        <v>0</v>
      </c>
      <c r="AX179" s="387">
        <f t="shared" si="164"/>
        <v>3.6000000000000004E-2</v>
      </c>
      <c r="AY179" s="387">
        <f t="shared" si="165"/>
        <v>5.9136000000000001E-2</v>
      </c>
      <c r="AZ179" s="387">
        <f t="shared" si="166"/>
        <v>7.3471999999999996E-2</v>
      </c>
      <c r="BA179" s="387">
        <f t="shared" si="180"/>
        <v>9.5135999999999998E-2</v>
      </c>
      <c r="BB179" s="387">
        <f t="shared" si="181"/>
        <v>1.7918561602103518</v>
      </c>
      <c r="BC179">
        <f t="shared" si="167"/>
        <v>72</v>
      </c>
      <c r="BD179" s="606">
        <f t="shared" si="182"/>
        <v>0.97571742664502115</v>
      </c>
      <c r="BE179" s="616">
        <f t="shared" si="168"/>
        <v>26.199275456537148</v>
      </c>
      <c r="BF179" s="616">
        <f t="shared" si="169"/>
        <v>10.20750912187752</v>
      </c>
      <c r="BG179" s="9"/>
      <c r="BH179" s="4">
        <f t="shared" si="183"/>
        <v>97.571742664502111</v>
      </c>
      <c r="BI179" s="387">
        <f t="shared" si="184"/>
        <v>0.73217350867238429</v>
      </c>
      <c r="BJ179" s="387">
        <f t="shared" si="185"/>
        <v>0.80144372359781424</v>
      </c>
      <c r="BK179" s="387">
        <f t="shared" si="186"/>
        <v>0.30248561840555044</v>
      </c>
      <c r="BL179" s="387">
        <f t="shared" si="187"/>
        <v>0.13030110962397146</v>
      </c>
    </row>
    <row r="180" spans="7:64" x14ac:dyDescent="0.2">
      <c r="G180">
        <v>171</v>
      </c>
      <c r="H180" s="612">
        <f t="shared" si="131"/>
        <v>21.245000000000001</v>
      </c>
      <c r="I180" s="4" t="str">
        <f t="shared" si="132"/>
        <v>BUCK</v>
      </c>
      <c r="J180">
        <f t="shared" si="170"/>
        <v>1</v>
      </c>
      <c r="K180">
        <f t="shared" si="133"/>
        <v>6</v>
      </c>
      <c r="L180" s="4">
        <f t="shared" si="134"/>
        <v>3.5302424099788188</v>
      </c>
      <c r="M180" s="4">
        <f t="shared" si="135"/>
        <v>6</v>
      </c>
      <c r="N180" s="387">
        <f t="shared" si="136"/>
        <v>0.56911661109284739</v>
      </c>
      <c r="O180" s="387">
        <f t="shared" si="172"/>
        <v>0</v>
      </c>
      <c r="P180" s="4">
        <f t="shared" si="137"/>
        <v>4.9596609835245609</v>
      </c>
      <c r="Q180" s="387">
        <f t="shared" si="138"/>
        <v>6.1684562971047558</v>
      </c>
      <c r="R180" s="387">
        <f t="shared" si="173"/>
        <v>0.23254632827689509</v>
      </c>
      <c r="S180" s="387">
        <f t="shared" si="174"/>
        <v>0.50666102707368432</v>
      </c>
      <c r="T180" s="387">
        <f t="shared" si="175"/>
        <v>0.73920735535057935</v>
      </c>
      <c r="U180" s="4">
        <f t="shared" si="139"/>
        <v>1.4317308019635948</v>
      </c>
      <c r="V180" s="387">
        <f t="shared" si="176"/>
        <v>1.4348971625039229E-2</v>
      </c>
      <c r="W180" s="387">
        <f t="shared" si="177"/>
        <v>1.4348971625039229E-2</v>
      </c>
      <c r="X180" s="387">
        <f t="shared" si="140"/>
        <v>3.054618649444464</v>
      </c>
      <c r="Y180" s="387">
        <f t="shared" si="178"/>
        <v>1.8661390187067844E-2</v>
      </c>
      <c r="Z180" s="605">
        <f t="shared" si="179"/>
        <v>1.8661390187067844E-2</v>
      </c>
      <c r="AA180" s="387">
        <f t="shared" si="141"/>
        <v>4.6534721921118409</v>
      </c>
      <c r="AB180" s="387">
        <f t="shared" si="142"/>
        <v>0.12343237962372165</v>
      </c>
      <c r="AC180" s="387">
        <f t="shared" si="143"/>
        <v>9.6925481319942594E-2</v>
      </c>
      <c r="AD180">
        <f t="shared" si="144"/>
        <v>0</v>
      </c>
      <c r="AE180" s="387">
        <f t="shared" si="145"/>
        <v>0.2259354100032569</v>
      </c>
      <c r="AF180" s="387">
        <f t="shared" si="146"/>
        <v>4.0490800988043114</v>
      </c>
      <c r="AG180" s="387">
        <f t="shared" si="147"/>
        <v>9.3451782985238846E-2</v>
      </c>
      <c r="AH180" s="387">
        <f t="shared" si="148"/>
        <v>0.10752</v>
      </c>
      <c r="AI180" s="387">
        <f t="shared" si="149"/>
        <v>0.20479955978860631</v>
      </c>
      <c r="AJ180" s="387">
        <f t="shared" si="150"/>
        <v>0</v>
      </c>
      <c r="AK180" s="387">
        <f t="shared" si="151"/>
        <v>0</v>
      </c>
      <c r="AL180" s="387">
        <f t="shared" si="152"/>
        <v>0</v>
      </c>
      <c r="AM180">
        <f t="shared" si="153"/>
        <v>0</v>
      </c>
      <c r="AN180" s="387">
        <f t="shared" si="154"/>
        <v>0</v>
      </c>
      <c r="AO180" s="387">
        <f t="shared" si="155"/>
        <v>6.1684562971047558</v>
      </c>
      <c r="AP180" s="387">
        <f t="shared" si="156"/>
        <v>7.2294720869653509E-2</v>
      </c>
      <c r="AQ180" s="387">
        <f t="shared" si="157"/>
        <v>0</v>
      </c>
      <c r="AR180" s="387">
        <f t="shared" si="158"/>
        <v>7.3355361952990278E-2</v>
      </c>
      <c r="AS180" s="387">
        <f t="shared" si="159"/>
        <v>7.2294720869653509E-2</v>
      </c>
      <c r="AT180" s="387">
        <f t="shared" si="160"/>
        <v>0</v>
      </c>
      <c r="AU180" s="387">
        <f t="shared" si="161"/>
        <v>0.29932680960000002</v>
      </c>
      <c r="AV180" s="387">
        <f t="shared" si="162"/>
        <v>0.13116039717226505</v>
      </c>
      <c r="AW180" s="387">
        <f t="shared" si="163"/>
        <v>0</v>
      </c>
      <c r="AX180" s="387">
        <f t="shared" si="164"/>
        <v>3.6000000000000004E-2</v>
      </c>
      <c r="AY180" s="387">
        <f t="shared" si="165"/>
        <v>5.9136000000000001E-2</v>
      </c>
      <c r="AZ180" s="387">
        <f t="shared" si="166"/>
        <v>7.3471999999999996E-2</v>
      </c>
      <c r="BA180" s="387">
        <f t="shared" si="180"/>
        <v>9.5135999999999998E-2</v>
      </c>
      <c r="BB180" s="387">
        <f t="shared" si="181"/>
        <v>1.8019312556798048</v>
      </c>
      <c r="BC180">
        <f t="shared" si="167"/>
        <v>72</v>
      </c>
      <c r="BD180" s="606">
        <f t="shared" si="182"/>
        <v>0.97558422625232954</v>
      </c>
      <c r="BE180" s="616">
        <f t="shared" si="168"/>
        <v>26.263110980162846</v>
      </c>
      <c r="BF180" s="616">
        <f t="shared" si="169"/>
        <v>10.239977989430315</v>
      </c>
      <c r="BG180" s="9"/>
      <c r="BH180" s="4">
        <f t="shared" si="183"/>
        <v>97.55842262523295</v>
      </c>
      <c r="BI180" s="387">
        <f t="shared" si="184"/>
        <v>0.73920735535057935</v>
      </c>
      <c r="BJ180" s="387">
        <f t="shared" si="185"/>
        <v>0.80341714134485354</v>
      </c>
      <c r="BK180" s="387">
        <f t="shared" si="186"/>
        <v>0.30357740695660629</v>
      </c>
      <c r="BL180" s="387">
        <f t="shared" si="187"/>
        <v>0.13116039717226505</v>
      </c>
    </row>
    <row r="181" spans="7:64" x14ac:dyDescent="0.2">
      <c r="G181">
        <v>172</v>
      </c>
      <c r="H181" s="612">
        <f t="shared" si="131"/>
        <v>21.34</v>
      </c>
      <c r="I181" s="4" t="str">
        <f t="shared" si="132"/>
        <v>BUCK</v>
      </c>
      <c r="J181">
        <f t="shared" si="170"/>
        <v>1</v>
      </c>
      <c r="K181">
        <f t="shared" si="133"/>
        <v>6</v>
      </c>
      <c r="L181" s="4">
        <f t="shared" si="134"/>
        <v>3.5145267104029991</v>
      </c>
      <c r="M181" s="4">
        <f t="shared" si="135"/>
        <v>6</v>
      </c>
      <c r="N181" s="387">
        <f t="shared" si="136"/>
        <v>0.56658874135028992</v>
      </c>
      <c r="O181" s="387">
        <f t="shared" si="172"/>
        <v>0</v>
      </c>
      <c r="P181" s="4">
        <f t="shared" si="137"/>
        <v>4.9887578975768596</v>
      </c>
      <c r="Q181" s="387">
        <f t="shared" si="138"/>
        <v>6.1704112866744643</v>
      </c>
      <c r="R181" s="387">
        <f t="shared" si="173"/>
        <v>0.23269649946780971</v>
      </c>
      <c r="S181" s="387">
        <f t="shared" si="174"/>
        <v>0.5135357301642125</v>
      </c>
      <c r="T181" s="387">
        <f t="shared" si="175"/>
        <v>0.74623222963202218</v>
      </c>
      <c r="U181" s="4">
        <f t="shared" si="139"/>
        <v>1.4401303575439357</v>
      </c>
      <c r="V181" s="387">
        <f t="shared" si="176"/>
        <v>1.4517828127037367E-2</v>
      </c>
      <c r="W181" s="387">
        <f t="shared" si="177"/>
        <v>1.4517828127037367E-2</v>
      </c>
      <c r="X181" s="387">
        <f t="shared" si="140"/>
        <v>3.0577232628280986</v>
      </c>
      <c r="Y181" s="387">
        <f t="shared" si="178"/>
        <v>1.8699343104080227E-2</v>
      </c>
      <c r="Z181" s="605">
        <f t="shared" si="179"/>
        <v>1.8699343104080227E-2</v>
      </c>
      <c r="AA181" s="387">
        <f t="shared" si="141"/>
        <v>4.6445974881101062</v>
      </c>
      <c r="AB181" s="387">
        <f t="shared" si="142"/>
        <v>0.12296202921138465</v>
      </c>
      <c r="AC181" s="387">
        <f t="shared" si="143"/>
        <v>9.7358897216642731E-2</v>
      </c>
      <c r="AD181">
        <f t="shared" si="144"/>
        <v>0</v>
      </c>
      <c r="AE181" s="387">
        <f t="shared" si="145"/>
        <v>0.22587575465646986</v>
      </c>
      <c r="AF181" s="387">
        <f t="shared" si="146"/>
        <v>4.0622271748587506</v>
      </c>
      <c r="AG181" s="387">
        <f t="shared" si="147"/>
        <v>9.4059630834917168E-2</v>
      </c>
      <c r="AH181" s="387">
        <f t="shared" si="148"/>
        <v>0.10752</v>
      </c>
      <c r="AI181" s="387">
        <f t="shared" si="149"/>
        <v>0.20544443640396612</v>
      </c>
      <c r="AJ181" s="387">
        <f t="shared" si="150"/>
        <v>0</v>
      </c>
      <c r="AK181" s="387">
        <f t="shared" si="151"/>
        <v>0</v>
      </c>
      <c r="AL181" s="387">
        <f t="shared" si="152"/>
        <v>0</v>
      </c>
      <c r="AM181">
        <f t="shared" si="153"/>
        <v>0</v>
      </c>
      <c r="AN181" s="387">
        <f t="shared" si="154"/>
        <v>0</v>
      </c>
      <c r="AO181" s="387">
        <f t="shared" si="155"/>
        <v>6.1704112866744643</v>
      </c>
      <c r="AP181" s="387">
        <f t="shared" si="156"/>
        <v>7.2340553348767267E-2</v>
      </c>
      <c r="AQ181" s="387">
        <f t="shared" si="157"/>
        <v>0</v>
      </c>
      <c r="AR181" s="387">
        <f t="shared" si="158"/>
        <v>7.3402549559232311E-2</v>
      </c>
      <c r="AS181" s="387">
        <f t="shared" si="159"/>
        <v>7.2340553348767267E-2</v>
      </c>
      <c r="AT181" s="387">
        <f t="shared" si="160"/>
        <v>0</v>
      </c>
      <c r="AU181" s="387">
        <f t="shared" si="161"/>
        <v>0.30066744960000003</v>
      </c>
      <c r="AV181" s="387">
        <f t="shared" si="162"/>
        <v>0.13201351696128724</v>
      </c>
      <c r="AW181" s="387">
        <f t="shared" si="163"/>
        <v>0</v>
      </c>
      <c r="AX181" s="387">
        <f t="shared" si="164"/>
        <v>3.6000000000000004E-2</v>
      </c>
      <c r="AY181" s="387">
        <f t="shared" si="165"/>
        <v>5.9136000000000001E-2</v>
      </c>
      <c r="AZ181" s="387">
        <f t="shared" si="166"/>
        <v>7.3471999999999996E-2</v>
      </c>
      <c r="BA181" s="387">
        <f t="shared" si="180"/>
        <v>9.5135999999999998E-2</v>
      </c>
      <c r="BB181" s="387">
        <f t="shared" si="181"/>
        <v>1.8119891080440955</v>
      </c>
      <c r="BC181">
        <f t="shared" si="167"/>
        <v>72</v>
      </c>
      <c r="BD181" s="606">
        <f t="shared" si="182"/>
        <v>0.97545129009608778</v>
      </c>
      <c r="BE181" s="616">
        <f t="shared" si="168"/>
        <v>26.327160212823497</v>
      </c>
      <c r="BF181" s="616">
        <f t="shared" si="169"/>
        <v>10.272221820198306</v>
      </c>
      <c r="BG181" s="9"/>
      <c r="BH181" s="4">
        <f t="shared" si="183"/>
        <v>97.545129009608772</v>
      </c>
      <c r="BI181" s="387">
        <f t="shared" si="184"/>
        <v>0.74623222963202218</v>
      </c>
      <c r="BJ181" s="387">
        <f t="shared" si="185"/>
        <v>0.80539019021966829</v>
      </c>
      <c r="BK181" s="387">
        <f t="shared" si="186"/>
        <v>0.30466469477196612</v>
      </c>
      <c r="BL181" s="387">
        <f t="shared" si="187"/>
        <v>0.13201351696128724</v>
      </c>
    </row>
    <row r="182" spans="7:64" x14ac:dyDescent="0.2">
      <c r="G182">
        <v>173</v>
      </c>
      <c r="H182" s="612">
        <f t="shared" si="131"/>
        <v>21.434999999999999</v>
      </c>
      <c r="I182" s="4" t="str">
        <f t="shared" si="132"/>
        <v>BUCK</v>
      </c>
      <c r="J182">
        <f t="shared" si="170"/>
        <v>1</v>
      </c>
      <c r="K182">
        <f t="shared" si="133"/>
        <v>6</v>
      </c>
      <c r="L182" s="4">
        <f t="shared" si="134"/>
        <v>3.498950314905529</v>
      </c>
      <c r="M182" s="4">
        <f t="shared" si="135"/>
        <v>6</v>
      </c>
      <c r="N182" s="387">
        <f t="shared" si="136"/>
        <v>0.56408322859935767</v>
      </c>
      <c r="O182" s="387">
        <f t="shared" si="172"/>
        <v>0</v>
      </c>
      <c r="P182" s="4">
        <f t="shared" si="137"/>
        <v>5.0175974726322794</v>
      </c>
      <c r="Q182" s="387">
        <f t="shared" si="138"/>
        <v>6.1723596541177415</v>
      </c>
      <c r="R182" s="387">
        <f t="shared" si="173"/>
        <v>0.23284621285586052</v>
      </c>
      <c r="S182" s="387">
        <f t="shared" si="174"/>
        <v>0.52040142299940417</v>
      </c>
      <c r="T182" s="387">
        <f t="shared" si="175"/>
        <v>0.75324763585526466</v>
      </c>
      <c r="U182" s="4">
        <f t="shared" si="139"/>
        <v>1.4484556257547163</v>
      </c>
      <c r="V182" s="387">
        <f t="shared" si="176"/>
        <v>1.4686165898463409E-2</v>
      </c>
      <c r="W182" s="387">
        <f t="shared" si="177"/>
        <v>1.4686165898463409E-2</v>
      </c>
      <c r="X182" s="387">
        <f t="shared" si="140"/>
        <v>3.0607270848258445</v>
      </c>
      <c r="Y182" s="387">
        <f t="shared" si="178"/>
        <v>1.8736100575573025E-2</v>
      </c>
      <c r="Z182" s="605">
        <f t="shared" si="179"/>
        <v>1.8736100575573025E-2</v>
      </c>
      <c r="AA182" s="387">
        <f t="shared" si="141"/>
        <v>4.6357800003696266</v>
      </c>
      <c r="AB182" s="387">
        <f t="shared" si="142"/>
        <v>0.122495600407414</v>
      </c>
      <c r="AC182" s="387">
        <f t="shared" si="143"/>
        <v>9.7792313113342869E-2</v>
      </c>
      <c r="AD182">
        <f t="shared" si="144"/>
        <v>0</v>
      </c>
      <c r="AE182" s="387">
        <f t="shared" si="145"/>
        <v>0.22582031247286763</v>
      </c>
      <c r="AF182" s="387">
        <f t="shared" si="146"/>
        <v>4.0752383351104093</v>
      </c>
      <c r="AG182" s="387">
        <f t="shared" si="147"/>
        <v>9.4663134681334721E-2</v>
      </c>
      <c r="AH182" s="387">
        <f t="shared" si="148"/>
        <v>0.10752</v>
      </c>
      <c r="AI182" s="387">
        <f t="shared" si="149"/>
        <v>0.20608486250026409</v>
      </c>
      <c r="AJ182" s="387">
        <f t="shared" si="150"/>
        <v>0</v>
      </c>
      <c r="AK182" s="387">
        <f t="shared" si="151"/>
        <v>0</v>
      </c>
      <c r="AL182" s="387">
        <f t="shared" si="152"/>
        <v>0</v>
      </c>
      <c r="AM182">
        <f t="shared" si="153"/>
        <v>0</v>
      </c>
      <c r="AN182" s="387">
        <f t="shared" si="154"/>
        <v>0</v>
      </c>
      <c r="AO182" s="387">
        <f t="shared" si="155"/>
        <v>6.1723596541177415</v>
      </c>
      <c r="AP182" s="387">
        <f t="shared" si="156"/>
        <v>7.2386245029582921E-2</v>
      </c>
      <c r="AQ182" s="387">
        <f t="shared" si="157"/>
        <v>0</v>
      </c>
      <c r="AR182" s="387">
        <f t="shared" si="158"/>
        <v>7.3449593077955733E-2</v>
      </c>
      <c r="AS182" s="387">
        <f t="shared" si="159"/>
        <v>7.2386245029582921E-2</v>
      </c>
      <c r="AT182" s="387">
        <f t="shared" si="160"/>
        <v>0</v>
      </c>
      <c r="AU182" s="387">
        <f t="shared" si="161"/>
        <v>0.30200808959999997</v>
      </c>
      <c r="AV182" s="387">
        <f t="shared" si="162"/>
        <v>0.13286053990362767</v>
      </c>
      <c r="AW182" s="387">
        <f t="shared" si="163"/>
        <v>0</v>
      </c>
      <c r="AX182" s="387">
        <f t="shared" si="164"/>
        <v>3.6000000000000004E-2</v>
      </c>
      <c r="AY182" s="387">
        <f t="shared" si="165"/>
        <v>5.9136000000000001E-2</v>
      </c>
      <c r="AZ182" s="387">
        <f t="shared" si="166"/>
        <v>7.3471999999999996E-2</v>
      </c>
      <c r="BA182" s="387">
        <f t="shared" si="180"/>
        <v>9.5135999999999998E-2</v>
      </c>
      <c r="BB182" s="387">
        <f t="shared" si="181"/>
        <v>1.822029299884016</v>
      </c>
      <c r="BC182">
        <f t="shared" si="167"/>
        <v>72</v>
      </c>
      <c r="BD182" s="606">
        <f t="shared" si="182"/>
        <v>0.975318623489982</v>
      </c>
      <c r="BE182" s="616">
        <f t="shared" si="168"/>
        <v>26.39142010364338</v>
      </c>
      <c r="BF182" s="616">
        <f t="shared" si="169"/>
        <v>10.304243125013205</v>
      </c>
      <c r="BG182" s="9"/>
      <c r="BH182" s="4">
        <f t="shared" si="183"/>
        <v>97.531862348998203</v>
      </c>
      <c r="BI182" s="387">
        <f t="shared" si="184"/>
        <v>0.75324763585526466</v>
      </c>
      <c r="BJ182" s="387">
        <f t="shared" si="185"/>
        <v>0.8073628576510874</v>
      </c>
      <c r="BK182" s="387">
        <f t="shared" si="186"/>
        <v>0.30574753206826411</v>
      </c>
      <c r="BL182" s="387">
        <f t="shared" si="187"/>
        <v>0.13286053990362767</v>
      </c>
    </row>
    <row r="183" spans="7:64" x14ac:dyDescent="0.2">
      <c r="G183">
        <v>174</v>
      </c>
      <c r="H183" s="612">
        <f t="shared" si="131"/>
        <v>21.53</v>
      </c>
      <c r="I183" s="4" t="str">
        <f t="shared" si="132"/>
        <v>BUCK</v>
      </c>
      <c r="J183">
        <f t="shared" si="170"/>
        <v>1</v>
      </c>
      <c r="K183">
        <f t="shared" si="133"/>
        <v>6</v>
      </c>
      <c r="L183" s="4">
        <f t="shared" si="134"/>
        <v>3.4835113794705062</v>
      </c>
      <c r="M183" s="4">
        <f t="shared" si="135"/>
        <v>6</v>
      </c>
      <c r="N183" s="387">
        <f t="shared" si="136"/>
        <v>0.5615997775512096</v>
      </c>
      <c r="O183" s="387">
        <f t="shared" si="172"/>
        <v>0</v>
      </c>
      <c r="P183" s="4">
        <f t="shared" si="137"/>
        <v>5.0461831075977708</v>
      </c>
      <c r="Q183" s="387">
        <f t="shared" si="138"/>
        <v>6.1743013366925776</v>
      </c>
      <c r="R183" s="387">
        <f t="shared" si="173"/>
        <v>0.23299546310309316</v>
      </c>
      <c r="S183" s="387">
        <f t="shared" si="174"/>
        <v>0.52725763279350224</v>
      </c>
      <c r="T183" s="387">
        <f t="shared" si="175"/>
        <v>0.7602530958965954</v>
      </c>
      <c r="U183" s="4">
        <f t="shared" si="139"/>
        <v>1.4567075877758577</v>
      </c>
      <c r="V183" s="387">
        <f t="shared" si="176"/>
        <v>1.4853978973986309E-2</v>
      </c>
      <c r="W183" s="387">
        <f t="shared" si="177"/>
        <v>1.4853978973986309E-2</v>
      </c>
      <c r="X183" s="387">
        <f t="shared" si="140"/>
        <v>3.0636324989963311</v>
      </c>
      <c r="Y183" s="387">
        <f t="shared" si="178"/>
        <v>1.8771688177813009E-2</v>
      </c>
      <c r="Z183" s="605">
        <f t="shared" si="179"/>
        <v>1.8771688177813009E-2</v>
      </c>
      <c r="AA183" s="387">
        <f t="shared" si="141"/>
        <v>4.6270190223210488</v>
      </c>
      <c r="AB183" s="387">
        <f t="shared" si="142"/>
        <v>0.12203303868764875</v>
      </c>
      <c r="AC183" s="387">
        <f t="shared" si="143"/>
        <v>9.822572901004302E-2</v>
      </c>
      <c r="AD183">
        <f t="shared" si="144"/>
        <v>0</v>
      </c>
      <c r="AE183" s="387">
        <f t="shared" si="145"/>
        <v>0.22576902369838325</v>
      </c>
      <c r="AF183" s="387">
        <f t="shared" si="146"/>
        <v>4.088115942994146</v>
      </c>
      <c r="AG183" s="387">
        <f t="shared" si="147"/>
        <v>9.5262344191168621E-2</v>
      </c>
      <c r="AH183" s="387">
        <f t="shared" si="148"/>
        <v>0.10752</v>
      </c>
      <c r="AI183" s="387">
        <f t="shared" si="149"/>
        <v>0.2067208874576679</v>
      </c>
      <c r="AJ183" s="387">
        <f t="shared" si="150"/>
        <v>0</v>
      </c>
      <c r="AK183" s="387">
        <f t="shared" si="151"/>
        <v>0</v>
      </c>
      <c r="AL183" s="387">
        <f t="shared" si="152"/>
        <v>0</v>
      </c>
      <c r="AM183">
        <f t="shared" si="153"/>
        <v>0</v>
      </c>
      <c r="AN183" s="387">
        <f t="shared" si="154"/>
        <v>0</v>
      </c>
      <c r="AO183" s="387">
        <f t="shared" si="155"/>
        <v>6.1743013366925776</v>
      </c>
      <c r="AP183" s="387">
        <f t="shared" si="156"/>
        <v>7.2431794292939125E-2</v>
      </c>
      <c r="AQ183" s="387">
        <f t="shared" si="157"/>
        <v>0</v>
      </c>
      <c r="AR183" s="387">
        <f t="shared" si="158"/>
        <v>7.3496490834007472E-2</v>
      </c>
      <c r="AS183" s="387">
        <f t="shared" si="159"/>
        <v>7.2431794292939125E-2</v>
      </c>
      <c r="AT183" s="387">
        <f t="shared" si="160"/>
        <v>0</v>
      </c>
      <c r="AU183" s="387">
        <f t="shared" si="161"/>
        <v>0.30334872960000003</v>
      </c>
      <c r="AV183" s="387">
        <f t="shared" si="162"/>
        <v>0.13370153570690332</v>
      </c>
      <c r="AW183" s="387">
        <f t="shared" si="163"/>
        <v>0</v>
      </c>
      <c r="AX183" s="387">
        <f t="shared" si="164"/>
        <v>3.6000000000000004E-2</v>
      </c>
      <c r="AY183" s="387">
        <f t="shared" si="165"/>
        <v>5.9136000000000001E-2</v>
      </c>
      <c r="AZ183" s="387">
        <f t="shared" si="166"/>
        <v>7.3471999999999996E-2</v>
      </c>
      <c r="BA183" s="387">
        <f t="shared" si="180"/>
        <v>9.5135999999999998E-2</v>
      </c>
      <c r="BB183" s="387">
        <f t="shared" si="181"/>
        <v>1.8320514303453568</v>
      </c>
      <c r="BC183">
        <f t="shared" si="167"/>
        <v>72</v>
      </c>
      <c r="BD183" s="606">
        <f t="shared" si="182"/>
        <v>0.97518623152339534</v>
      </c>
      <c r="BE183" s="616">
        <f t="shared" si="168"/>
        <v>26.455887664919164</v>
      </c>
      <c r="BF183" s="616">
        <f t="shared" si="169"/>
        <v>10.336044372883395</v>
      </c>
      <c r="BG183" s="9"/>
      <c r="BH183" s="4">
        <f t="shared" si="183"/>
        <v>97.518623152339529</v>
      </c>
      <c r="BI183" s="387">
        <f t="shared" si="184"/>
        <v>0.7602530958965954</v>
      </c>
      <c r="BJ183" s="387">
        <f t="shared" si="185"/>
        <v>0.80933513159005865</v>
      </c>
      <c r="BK183" s="387">
        <f t="shared" si="186"/>
        <v>0.30682596822566788</v>
      </c>
      <c r="BL183" s="387">
        <f t="shared" si="187"/>
        <v>0.13370153570690332</v>
      </c>
    </row>
    <row r="184" spans="7:64" x14ac:dyDescent="0.2">
      <c r="G184">
        <v>175</v>
      </c>
      <c r="H184" s="612">
        <f t="shared" si="131"/>
        <v>21.625</v>
      </c>
      <c r="I184" s="4" t="str">
        <f t="shared" si="132"/>
        <v>BUCK</v>
      </c>
      <c r="J184">
        <f t="shared" si="170"/>
        <v>1</v>
      </c>
      <c r="K184">
        <f t="shared" si="133"/>
        <v>6</v>
      </c>
      <c r="L184" s="4">
        <f t="shared" si="134"/>
        <v>3.4682080924855496</v>
      </c>
      <c r="M184" s="4">
        <f t="shared" si="135"/>
        <v>6</v>
      </c>
      <c r="N184" s="387">
        <f t="shared" si="136"/>
        <v>0.55913809809440318</v>
      </c>
      <c r="O184" s="387">
        <f t="shared" si="172"/>
        <v>0</v>
      </c>
      <c r="P184" s="4">
        <f t="shared" si="137"/>
        <v>5.0745181417860978</v>
      </c>
      <c r="Q184" s="387">
        <f t="shared" si="138"/>
        <v>6.1762362755114069</v>
      </c>
      <c r="R184" s="387">
        <f t="shared" si="173"/>
        <v>0.23314424516317367</v>
      </c>
      <c r="S184" s="387">
        <f t="shared" si="174"/>
        <v>0.53410390348425041</v>
      </c>
      <c r="T184" s="387">
        <f t="shared" si="175"/>
        <v>0.76724814864742408</v>
      </c>
      <c r="U184" s="4">
        <f t="shared" si="139"/>
        <v>1.4648872075839217</v>
      </c>
      <c r="V184" s="387">
        <f t="shared" si="176"/>
        <v>1.5021261716601137E-2</v>
      </c>
      <c r="W184" s="387">
        <f t="shared" si="177"/>
        <v>1.5021261716601137E-2</v>
      </c>
      <c r="X184" s="387">
        <f t="shared" si="140"/>
        <v>3.0664418202697732</v>
      </c>
      <c r="Y184" s="387">
        <f t="shared" si="178"/>
        <v>1.8806130874198801E-2</v>
      </c>
      <c r="Z184" s="605">
        <f t="shared" si="179"/>
        <v>1.8806130874198801E-2</v>
      </c>
      <c r="AA184" s="387">
        <f t="shared" si="141"/>
        <v>4.6183138609389873</v>
      </c>
      <c r="AB184" s="387">
        <f t="shared" si="142"/>
        <v>0.12157429063340471</v>
      </c>
      <c r="AC184" s="387">
        <f t="shared" si="143"/>
        <v>9.8659144906743171E-2</v>
      </c>
      <c r="AD184">
        <f t="shared" si="144"/>
        <v>0</v>
      </c>
      <c r="AE184" s="387">
        <f t="shared" si="145"/>
        <v>0.22572182980802483</v>
      </c>
      <c r="AF184" s="387">
        <f t="shared" si="146"/>
        <v>4.1008623011266598</v>
      </c>
      <c r="AG184" s="387">
        <f t="shared" si="147"/>
        <v>9.5857308192970517E-2</v>
      </c>
      <c r="AH184" s="387">
        <f t="shared" si="148"/>
        <v>0.10752</v>
      </c>
      <c r="AI184" s="387">
        <f t="shared" si="149"/>
        <v>0.20735255983959966</v>
      </c>
      <c r="AJ184" s="387">
        <f t="shared" si="150"/>
        <v>0</v>
      </c>
      <c r="AK184" s="387">
        <f t="shared" si="151"/>
        <v>0</v>
      </c>
      <c r="AL184" s="387">
        <f t="shared" si="152"/>
        <v>0</v>
      </c>
      <c r="AM184">
        <f t="shared" si="153"/>
        <v>0</v>
      </c>
      <c r="AN184" s="387">
        <f t="shared" si="154"/>
        <v>0</v>
      </c>
      <c r="AO184" s="387">
        <f t="shared" si="155"/>
        <v>6.1762362755114069</v>
      </c>
      <c r="AP184" s="387">
        <f t="shared" si="156"/>
        <v>7.2477199608791731E-2</v>
      </c>
      <c r="AQ184" s="387">
        <f t="shared" si="157"/>
        <v>0</v>
      </c>
      <c r="AR184" s="387">
        <f t="shared" si="158"/>
        <v>7.3543241243893984E-2</v>
      </c>
      <c r="AS184" s="387">
        <f t="shared" si="159"/>
        <v>7.2477199608791731E-2</v>
      </c>
      <c r="AT184" s="387">
        <f t="shared" si="160"/>
        <v>0</v>
      </c>
      <c r="AU184" s="387">
        <f t="shared" si="161"/>
        <v>0.30468936960000004</v>
      </c>
      <c r="AV184" s="387">
        <f t="shared" si="162"/>
        <v>0.13453657290241475</v>
      </c>
      <c r="AW184" s="387">
        <f t="shared" si="163"/>
        <v>0</v>
      </c>
      <c r="AX184" s="387">
        <f t="shared" si="164"/>
        <v>3.6000000000000004E-2</v>
      </c>
      <c r="AY184" s="387">
        <f t="shared" si="165"/>
        <v>5.9136000000000001E-2</v>
      </c>
      <c r="AZ184" s="387">
        <f t="shared" si="166"/>
        <v>7.3471999999999996E-2</v>
      </c>
      <c r="BA184" s="387">
        <f t="shared" si="180"/>
        <v>9.5135999999999998E-2</v>
      </c>
      <c r="BB184" s="387">
        <f t="shared" si="181"/>
        <v>1.8420551146321571</v>
      </c>
      <c r="BC184">
        <f t="shared" si="167"/>
        <v>72</v>
      </c>
      <c r="BD184" s="606">
        <f t="shared" si="182"/>
        <v>0.97505411906842843</v>
      </c>
      <c r="BE184" s="616">
        <f t="shared" si="168"/>
        <v>26.520559970401241</v>
      </c>
      <c r="BF184" s="616">
        <f t="shared" si="169"/>
        <v>10.367627991979983</v>
      </c>
      <c r="BG184" s="9"/>
      <c r="BH184" s="4">
        <f t="shared" si="183"/>
        <v>97.505411906842838</v>
      </c>
      <c r="BI184" s="387">
        <f t="shared" si="184"/>
        <v>0.76724814864742408</v>
      </c>
      <c r="BJ184" s="387">
        <f t="shared" si="185"/>
        <v>0.81130700049151849</v>
      </c>
      <c r="BK184" s="387">
        <f t="shared" si="186"/>
        <v>0.30790005180759966</v>
      </c>
      <c r="BL184" s="387">
        <f t="shared" si="187"/>
        <v>0.13453657290241475</v>
      </c>
    </row>
    <row r="185" spans="7:64" x14ac:dyDescent="0.2">
      <c r="G185">
        <v>176</v>
      </c>
      <c r="H185" s="612">
        <f t="shared" si="131"/>
        <v>21.72</v>
      </c>
      <c r="I185" s="4" t="str">
        <f t="shared" si="132"/>
        <v>BUCK</v>
      </c>
      <c r="J185">
        <f t="shared" si="170"/>
        <v>1</v>
      </c>
      <c r="K185">
        <f t="shared" si="133"/>
        <v>6</v>
      </c>
      <c r="L185" s="4">
        <f t="shared" si="134"/>
        <v>3.4530386740331496</v>
      </c>
      <c r="M185" s="4">
        <f t="shared" si="135"/>
        <v>6</v>
      </c>
      <c r="N185" s="387">
        <f t="shared" si="136"/>
        <v>0.55669790518191853</v>
      </c>
      <c r="O185" s="387">
        <f t="shared" si="172"/>
        <v>0</v>
      </c>
      <c r="P185" s="4">
        <f t="shared" si="137"/>
        <v>5.1026058562162593</v>
      </c>
      <c r="Q185" s="387">
        <f t="shared" si="138"/>
        <v>6.1781644153953774</v>
      </c>
      <c r="R185" s="387">
        <f t="shared" si="173"/>
        <v>0.23329255427073045</v>
      </c>
      <c r="S185" s="387">
        <f t="shared" si="174"/>
        <v>0.54093979523640556</v>
      </c>
      <c r="T185" s="387">
        <f t="shared" si="175"/>
        <v>0.77423234950713604</v>
      </c>
      <c r="U185" s="4">
        <f t="shared" si="139"/>
        <v>1.4729954323275092</v>
      </c>
      <c r="V185" s="387">
        <f t="shared" si="176"/>
        <v>1.5188008805603939E-2</v>
      </c>
      <c r="W185" s="387">
        <f t="shared" si="177"/>
        <v>1.5188008805603939E-2</v>
      </c>
      <c r="X185" s="387">
        <f t="shared" si="140"/>
        <v>3.0691572974106727</v>
      </c>
      <c r="Y185" s="387">
        <f t="shared" si="178"/>
        <v>1.8839453032498371E-2</v>
      </c>
      <c r="Z185" s="605">
        <f t="shared" si="179"/>
        <v>1.8839453032498371E-2</v>
      </c>
      <c r="AA185" s="387">
        <f t="shared" si="141"/>
        <v>4.6096638363924072</v>
      </c>
      <c r="AB185" s="387">
        <f t="shared" si="142"/>
        <v>0.12111930390190061</v>
      </c>
      <c r="AC185" s="387">
        <f t="shared" si="143"/>
        <v>9.9092560803443308E-2</v>
      </c>
      <c r="AD185">
        <f t="shared" si="144"/>
        <v>0</v>
      </c>
      <c r="AE185" s="387">
        <f t="shared" si="145"/>
        <v>0.22567867347264617</v>
      </c>
      <c r="AF185" s="387">
        <f t="shared" si="146"/>
        <v>4.1134796534216322</v>
      </c>
      <c r="AG185" s="387">
        <f t="shared" si="147"/>
        <v>9.6448074696948383E-2</v>
      </c>
      <c r="AH185" s="387">
        <f t="shared" si="148"/>
        <v>0.10752</v>
      </c>
      <c r="AI185" s="387">
        <f t="shared" si="149"/>
        <v>0.20797992741184509</v>
      </c>
      <c r="AJ185" s="387">
        <f t="shared" si="150"/>
        <v>0</v>
      </c>
      <c r="AK185" s="387">
        <f t="shared" si="151"/>
        <v>0</v>
      </c>
      <c r="AL185" s="387">
        <f t="shared" si="152"/>
        <v>0</v>
      </c>
      <c r="AM185">
        <f t="shared" si="153"/>
        <v>0</v>
      </c>
      <c r="AN185" s="387">
        <f t="shared" si="154"/>
        <v>0</v>
      </c>
      <c r="AO185" s="387">
        <f t="shared" si="155"/>
        <v>6.1781644153953774</v>
      </c>
      <c r="AP185" s="387">
        <f t="shared" si="156"/>
        <v>7.2522459532949654E-2</v>
      </c>
      <c r="AQ185" s="387">
        <f t="shared" si="157"/>
        <v>0</v>
      </c>
      <c r="AR185" s="387">
        <f t="shared" si="158"/>
        <v>7.3589842812429765E-2</v>
      </c>
      <c r="AS185" s="387">
        <f t="shared" si="159"/>
        <v>7.2522459532949654E-2</v>
      </c>
      <c r="AT185" s="387">
        <f t="shared" si="160"/>
        <v>0</v>
      </c>
      <c r="AU185" s="387">
        <f t="shared" si="161"/>
        <v>0.30603000959999999</v>
      </c>
      <c r="AV185" s="387">
        <f t="shared" si="162"/>
        <v>0.13536571887291002</v>
      </c>
      <c r="AW185" s="387">
        <f t="shared" si="163"/>
        <v>0</v>
      </c>
      <c r="AX185" s="387">
        <f t="shared" si="164"/>
        <v>3.6000000000000004E-2</v>
      </c>
      <c r="AY185" s="387">
        <f t="shared" si="165"/>
        <v>5.9136000000000001E-2</v>
      </c>
      <c r="AZ185" s="387">
        <f t="shared" si="166"/>
        <v>7.3471999999999996E-2</v>
      </c>
      <c r="BA185" s="387">
        <f t="shared" si="180"/>
        <v>9.5135999999999998E-2</v>
      </c>
      <c r="BB185" s="387">
        <f t="shared" si="181"/>
        <v>1.8520399835150692</v>
      </c>
      <c r="BC185">
        <f t="shared" si="167"/>
        <v>72</v>
      </c>
      <c r="BD185" s="606">
        <f t="shared" si="182"/>
        <v>0.97492229078670711</v>
      </c>
      <c r="BE185" s="616">
        <f t="shared" si="168"/>
        <v>26.58543415363231</v>
      </c>
      <c r="BF185" s="616">
        <f t="shared" si="169"/>
        <v>10.398996370592254</v>
      </c>
      <c r="BG185" s="9"/>
      <c r="BH185" s="4">
        <f t="shared" si="183"/>
        <v>97.492229078670718</v>
      </c>
      <c r="BI185" s="387">
        <f t="shared" si="184"/>
        <v>0.77423234950713604</v>
      </c>
      <c r="BJ185" s="387">
        <f t="shared" si="185"/>
        <v>0.81327845329692106</v>
      </c>
      <c r="BK185" s="387">
        <f t="shared" si="186"/>
        <v>0.30896983057984506</v>
      </c>
      <c r="BL185" s="387">
        <f t="shared" si="187"/>
        <v>0.13536571887291002</v>
      </c>
    </row>
    <row r="186" spans="7:64" x14ac:dyDescent="0.2">
      <c r="G186">
        <v>177</v>
      </c>
      <c r="H186" s="612">
        <f t="shared" si="131"/>
        <v>21.815000000000001</v>
      </c>
      <c r="I186" s="4" t="str">
        <f t="shared" si="132"/>
        <v>BUCK</v>
      </c>
      <c r="J186">
        <f t="shared" si="170"/>
        <v>1</v>
      </c>
      <c r="K186">
        <f t="shared" si="133"/>
        <v>6</v>
      </c>
      <c r="L186" s="4">
        <f t="shared" si="134"/>
        <v>3.43800137520055</v>
      </c>
      <c r="M186" s="4">
        <f t="shared" si="135"/>
        <v>6</v>
      </c>
      <c r="N186" s="387">
        <f t="shared" si="136"/>
        <v>0.554278918721127</v>
      </c>
      <c r="O186" s="387">
        <f t="shared" si="172"/>
        <v>0</v>
      </c>
      <c r="P186" s="4">
        <f t="shared" si="137"/>
        <v>5.1304494748799767</v>
      </c>
      <c r="Q186" s="387">
        <f t="shared" si="138"/>
        <v>6.1800857047340392</v>
      </c>
      <c r="R186" s="387">
        <f t="shared" si="173"/>
        <v>0.23344038593108613</v>
      </c>
      <c r="S186" s="387">
        <f t="shared" si="174"/>
        <v>0.54776488395986522</v>
      </c>
      <c r="T186" s="387">
        <f t="shared" si="175"/>
        <v>0.78120526989095129</v>
      </c>
      <c r="U186" s="4">
        <f t="shared" si="139"/>
        <v>1.4810331926928644</v>
      </c>
      <c r="V186" s="387">
        <f t="shared" si="176"/>
        <v>1.5354215225006136E-2</v>
      </c>
      <c r="W186" s="387">
        <f t="shared" si="177"/>
        <v>1.5354215225006136E-2</v>
      </c>
      <c r="X186" s="387">
        <f t="shared" si="140"/>
        <v>3.0717811153724908</v>
      </c>
      <c r="Y186" s="387">
        <f t="shared" si="178"/>
        <v>1.8871678441518127E-2</v>
      </c>
      <c r="Z186" s="605">
        <f t="shared" si="179"/>
        <v>1.8871678441518127E-2</v>
      </c>
      <c r="AA186" s="387">
        <f t="shared" si="141"/>
        <v>4.6010682817060751</v>
      </c>
      <c r="AB186" s="387">
        <f t="shared" si="142"/>
        <v>0.12066802719765365</v>
      </c>
      <c r="AC186" s="387">
        <f t="shared" si="143"/>
        <v>9.9525976700143473E-2</v>
      </c>
      <c r="AD186">
        <f t="shared" si="144"/>
        <v>0</v>
      </c>
      <c r="AE186" s="387">
        <f t="shared" si="145"/>
        <v>0.22563949852681692</v>
      </c>
      <c r="AF186" s="387">
        <f t="shared" si="146"/>
        <v>4.125970187111915</v>
      </c>
      <c r="AG186" s="387">
        <f t="shared" si="147"/>
        <v>9.7034690914137092E-2</v>
      </c>
      <c r="AH186" s="387">
        <f t="shared" si="148"/>
        <v>0.10752</v>
      </c>
      <c r="AI186" s="387">
        <f t="shared" si="149"/>
        <v>0.20860303716107206</v>
      </c>
      <c r="AJ186" s="387">
        <f t="shared" si="150"/>
        <v>0</v>
      </c>
      <c r="AK186" s="387">
        <f t="shared" si="151"/>
        <v>0</v>
      </c>
      <c r="AL186" s="387">
        <f t="shared" si="152"/>
        <v>0</v>
      </c>
      <c r="AM186">
        <f t="shared" si="153"/>
        <v>0</v>
      </c>
      <c r="AN186" s="387">
        <f t="shared" si="154"/>
        <v>0</v>
      </c>
      <c r="AO186" s="387">
        <f t="shared" si="155"/>
        <v>6.1800857047340392</v>
      </c>
      <c r="AP186" s="387">
        <f t="shared" si="156"/>
        <v>7.2567572703930258E-2</v>
      </c>
      <c r="AQ186" s="387">
        <f t="shared" si="157"/>
        <v>0</v>
      </c>
      <c r="AR186" s="387">
        <f t="shared" si="158"/>
        <v>7.3636294129508478E-2</v>
      </c>
      <c r="AS186" s="387">
        <f t="shared" si="159"/>
        <v>7.2567572703930258E-2</v>
      </c>
      <c r="AT186" s="387">
        <f t="shared" si="160"/>
        <v>0</v>
      </c>
      <c r="AU186" s="387">
        <f t="shared" si="161"/>
        <v>0.30737064960000005</v>
      </c>
      <c r="AV186" s="387">
        <f t="shared" si="162"/>
        <v>0.13618903987949066</v>
      </c>
      <c r="AW186" s="387">
        <f t="shared" si="163"/>
        <v>0</v>
      </c>
      <c r="AX186" s="387">
        <f t="shared" si="164"/>
        <v>3.6000000000000004E-2</v>
      </c>
      <c r="AY186" s="387">
        <f t="shared" si="165"/>
        <v>5.9136000000000001E-2</v>
      </c>
      <c r="AZ186" s="387">
        <f t="shared" si="166"/>
        <v>7.3471999999999996E-2</v>
      </c>
      <c r="BA186" s="387">
        <f t="shared" si="180"/>
        <v>9.5135999999999998E-2</v>
      </c>
      <c r="BB186" s="387">
        <f t="shared" si="181"/>
        <v>1.8620056828543641</v>
      </c>
      <c r="BC186">
        <f t="shared" si="167"/>
        <v>72</v>
      </c>
      <c r="BD186" s="606">
        <f t="shared" si="182"/>
        <v>0.97479075113598512</v>
      </c>
      <c r="BE186" s="616">
        <f t="shared" si="168"/>
        <v>26.65050740634085</v>
      </c>
      <c r="BF186" s="616">
        <f t="shared" si="169"/>
        <v>10.430151858053604</v>
      </c>
      <c r="BG186" s="9"/>
      <c r="BH186" s="4">
        <f t="shared" si="183"/>
        <v>97.479075113598512</v>
      </c>
      <c r="BI186" s="387">
        <f t="shared" si="184"/>
        <v>0.78120526989095129</v>
      </c>
      <c r="BJ186" s="387">
        <f t="shared" si="185"/>
        <v>0.81524947941739745</v>
      </c>
      <c r="BK186" s="387">
        <f t="shared" si="186"/>
        <v>0.31003535152907208</v>
      </c>
      <c r="BL186" s="387">
        <f t="shared" si="187"/>
        <v>0.13618903987949066</v>
      </c>
    </row>
    <row r="187" spans="7:64" x14ac:dyDescent="0.2">
      <c r="G187">
        <v>178</v>
      </c>
      <c r="H187" s="612">
        <f t="shared" si="131"/>
        <v>21.91</v>
      </c>
      <c r="I187" s="4" t="str">
        <f t="shared" si="132"/>
        <v>BUCK</v>
      </c>
      <c r="J187">
        <f t="shared" si="170"/>
        <v>1</v>
      </c>
      <c r="K187">
        <f t="shared" si="133"/>
        <v>6</v>
      </c>
      <c r="L187" s="4">
        <f t="shared" si="134"/>
        <v>3.4230944774075764</v>
      </c>
      <c r="M187" s="4">
        <f t="shared" si="135"/>
        <v>6</v>
      </c>
      <c r="N187" s="387">
        <f t="shared" si="136"/>
        <v>0.55188086346661813</v>
      </c>
      <c r="O187" s="387">
        <f t="shared" si="172"/>
        <v>0</v>
      </c>
      <c r="P187" s="4">
        <f t="shared" si="137"/>
        <v>5.1580521659753318</v>
      </c>
      <c r="Q187" s="387">
        <f t="shared" si="138"/>
        <v>6.1820000953502285</v>
      </c>
      <c r="R187" s="387">
        <f t="shared" si="173"/>
        <v>0.2335877359103628</v>
      </c>
      <c r="S187" s="387">
        <f t="shared" si="174"/>
        <v>0.55457876084199365</v>
      </c>
      <c r="T187" s="387">
        <f t="shared" si="175"/>
        <v>0.7881664967523565</v>
      </c>
      <c r="U187" s="4">
        <f t="shared" si="139"/>
        <v>1.4890014032599952</v>
      </c>
      <c r="V187" s="387">
        <f t="shared" si="176"/>
        <v>1.5519876252371645E-2</v>
      </c>
      <c r="W187" s="387">
        <f t="shared" si="177"/>
        <v>1.5519876252371645E-2</v>
      </c>
      <c r="X187" s="387">
        <f t="shared" si="140"/>
        <v>3.0743153975499493</v>
      </c>
      <c r="Y187" s="387">
        <f t="shared" si="178"/>
        <v>1.8902830327225405E-2</v>
      </c>
      <c r="Z187" s="605">
        <f t="shared" si="179"/>
        <v>1.8902830327225405E-2</v>
      </c>
      <c r="AA187" s="387">
        <f t="shared" si="141"/>
        <v>4.5925265424326964</v>
      </c>
      <c r="AB187" s="387">
        <f t="shared" si="142"/>
        <v>0.12022041024480826</v>
      </c>
      <c r="AC187" s="387">
        <f t="shared" si="143"/>
        <v>9.9959392596843596E-2</v>
      </c>
      <c r="AD187">
        <f t="shared" si="144"/>
        <v>0</v>
      </c>
      <c r="AE187" s="387">
        <f t="shared" si="145"/>
        <v>0.22560424993774955</v>
      </c>
      <c r="AF187" s="387">
        <f t="shared" si="146"/>
        <v>4.1383360346836771</v>
      </c>
      <c r="AG187" s="387">
        <f t="shared" si="147"/>
        <v>9.7617203274980108E-2</v>
      </c>
      <c r="AH187" s="387">
        <f t="shared" si="148"/>
        <v>0.10752</v>
      </c>
      <c r="AI187" s="387">
        <f t="shared" si="149"/>
        <v>0.20922193531278263</v>
      </c>
      <c r="AJ187" s="387">
        <f t="shared" si="150"/>
        <v>0</v>
      </c>
      <c r="AK187" s="387">
        <f t="shared" si="151"/>
        <v>0</v>
      </c>
      <c r="AL187" s="387">
        <f t="shared" si="152"/>
        <v>0</v>
      </c>
      <c r="AM187">
        <f t="shared" si="153"/>
        <v>0</v>
      </c>
      <c r="AN187" s="387">
        <f t="shared" si="154"/>
        <v>0</v>
      </c>
      <c r="AO187" s="387">
        <f t="shared" si="155"/>
        <v>6.1820000953502285</v>
      </c>
      <c r="AP187" s="387">
        <f t="shared" si="156"/>
        <v>7.261253783992945E-2</v>
      </c>
      <c r="AQ187" s="387">
        <f t="shared" si="157"/>
        <v>0</v>
      </c>
      <c r="AR187" s="387">
        <f t="shared" si="158"/>
        <v>7.3682593866991664E-2</v>
      </c>
      <c r="AS187" s="387">
        <f t="shared" si="159"/>
        <v>7.261253783992945E-2</v>
      </c>
      <c r="AT187" s="387">
        <f t="shared" si="160"/>
        <v>0</v>
      </c>
      <c r="AU187" s="387">
        <f t="shared" si="161"/>
        <v>0.30871128959999999</v>
      </c>
      <c r="AV187" s="387">
        <f t="shared" si="162"/>
        <v>0.13700660108769136</v>
      </c>
      <c r="AW187" s="387">
        <f t="shared" si="163"/>
        <v>0</v>
      </c>
      <c r="AX187" s="387">
        <f t="shared" si="164"/>
        <v>3.6000000000000004E-2</v>
      </c>
      <c r="AY187" s="387">
        <f t="shared" si="165"/>
        <v>5.9136000000000001E-2</v>
      </c>
      <c r="AZ187" s="387">
        <f t="shared" si="166"/>
        <v>7.3471999999999996E-2</v>
      </c>
      <c r="BA187" s="387">
        <f t="shared" si="180"/>
        <v>9.5135999999999998E-2</v>
      </c>
      <c r="BB187" s="387">
        <f t="shared" si="181"/>
        <v>1.8719518731371687</v>
      </c>
      <c r="BC187">
        <f t="shared" si="167"/>
        <v>72</v>
      </c>
      <c r="BD187" s="606">
        <f t="shared" si="182"/>
        <v>0.97465950437654703</v>
      </c>
      <c r="BE187" s="616">
        <f t="shared" si="168"/>
        <v>26.715776976887479</v>
      </c>
      <c r="BF187" s="616">
        <f t="shared" si="169"/>
        <v>10.461096765639132</v>
      </c>
      <c r="BG187" s="9"/>
      <c r="BH187" s="4">
        <f t="shared" si="183"/>
        <v>97.465950437654698</v>
      </c>
      <c r="BI187" s="387">
        <f t="shared" si="184"/>
        <v>0.7881664967523565</v>
      </c>
      <c r="BJ187" s="387">
        <f t="shared" si="185"/>
        <v>0.81722006871752373</v>
      </c>
      <c r="BK187" s="387">
        <f t="shared" si="186"/>
        <v>0.31109666088078264</v>
      </c>
      <c r="BL187" s="387">
        <f t="shared" si="187"/>
        <v>0.13700660108769136</v>
      </c>
    </row>
    <row r="188" spans="7:64" x14ac:dyDescent="0.2">
      <c r="G188">
        <v>179</v>
      </c>
      <c r="H188" s="612">
        <f t="shared" si="131"/>
        <v>22.004999999999999</v>
      </c>
      <c r="I188" s="4" t="str">
        <f t="shared" si="132"/>
        <v>BUCK</v>
      </c>
      <c r="J188">
        <f t="shared" si="170"/>
        <v>1</v>
      </c>
      <c r="K188">
        <f t="shared" si="133"/>
        <v>6</v>
      </c>
      <c r="L188" s="4">
        <f t="shared" si="134"/>
        <v>3.4083162917518752</v>
      </c>
      <c r="M188" s="4">
        <f t="shared" si="135"/>
        <v>6</v>
      </c>
      <c r="N188" s="387">
        <f t="shared" si="136"/>
        <v>0.54950346891579382</v>
      </c>
      <c r="O188" s="387">
        <f t="shared" si="172"/>
        <v>0</v>
      </c>
      <c r="P188" s="4">
        <f t="shared" si="137"/>
        <v>5.1854170431085</v>
      </c>
      <c r="Q188" s="387">
        <f t="shared" si="138"/>
        <v>6.1839075423699548</v>
      </c>
      <c r="R188" s="387">
        <f t="shared" si="173"/>
        <v>0.23373460022594825</v>
      </c>
      <c r="S188" s="387">
        <f t="shared" si="174"/>
        <v>0.56138103189374222</v>
      </c>
      <c r="T188" s="387">
        <f t="shared" si="175"/>
        <v>0.7951156321196905</v>
      </c>
      <c r="U188" s="4">
        <f t="shared" si="139"/>
        <v>1.4969009628495831</v>
      </c>
      <c r="V188" s="387">
        <f t="shared" si="176"/>
        <v>1.5684987448060062E-2</v>
      </c>
      <c r="W188" s="387">
        <f t="shared" si="177"/>
        <v>1.5684987448060062E-2</v>
      </c>
      <c r="X188" s="387">
        <f t="shared" si="140"/>
        <v>3.076762207934268</v>
      </c>
      <c r="Y188" s="387">
        <f t="shared" si="178"/>
        <v>1.8932931368345104E-2</v>
      </c>
      <c r="Z188" s="605">
        <f t="shared" si="179"/>
        <v>1.8932931368345104E-2</v>
      </c>
      <c r="AA188" s="387">
        <f t="shared" si="141"/>
        <v>4.5840379763353019</v>
      </c>
      <c r="AB188" s="387">
        <f t="shared" si="142"/>
        <v>0.11977640376036024</v>
      </c>
      <c r="AC188" s="387">
        <f t="shared" si="143"/>
        <v>0.10039280849354375</v>
      </c>
      <c r="AD188">
        <f t="shared" si="144"/>
        <v>0</v>
      </c>
      <c r="AE188" s="387">
        <f t="shared" si="145"/>
        <v>0.22557287377524163</v>
      </c>
      <c r="AF188" s="387">
        <f t="shared" si="146"/>
        <v>4.1505792757271562</v>
      </c>
      <c r="AG188" s="387">
        <f t="shared" si="147"/>
        <v>9.8195657447345874E-2</v>
      </c>
      <c r="AH188" s="387">
        <f t="shared" si="148"/>
        <v>0.10752</v>
      </c>
      <c r="AI188" s="387">
        <f t="shared" si="149"/>
        <v>0.20983666734871939</v>
      </c>
      <c r="AJ188" s="387">
        <f t="shared" si="150"/>
        <v>0</v>
      </c>
      <c r="AK188" s="387">
        <f t="shared" si="151"/>
        <v>0</v>
      </c>
      <c r="AL188" s="387">
        <f t="shared" si="152"/>
        <v>0</v>
      </c>
      <c r="AM188">
        <f t="shared" si="153"/>
        <v>0</v>
      </c>
      <c r="AN188" s="387">
        <f t="shared" si="154"/>
        <v>0</v>
      </c>
      <c r="AO188" s="387">
        <f t="shared" si="155"/>
        <v>6.1839075423699548</v>
      </c>
      <c r="AP188" s="387">
        <f t="shared" si="156"/>
        <v>7.2657353735902028E-2</v>
      </c>
      <c r="AQ188" s="387">
        <f t="shared" si="157"/>
        <v>0</v>
      </c>
      <c r="AR188" s="387">
        <f t="shared" si="158"/>
        <v>7.3728740775710719E-2</v>
      </c>
      <c r="AS188" s="387">
        <f t="shared" si="159"/>
        <v>7.2657353735902028E-2</v>
      </c>
      <c r="AT188" s="387">
        <f t="shared" si="160"/>
        <v>0</v>
      </c>
      <c r="AU188" s="387">
        <f t="shared" si="161"/>
        <v>0.3100519296</v>
      </c>
      <c r="AV188" s="387">
        <f t="shared" si="162"/>
        <v>0.13781846659276614</v>
      </c>
      <c r="AW188" s="387">
        <f t="shared" si="163"/>
        <v>0</v>
      </c>
      <c r="AX188" s="387">
        <f t="shared" si="164"/>
        <v>3.6000000000000004E-2</v>
      </c>
      <c r="AY188" s="387">
        <f t="shared" si="165"/>
        <v>5.9136000000000001E-2</v>
      </c>
      <c r="AZ188" s="387">
        <f t="shared" si="166"/>
        <v>7.3471999999999996E-2</v>
      </c>
      <c r="BA188" s="387">
        <f t="shared" si="180"/>
        <v>9.5135999999999998E-2</v>
      </c>
      <c r="BB188" s="387">
        <f t="shared" si="181"/>
        <v>1.8818782290285336</v>
      </c>
      <c r="BC188">
        <f t="shared" si="167"/>
        <v>72</v>
      </c>
      <c r="BD188" s="606">
        <f t="shared" si="182"/>
        <v>0.97452855457741827</v>
      </c>
      <c r="BE188" s="616">
        <f t="shared" si="168"/>
        <v>26.781240168762082</v>
      </c>
      <c r="BF188" s="616">
        <f t="shared" si="169"/>
        <v>10.491833367435969</v>
      </c>
      <c r="BG188" s="9"/>
      <c r="BH188" s="4">
        <f t="shared" si="183"/>
        <v>97.452855457741833</v>
      </c>
      <c r="BI188" s="387">
        <f t="shared" si="184"/>
        <v>0.7951156321196905</v>
      </c>
      <c r="BJ188" s="387">
        <f t="shared" si="185"/>
        <v>0.81919021149967164</v>
      </c>
      <c r="BK188" s="387">
        <f t="shared" si="186"/>
        <v>0.31215380411671939</v>
      </c>
      <c r="BL188" s="387">
        <f t="shared" si="187"/>
        <v>0.13781846659276614</v>
      </c>
    </row>
    <row r="189" spans="7:64" x14ac:dyDescent="0.2">
      <c r="G189">
        <v>180</v>
      </c>
      <c r="H189" s="612">
        <f t="shared" si="131"/>
        <v>22.1</v>
      </c>
      <c r="I189" s="4" t="str">
        <f t="shared" si="132"/>
        <v>BUCK</v>
      </c>
      <c r="J189">
        <f t="shared" si="170"/>
        <v>1</v>
      </c>
      <c r="K189">
        <f t="shared" si="133"/>
        <v>6</v>
      </c>
      <c r="L189" s="4">
        <f t="shared" si="134"/>
        <v>3.3936651583710407</v>
      </c>
      <c r="M189" s="4">
        <f t="shared" si="135"/>
        <v>6</v>
      </c>
      <c r="N189" s="387">
        <f t="shared" si="136"/>
        <v>0.54714646920715193</v>
      </c>
      <c r="O189" s="387">
        <f t="shared" si="172"/>
        <v>0</v>
      </c>
      <c r="P189" s="4">
        <f t="shared" si="137"/>
        <v>5.2125471664645646</v>
      </c>
      <c r="Q189" s="387">
        <f t="shared" si="138"/>
        <v>6.185808004097078</v>
      </c>
      <c r="R189" s="387">
        <f t="shared" si="173"/>
        <v>0.23388097513730591</v>
      </c>
      <c r="S189" s="387">
        <f t="shared" si="174"/>
        <v>0.56817131750914196</v>
      </c>
      <c r="T189" s="387">
        <f t="shared" si="175"/>
        <v>0.80205229264644784</v>
      </c>
      <c r="U189" s="4">
        <f t="shared" si="139"/>
        <v>1.5047327548609688</v>
      </c>
      <c r="V189" s="387">
        <f t="shared" si="176"/>
        <v>1.5849544644860363E-2</v>
      </c>
      <c r="W189" s="387">
        <f t="shared" si="177"/>
        <v>1.5849544644860363E-2</v>
      </c>
      <c r="X189" s="387">
        <f t="shared" si="140"/>
        <v>3.0791235531763093</v>
      </c>
      <c r="Y189" s="387">
        <f t="shared" si="178"/>
        <v>1.8962003711450202E-2</v>
      </c>
      <c r="Z189" s="605">
        <f t="shared" si="179"/>
        <v>1.8962003711450202E-2</v>
      </c>
      <c r="AA189" s="387">
        <f t="shared" si="141"/>
        <v>4.5756019530795662</v>
      </c>
      <c r="AB189" s="387">
        <f t="shared" si="142"/>
        <v>0.11933595942824558</v>
      </c>
      <c r="AC189" s="387">
        <f t="shared" si="143"/>
        <v>0.1008262243902439</v>
      </c>
      <c r="AD189">
        <f t="shared" si="144"/>
        <v>0</v>
      </c>
      <c r="AE189" s="387">
        <f t="shared" si="145"/>
        <v>0.2255453171825961</v>
      </c>
      <c r="AF189" s="387">
        <f t="shared" si="146"/>
        <v>4.1627019387083122</v>
      </c>
      <c r="AG189" s="387">
        <f t="shared" si="147"/>
        <v>9.8770098353997859E-2</v>
      </c>
      <c r="AH189" s="387">
        <f t="shared" si="148"/>
        <v>0.10752</v>
      </c>
      <c r="AI189" s="387">
        <f t="shared" si="149"/>
        <v>0.21044727802374516</v>
      </c>
      <c r="AJ189" s="387">
        <f t="shared" si="150"/>
        <v>0</v>
      </c>
      <c r="AK189" s="387">
        <f t="shared" si="151"/>
        <v>0</v>
      </c>
      <c r="AL189" s="387">
        <f t="shared" si="152"/>
        <v>0</v>
      </c>
      <c r="AM189">
        <f t="shared" si="153"/>
        <v>0</v>
      </c>
      <c r="AN189" s="387">
        <f t="shared" si="154"/>
        <v>0</v>
      </c>
      <c r="AO189" s="387">
        <f t="shared" si="155"/>
        <v>6.185808004097078</v>
      </c>
      <c r="AP189" s="387">
        <f t="shared" si="156"/>
        <v>7.2702019260747805E-2</v>
      </c>
      <c r="AQ189" s="387">
        <f t="shared" si="157"/>
        <v>0</v>
      </c>
      <c r="AR189" s="387">
        <f t="shared" si="158"/>
        <v>7.3774733682577268E-2</v>
      </c>
      <c r="AS189" s="387">
        <f t="shared" si="159"/>
        <v>7.2702019260747805E-2</v>
      </c>
      <c r="AT189" s="387">
        <f t="shared" si="160"/>
        <v>0</v>
      </c>
      <c r="AU189" s="387">
        <f t="shared" si="161"/>
        <v>0.31139256960000006</v>
      </c>
      <c r="AV189" s="387">
        <f t="shared" si="162"/>
        <v>0.13862469944420752</v>
      </c>
      <c r="AW189" s="387">
        <f t="shared" si="163"/>
        <v>0</v>
      </c>
      <c r="AX189" s="387">
        <f t="shared" si="164"/>
        <v>3.6000000000000004E-2</v>
      </c>
      <c r="AY189" s="387">
        <f t="shared" si="165"/>
        <v>5.9136000000000001E-2</v>
      </c>
      <c r="AZ189" s="387">
        <f t="shared" si="166"/>
        <v>7.3471999999999996E-2</v>
      </c>
      <c r="BA189" s="387">
        <f t="shared" si="180"/>
        <v>9.5135999999999998E-2</v>
      </c>
      <c r="BB189" s="387">
        <f t="shared" si="181"/>
        <v>1.8917844389358849</v>
      </c>
      <c r="BC189">
        <f t="shared" si="167"/>
        <v>72</v>
      </c>
      <c r="BD189" s="606">
        <f t="shared" si="182"/>
        <v>0.97439790562238682</v>
      </c>
      <c r="BE189" s="616">
        <f t="shared" si="168"/>
        <v>26.846894339129808</v>
      </c>
      <c r="BF189" s="616">
        <f t="shared" si="169"/>
        <v>10.522363901187259</v>
      </c>
      <c r="BG189" s="9"/>
      <c r="BH189" s="4">
        <f t="shared" si="183"/>
        <v>97.439790562238684</v>
      </c>
      <c r="BI189" s="387">
        <f t="shared" si="184"/>
        <v>0.80205229264644784</v>
      </c>
      <c r="BJ189" s="387">
        <f t="shared" si="185"/>
        <v>0.82115989848891857</v>
      </c>
      <c r="BK189" s="387">
        <f t="shared" si="186"/>
        <v>0.31320682599174521</v>
      </c>
      <c r="BL189" s="387">
        <f t="shared" si="187"/>
        <v>0.13862469944420752</v>
      </c>
    </row>
    <row r="190" spans="7:64" x14ac:dyDescent="0.2">
      <c r="G190">
        <v>181</v>
      </c>
      <c r="H190" s="612">
        <f t="shared" si="131"/>
        <v>22.195</v>
      </c>
      <c r="I190" s="4" t="str">
        <f t="shared" si="132"/>
        <v>BUCK</v>
      </c>
      <c r="J190">
        <f t="shared" si="170"/>
        <v>1</v>
      </c>
      <c r="K190">
        <f t="shared" si="133"/>
        <v>6</v>
      </c>
      <c r="L190" s="4">
        <f t="shared" si="134"/>
        <v>3.379139445821131</v>
      </c>
      <c r="M190" s="4">
        <f t="shared" si="135"/>
        <v>6</v>
      </c>
      <c r="N190" s="387">
        <f t="shared" si="136"/>
        <v>0.5448096030211752</v>
      </c>
      <c r="O190" s="387">
        <f t="shared" si="172"/>
        <v>0</v>
      </c>
      <c r="P190" s="4">
        <f t="shared" si="137"/>
        <v>5.2394455439483236</v>
      </c>
      <c r="Q190" s="387">
        <f t="shared" si="138"/>
        <v>6.1877014418926191</v>
      </c>
      <c r="R190" s="387">
        <f t="shared" si="173"/>
        <v>0.2340268571371194</v>
      </c>
      <c r="S190" s="387">
        <f t="shared" si="174"/>
        <v>0.57494925203780145</v>
      </c>
      <c r="T190" s="387">
        <f t="shared" si="175"/>
        <v>0.8089761091749208</v>
      </c>
      <c r="U190" s="4">
        <f t="shared" si="139"/>
        <v>1.5124976476014751</v>
      </c>
      <c r="V190" s="387">
        <f t="shared" si="176"/>
        <v>1.6013543937999971E-2</v>
      </c>
      <c r="W190" s="387">
        <f t="shared" si="177"/>
        <v>1.6013543937999971E-2</v>
      </c>
      <c r="X190" s="387">
        <f t="shared" si="140"/>
        <v>3.0814013845623296</v>
      </c>
      <c r="Y190" s="387">
        <f t="shared" si="178"/>
        <v>1.8990068985565284E-2</v>
      </c>
      <c r="Z190" s="605">
        <f t="shared" si="179"/>
        <v>1.8990068985565284E-2</v>
      </c>
      <c r="AA190" s="387">
        <f t="shared" si="141"/>
        <v>4.5672178539356523</v>
      </c>
      <c r="AB190" s="387">
        <f t="shared" si="142"/>
        <v>0.11889902987425895</v>
      </c>
      <c r="AC190" s="387">
        <f t="shared" si="143"/>
        <v>0.10125964028694404</v>
      </c>
      <c r="AD190">
        <f t="shared" si="144"/>
        <v>0</v>
      </c>
      <c r="AE190" s="387">
        <f t="shared" si="145"/>
        <v>0.22552152834848194</v>
      </c>
      <c r="AF190" s="387">
        <f t="shared" si="146"/>
        <v>4.1747060026655065</v>
      </c>
      <c r="AG190" s="387">
        <f t="shared" si="147"/>
        <v>9.9340570189541053E-2</v>
      </c>
      <c r="AH190" s="387">
        <f t="shared" si="148"/>
        <v>0.10752</v>
      </c>
      <c r="AI190" s="387">
        <f t="shared" si="149"/>
        <v>0.21105381138221815</v>
      </c>
      <c r="AJ190" s="387">
        <f t="shared" si="150"/>
        <v>0</v>
      </c>
      <c r="AK190" s="387">
        <f t="shared" si="151"/>
        <v>0</v>
      </c>
      <c r="AL190" s="387">
        <f t="shared" si="152"/>
        <v>0</v>
      </c>
      <c r="AM190">
        <f t="shared" si="153"/>
        <v>0</v>
      </c>
      <c r="AN190" s="387">
        <f t="shared" si="154"/>
        <v>0</v>
      </c>
      <c r="AO190" s="387">
        <f t="shared" si="155"/>
        <v>6.1877014418926191</v>
      </c>
      <c r="AP190" s="387">
        <f t="shared" si="156"/>
        <v>7.2746533354600004E-2</v>
      </c>
      <c r="AQ190" s="387">
        <f t="shared" si="157"/>
        <v>0</v>
      </c>
      <c r="AR190" s="387">
        <f t="shared" si="158"/>
        <v>7.3820571487798567E-2</v>
      </c>
      <c r="AS190" s="387">
        <f t="shared" si="159"/>
        <v>7.2746533354600004E-2</v>
      </c>
      <c r="AT190" s="387">
        <f t="shared" si="160"/>
        <v>0</v>
      </c>
      <c r="AU190" s="387">
        <f t="shared" si="161"/>
        <v>0.31273320960000001</v>
      </c>
      <c r="AV190" s="387">
        <f t="shared" si="162"/>
        <v>0.13942536166953129</v>
      </c>
      <c r="AW190" s="387">
        <f t="shared" si="163"/>
        <v>0</v>
      </c>
      <c r="AX190" s="387">
        <f t="shared" si="164"/>
        <v>3.6000000000000004E-2</v>
      </c>
      <c r="AY190" s="387">
        <f t="shared" si="165"/>
        <v>5.9136000000000001E-2</v>
      </c>
      <c r="AZ190" s="387">
        <f t="shared" si="166"/>
        <v>7.3471999999999996E-2</v>
      </c>
      <c r="BA190" s="387">
        <f t="shared" si="180"/>
        <v>9.5135999999999998E-2</v>
      </c>
      <c r="BB190" s="387">
        <f t="shared" si="181"/>
        <v>1.9016702045865159</v>
      </c>
      <c r="BC190">
        <f t="shared" si="167"/>
        <v>72</v>
      </c>
      <c r="BD190" s="606">
        <f t="shared" si="182"/>
        <v>0.97426756121584268</v>
      </c>
      <c r="BE190" s="616">
        <f t="shared" si="168"/>
        <v>26.912736897424093</v>
      </c>
      <c r="BF190" s="616">
        <f t="shared" si="169"/>
        <v>10.552690569110908</v>
      </c>
      <c r="BG190" s="9"/>
      <c r="BH190" s="4">
        <f t="shared" si="183"/>
        <v>97.426756121584262</v>
      </c>
      <c r="BI190" s="387">
        <f t="shared" si="184"/>
        <v>0.8089761091749208</v>
      </c>
      <c r="BJ190" s="387">
        <f t="shared" si="185"/>
        <v>0.82312912081849854</v>
      </c>
      <c r="BK190" s="387">
        <f t="shared" si="186"/>
        <v>0.31425577055021814</v>
      </c>
      <c r="BL190" s="387">
        <f t="shared" si="187"/>
        <v>0.13942536166953129</v>
      </c>
    </row>
    <row r="191" spans="7:64" x14ac:dyDescent="0.2">
      <c r="G191">
        <v>182</v>
      </c>
      <c r="H191" s="612">
        <f t="shared" si="131"/>
        <v>22.29</v>
      </c>
      <c r="I191" s="4" t="str">
        <f t="shared" si="132"/>
        <v>BUCK</v>
      </c>
      <c r="J191">
        <f t="shared" si="170"/>
        <v>1</v>
      </c>
      <c r="K191">
        <f t="shared" si="133"/>
        <v>6</v>
      </c>
      <c r="L191" s="4">
        <f t="shared" si="134"/>
        <v>3.3647375504710633</v>
      </c>
      <c r="M191" s="4">
        <f t="shared" si="135"/>
        <v>6</v>
      </c>
      <c r="N191" s="387">
        <f t="shared" si="136"/>
        <v>0.54249261348374977</v>
      </c>
      <c r="O191" s="387">
        <f t="shared" si="172"/>
        <v>0</v>
      </c>
      <c r="P191" s="4">
        <f t="shared" si="137"/>
        <v>5.2661151322959974</v>
      </c>
      <c r="Q191" s="387">
        <f t="shared" si="138"/>
        <v>6.18958782005849</v>
      </c>
      <c r="R191" s="387">
        <f t="shared" si="173"/>
        <v>0.2341722429427549</v>
      </c>
      <c r="S191" s="387">
        <f t="shared" si="174"/>
        <v>0.5817144833700062</v>
      </c>
      <c r="T191" s="387">
        <f t="shared" si="175"/>
        <v>0.81588672631276116</v>
      </c>
      <c r="U191" s="4">
        <f t="shared" si="139"/>
        <v>1.5201964946073281</v>
      </c>
      <c r="V191" s="387">
        <f t="shared" si="176"/>
        <v>1.6176981675514859E-2</v>
      </c>
      <c r="W191" s="387">
        <f t="shared" si="177"/>
        <v>1.6176981675514859E-2</v>
      </c>
      <c r="X191" s="387">
        <f t="shared" si="140"/>
        <v>3.0835975999067395</v>
      </c>
      <c r="Y191" s="387">
        <f t="shared" si="178"/>
        <v>1.9017148316301209E-2</v>
      </c>
      <c r="Z191" s="605">
        <f t="shared" si="179"/>
        <v>1.9017148316301209E-2</v>
      </c>
      <c r="AA191" s="387">
        <f t="shared" si="141"/>
        <v>4.5588850714892644</v>
      </c>
      <c r="AB191" s="387">
        <f t="shared" si="142"/>
        <v>0.11846556864177174</v>
      </c>
      <c r="AC191" s="387">
        <f t="shared" si="143"/>
        <v>0.10169305618364419</v>
      </c>
      <c r="AD191">
        <f t="shared" si="144"/>
        <v>0</v>
      </c>
      <c r="AE191" s="387">
        <f t="shared" si="145"/>
        <v>0.22550145647969899</v>
      </c>
      <c r="AF191" s="387">
        <f t="shared" si="146"/>
        <v>4.1865933988349919</v>
      </c>
      <c r="AG191" s="387">
        <f t="shared" si="147"/>
        <v>9.9907116436861759E-2</v>
      </c>
      <c r="AH191" s="387">
        <f t="shared" si="148"/>
        <v>0.10752</v>
      </c>
      <c r="AI191" s="387">
        <f t="shared" si="149"/>
        <v>0.21165631077387825</v>
      </c>
      <c r="AJ191" s="387">
        <f t="shared" si="150"/>
        <v>0</v>
      </c>
      <c r="AK191" s="387">
        <f t="shared" si="151"/>
        <v>0</v>
      </c>
      <c r="AL191" s="387">
        <f t="shared" si="152"/>
        <v>0</v>
      </c>
      <c r="AM191">
        <f t="shared" si="153"/>
        <v>0</v>
      </c>
      <c r="AN191" s="387">
        <f t="shared" si="154"/>
        <v>0</v>
      </c>
      <c r="AO191" s="387">
        <f t="shared" si="155"/>
        <v>6.18958782005849</v>
      </c>
      <c r="AP191" s="387">
        <f t="shared" si="156"/>
        <v>7.2790895026211166E-2</v>
      </c>
      <c r="AQ191" s="387">
        <f t="shared" si="157"/>
        <v>0</v>
      </c>
      <c r="AR191" s="387">
        <f t="shared" si="158"/>
        <v>7.3866253162192919E-2</v>
      </c>
      <c r="AS191" s="387">
        <f t="shared" si="159"/>
        <v>7.2790895026211166E-2</v>
      </c>
      <c r="AT191" s="387">
        <f t="shared" si="160"/>
        <v>0</v>
      </c>
      <c r="AU191" s="387">
        <f t="shared" si="161"/>
        <v>0.31407384960000001</v>
      </c>
      <c r="AV191" s="387">
        <f t="shared" si="162"/>
        <v>0.14022051429734983</v>
      </c>
      <c r="AW191" s="387">
        <f t="shared" si="163"/>
        <v>0</v>
      </c>
      <c r="AX191" s="387">
        <f t="shared" si="164"/>
        <v>3.6000000000000004E-2</v>
      </c>
      <c r="AY191" s="387">
        <f t="shared" si="165"/>
        <v>5.9136000000000001E-2</v>
      </c>
      <c r="AZ191" s="387">
        <f t="shared" si="166"/>
        <v>7.3471999999999996E-2</v>
      </c>
      <c r="BA191" s="387">
        <f t="shared" si="180"/>
        <v>9.5135999999999998E-2</v>
      </c>
      <c r="BB191" s="387">
        <f t="shared" si="181"/>
        <v>1.9115352406176971</v>
      </c>
      <c r="BC191">
        <f t="shared" si="167"/>
        <v>72</v>
      </c>
      <c r="BD191" s="606">
        <f t="shared" si="182"/>
        <v>0.97413752488843963</v>
      </c>
      <c r="BE191" s="616">
        <f t="shared" si="168"/>
        <v>26.978765303984954</v>
      </c>
      <c r="BF191" s="616">
        <f t="shared" si="169"/>
        <v>10.582815538693913</v>
      </c>
      <c r="BG191" s="9"/>
      <c r="BH191" s="4">
        <f t="shared" si="183"/>
        <v>97.413752488843969</v>
      </c>
      <c r="BI191" s="387">
        <f t="shared" si="184"/>
        <v>0.81588672631276116</v>
      </c>
      <c r="BJ191" s="387">
        <f t="shared" si="185"/>
        <v>0.82509787001577006</v>
      </c>
      <c r="BK191" s="387">
        <f t="shared" si="186"/>
        <v>0.31530068114187826</v>
      </c>
      <c r="BL191" s="387">
        <f t="shared" si="187"/>
        <v>0.14022051429734983</v>
      </c>
    </row>
    <row r="192" spans="7:64" x14ac:dyDescent="0.2">
      <c r="G192">
        <v>183</v>
      </c>
      <c r="H192" s="612">
        <f t="shared" si="131"/>
        <v>22.385000000000002</v>
      </c>
      <c r="I192" s="4" t="str">
        <f t="shared" si="132"/>
        <v>BUCK</v>
      </c>
      <c r="J192">
        <f t="shared" si="170"/>
        <v>1</v>
      </c>
      <c r="K192">
        <f t="shared" si="133"/>
        <v>6</v>
      </c>
      <c r="L192" s="4">
        <f t="shared" si="134"/>
        <v>3.3504578959124416</v>
      </c>
      <c r="M192" s="4">
        <f t="shared" si="135"/>
        <v>6</v>
      </c>
      <c r="N192" s="387">
        <f t="shared" si="136"/>
        <v>0.54019524807203678</v>
      </c>
      <c r="O192" s="387">
        <f t="shared" si="172"/>
        <v>0</v>
      </c>
      <c r="P192" s="4">
        <f t="shared" si="137"/>
        <v>5.2925588381586683</v>
      </c>
      <c r="Q192" s="387">
        <f t="shared" si="138"/>
        <v>6.1914671057255042</v>
      </c>
      <c r="R192" s="387">
        <f t="shared" si="173"/>
        <v>0.23431712948803213</v>
      </c>
      <c r="S192" s="387">
        <f t="shared" si="174"/>
        <v>0.58846667253406371</v>
      </c>
      <c r="T192" s="387">
        <f t="shared" si="175"/>
        <v>0.82278380202209589</v>
      </c>
      <c r="U192" s="4">
        <f t="shared" si="139"/>
        <v>1.5278301349564201</v>
      </c>
      <c r="V192" s="387">
        <f t="shared" si="176"/>
        <v>1.6339854448966667E-2</v>
      </c>
      <c r="W192" s="387">
        <f t="shared" si="177"/>
        <v>1.6339854448966667E-2</v>
      </c>
      <c r="X192" s="387">
        <f t="shared" si="140"/>
        <v>3.0857140453660206</v>
      </c>
      <c r="Y192" s="387">
        <f t="shared" si="178"/>
        <v>1.9043262339538264E-2</v>
      </c>
      <c r="Z192" s="605">
        <f t="shared" si="179"/>
        <v>1.9043262339538264E-2</v>
      </c>
      <c r="AA192" s="387">
        <f t="shared" si="141"/>
        <v>4.5506030093615664</v>
      </c>
      <c r="AB192" s="387">
        <f t="shared" si="142"/>
        <v>0.11803553016822012</v>
      </c>
      <c r="AC192" s="387">
        <f t="shared" si="143"/>
        <v>0.10212647208034431</v>
      </c>
      <c r="AD192">
        <f t="shared" si="144"/>
        <v>0</v>
      </c>
      <c r="AE192" s="387">
        <f t="shared" si="145"/>
        <v>0.22548505177481418</v>
      </c>
      <c r="AF192" s="387">
        <f t="shared" si="146"/>
        <v>4.1983660122088464</v>
      </c>
      <c r="AG192" s="387">
        <f t="shared" si="147"/>
        <v>0.10046977988308135</v>
      </c>
      <c r="AH192" s="387">
        <f t="shared" si="148"/>
        <v>0.10752</v>
      </c>
      <c r="AI192" s="387">
        <f t="shared" si="149"/>
        <v>0.21225481886926503</v>
      </c>
      <c r="AJ192" s="387">
        <f t="shared" si="150"/>
        <v>0</v>
      </c>
      <c r="AK192" s="387">
        <f t="shared" si="151"/>
        <v>0</v>
      </c>
      <c r="AL192" s="387">
        <f t="shared" si="152"/>
        <v>0</v>
      </c>
      <c r="AM192">
        <f t="shared" si="153"/>
        <v>0</v>
      </c>
      <c r="AN192" s="387">
        <f t="shared" si="154"/>
        <v>0</v>
      </c>
      <c r="AO192" s="387">
        <f t="shared" si="155"/>
        <v>6.1914671057255042</v>
      </c>
      <c r="AP192" s="387">
        <f t="shared" si="156"/>
        <v>7.2835103350433819E-2</v>
      </c>
      <c r="AQ192" s="387">
        <f t="shared" si="157"/>
        <v>0</v>
      </c>
      <c r="AR192" s="387">
        <f t="shared" si="158"/>
        <v>7.3911777744602294E-2</v>
      </c>
      <c r="AS192" s="387">
        <f t="shared" si="159"/>
        <v>7.2835103350433819E-2</v>
      </c>
      <c r="AT192" s="387">
        <f t="shared" si="160"/>
        <v>0</v>
      </c>
      <c r="AU192" s="387">
        <f t="shared" si="161"/>
        <v>0.31541448960000001</v>
      </c>
      <c r="AV192" s="387">
        <f t="shared" si="162"/>
        <v>0.1410102173797633</v>
      </c>
      <c r="AW192" s="387">
        <f t="shared" si="163"/>
        <v>0</v>
      </c>
      <c r="AX192" s="387">
        <f t="shared" si="164"/>
        <v>3.6000000000000004E-2</v>
      </c>
      <c r="AY192" s="387">
        <f t="shared" si="165"/>
        <v>5.9136000000000001E-2</v>
      </c>
      <c r="AZ192" s="387">
        <f t="shared" si="166"/>
        <v>7.3471999999999996E-2</v>
      </c>
      <c r="BA192" s="387">
        <f t="shared" si="180"/>
        <v>9.5135999999999998E-2</v>
      </c>
      <c r="BB192" s="387">
        <f t="shared" si="181"/>
        <v>1.9213792741790459</v>
      </c>
      <c r="BC192">
        <f t="shared" si="167"/>
        <v>72</v>
      </c>
      <c r="BD192" s="606">
        <f t="shared" si="182"/>
        <v>0.97400780000258746</v>
      </c>
      <c r="BE192" s="616">
        <f t="shared" si="168"/>
        <v>27.04497706874071</v>
      </c>
      <c r="BF192" s="616">
        <f t="shared" si="169"/>
        <v>10.612740943463251</v>
      </c>
      <c r="BG192" s="9"/>
      <c r="BH192" s="4">
        <f t="shared" si="183"/>
        <v>97.400780000258749</v>
      </c>
      <c r="BI192" s="387">
        <f t="shared" si="184"/>
        <v>0.82278380202209589</v>
      </c>
      <c r="BJ192" s="387">
        <f t="shared" si="185"/>
        <v>0.82706613798868145</v>
      </c>
      <c r="BK192" s="387">
        <f t="shared" si="186"/>
        <v>0.31634160043726506</v>
      </c>
      <c r="BL192" s="387">
        <f t="shared" si="187"/>
        <v>0.1410102173797633</v>
      </c>
    </row>
    <row r="193" spans="7:64" x14ac:dyDescent="0.2">
      <c r="G193">
        <v>184</v>
      </c>
      <c r="H193" s="612">
        <f t="shared" si="131"/>
        <v>22.48</v>
      </c>
      <c r="I193" s="4" t="str">
        <f t="shared" si="132"/>
        <v>BUCK</v>
      </c>
      <c r="J193">
        <f t="shared" si="170"/>
        <v>1</v>
      </c>
      <c r="K193">
        <f t="shared" si="133"/>
        <v>6</v>
      </c>
      <c r="L193" s="4">
        <f t="shared" si="134"/>
        <v>3.3362989323843415</v>
      </c>
      <c r="M193" s="4">
        <f t="shared" si="135"/>
        <v>6</v>
      </c>
      <c r="N193" s="387">
        <f t="shared" si="136"/>
        <v>0.53791725852272732</v>
      </c>
      <c r="O193" s="387">
        <f t="shared" si="172"/>
        <v>0</v>
      </c>
      <c r="P193" s="4">
        <f t="shared" si="137"/>
        <v>5.3187795191583271</v>
      </c>
      <c r="Q193" s="387">
        <f t="shared" si="138"/>
        <v>6.1933392687454836</v>
      </c>
      <c r="R193" s="387">
        <f t="shared" si="173"/>
        <v>0.23446151391529016</v>
      </c>
      <c r="S193" s="387">
        <f t="shared" si="174"/>
        <v>0.59520549330552264</v>
      </c>
      <c r="T193" s="387">
        <f t="shared" si="175"/>
        <v>0.82966700722081277</v>
      </c>
      <c r="U193" s="4">
        <f t="shared" si="139"/>
        <v>1.5353993935731642</v>
      </c>
      <c r="V193" s="387">
        <f t="shared" si="176"/>
        <v>1.6502159084493883E-2</v>
      </c>
      <c r="W193" s="387">
        <f t="shared" si="177"/>
        <v>1.6502159084493883E-2</v>
      </c>
      <c r="X193" s="387">
        <f t="shared" si="140"/>
        <v>3.087752517177714</v>
      </c>
      <c r="Y193" s="387">
        <f t="shared" si="178"/>
        <v>1.9068431214674619E-2</v>
      </c>
      <c r="Z193" s="605">
        <f t="shared" si="179"/>
        <v>1.9068431214674619E-2</v>
      </c>
      <c r="AA193" s="387">
        <f t="shared" si="141"/>
        <v>4.5423710819376533</v>
      </c>
      <c r="AB193" s="387">
        <f t="shared" si="142"/>
        <v>0.11760886976233366</v>
      </c>
      <c r="AC193" s="387">
        <f t="shared" si="143"/>
        <v>0.10255988797704446</v>
      </c>
      <c r="AD193">
        <f t="shared" si="144"/>
        <v>0</v>
      </c>
      <c r="AE193" s="387">
        <f t="shared" si="145"/>
        <v>0.22547226539863538</v>
      </c>
      <c r="AF193" s="387">
        <f t="shared" si="146"/>
        <v>4.2100256830287135</v>
      </c>
      <c r="AG193" s="387">
        <f t="shared" si="147"/>
        <v>0.1010286026350399</v>
      </c>
      <c r="AH193" s="387">
        <f t="shared" si="148"/>
        <v>0.10752</v>
      </c>
      <c r="AI193" s="387">
        <f t="shared" si="149"/>
        <v>0.21284937767468209</v>
      </c>
      <c r="AJ193" s="387">
        <f t="shared" si="150"/>
        <v>0</v>
      </c>
      <c r="AK193" s="387">
        <f t="shared" si="151"/>
        <v>0</v>
      </c>
      <c r="AL193" s="387">
        <f t="shared" si="152"/>
        <v>0</v>
      </c>
      <c r="AM193">
        <f t="shared" si="153"/>
        <v>0</v>
      </c>
      <c r="AN193" s="387">
        <f t="shared" si="154"/>
        <v>0</v>
      </c>
      <c r="AO193" s="387">
        <f t="shared" si="155"/>
        <v>6.1933392687454836</v>
      </c>
      <c r="AP193" s="387">
        <f t="shared" si="156"/>
        <v>7.2879157465791197E-2</v>
      </c>
      <c r="AQ193" s="387">
        <f t="shared" si="157"/>
        <v>0</v>
      </c>
      <c r="AR193" s="387">
        <f t="shared" si="158"/>
        <v>7.3957144339397429E-2</v>
      </c>
      <c r="AS193" s="387">
        <f t="shared" si="159"/>
        <v>7.2879157465791197E-2</v>
      </c>
      <c r="AT193" s="387">
        <f t="shared" si="160"/>
        <v>0</v>
      </c>
      <c r="AU193" s="387">
        <f t="shared" si="161"/>
        <v>0.31675512960000002</v>
      </c>
      <c r="AV193" s="387">
        <f t="shared" si="162"/>
        <v>0.14179453001409109</v>
      </c>
      <c r="AW193" s="387">
        <f t="shared" si="163"/>
        <v>0</v>
      </c>
      <c r="AX193" s="387">
        <f t="shared" si="164"/>
        <v>3.6000000000000004E-2</v>
      </c>
      <c r="AY193" s="387">
        <f t="shared" si="165"/>
        <v>5.9136000000000001E-2</v>
      </c>
      <c r="AZ193" s="387">
        <f t="shared" si="166"/>
        <v>7.3471999999999996E-2</v>
      </c>
      <c r="BA193" s="387">
        <f t="shared" si="180"/>
        <v>9.5135999999999998E-2</v>
      </c>
      <c r="BB193" s="387">
        <f t="shared" si="181"/>
        <v>1.9312020445467872</v>
      </c>
      <c r="BC193">
        <f t="shared" si="167"/>
        <v>72</v>
      </c>
      <c r="BD193" s="606">
        <f t="shared" si="182"/>
        <v>0.97387838975777563</v>
      </c>
      <c r="BE193" s="616">
        <f t="shared" si="168"/>
        <v>27.111369749931768</v>
      </c>
      <c r="BF193" s="616">
        <f t="shared" si="169"/>
        <v>10.642468883734105</v>
      </c>
      <c r="BG193" s="9"/>
      <c r="BH193" s="4">
        <f t="shared" si="183"/>
        <v>97.387838975777569</v>
      </c>
      <c r="BI193" s="387">
        <f t="shared" si="184"/>
        <v>0.82966700722081277</v>
      </c>
      <c r="BJ193" s="387">
        <f t="shared" si="185"/>
        <v>0.82903391701271478</v>
      </c>
      <c r="BK193" s="387">
        <f t="shared" si="186"/>
        <v>0.31737857044268214</v>
      </c>
      <c r="BL193" s="387">
        <f t="shared" si="187"/>
        <v>0.14179453001409109</v>
      </c>
    </row>
    <row r="194" spans="7:64" x14ac:dyDescent="0.2">
      <c r="G194">
        <v>185</v>
      </c>
      <c r="H194" s="612">
        <f t="shared" si="131"/>
        <v>22.574999999999999</v>
      </c>
      <c r="I194" s="4" t="str">
        <f t="shared" si="132"/>
        <v>BUCK</v>
      </c>
      <c r="J194">
        <f t="shared" si="170"/>
        <v>1</v>
      </c>
      <c r="K194">
        <f t="shared" si="133"/>
        <v>6</v>
      </c>
      <c r="L194" s="4">
        <f t="shared" si="134"/>
        <v>3.322259136212625</v>
      </c>
      <c r="M194" s="4">
        <f t="shared" si="135"/>
        <v>6</v>
      </c>
      <c r="N194" s="387">
        <f t="shared" si="136"/>
        <v>0.53565840074260718</v>
      </c>
      <c r="O194" s="387">
        <f t="shared" si="172"/>
        <v>0</v>
      </c>
      <c r="P194" s="4">
        <f t="shared" si="137"/>
        <v>5.3447799849173059</v>
      </c>
      <c r="Q194" s="387">
        <f t="shared" si="138"/>
        <v>6.1952042815873085</v>
      </c>
      <c r="R194" s="387">
        <f t="shared" si="173"/>
        <v>0.23460539356773835</v>
      </c>
      <c r="S194" s="387">
        <f t="shared" si="174"/>
        <v>0.60193063182792406</v>
      </c>
      <c r="T194" s="387">
        <f t="shared" si="175"/>
        <v>0.83653602539566241</v>
      </c>
      <c r="U194" s="4">
        <f t="shared" si="139"/>
        <v>1.5429050815256653</v>
      </c>
      <c r="V194" s="387">
        <f t="shared" si="176"/>
        <v>1.6663892634184038E-2</v>
      </c>
      <c r="W194" s="387">
        <f t="shared" si="177"/>
        <v>1.6663892634184038E-2</v>
      </c>
      <c r="X194" s="387">
        <f t="shared" si="140"/>
        <v>3.089714763328153</v>
      </c>
      <c r="Y194" s="387">
        <f t="shared" si="178"/>
        <v>1.9092674637455891E-2</v>
      </c>
      <c r="Z194" s="605">
        <f t="shared" si="179"/>
        <v>1.9092674637455891E-2</v>
      </c>
      <c r="AA194" s="387">
        <f t="shared" si="141"/>
        <v>4.5341887141032746</v>
      </c>
      <c r="AB194" s="387">
        <f t="shared" si="142"/>
        <v>0.1171855435820786</v>
      </c>
      <c r="AC194" s="387">
        <f t="shared" si="143"/>
        <v>0.10299330387374458</v>
      </c>
      <c r="AD194">
        <f t="shared" si="144"/>
        <v>0</v>
      </c>
      <c r="AE194" s="387">
        <f t="shared" si="145"/>
        <v>0.22546304945749304</v>
      </c>
      <c r="AF194" s="387">
        <f t="shared" si="146"/>
        <v>4.2215742082185663</v>
      </c>
      <c r="AG194" s="387">
        <f t="shared" si="147"/>
        <v>0.10158362613432843</v>
      </c>
      <c r="AH194" s="387">
        <f t="shared" si="148"/>
        <v>0.10752</v>
      </c>
      <c r="AI194" s="387">
        <f t="shared" si="149"/>
        <v>0.21344002854672664</v>
      </c>
      <c r="AJ194" s="387">
        <f t="shared" si="150"/>
        <v>0</v>
      </c>
      <c r="AK194" s="387">
        <f t="shared" si="151"/>
        <v>0</v>
      </c>
      <c r="AL194" s="387">
        <f t="shared" si="152"/>
        <v>0</v>
      </c>
      <c r="AM194">
        <f t="shared" si="153"/>
        <v>0</v>
      </c>
      <c r="AN194" s="387">
        <f t="shared" si="154"/>
        <v>0</v>
      </c>
      <c r="AO194" s="387">
        <f t="shared" si="155"/>
        <v>6.1952042815873085</v>
      </c>
      <c r="AP194" s="387">
        <f t="shared" si="156"/>
        <v>7.2923056572135672E-2</v>
      </c>
      <c r="AQ194" s="387">
        <f t="shared" si="157"/>
        <v>0</v>
      </c>
      <c r="AR194" s="387">
        <f t="shared" si="158"/>
        <v>7.40023521140728E-2</v>
      </c>
      <c r="AS194" s="387">
        <f t="shared" si="159"/>
        <v>7.2923056572135672E-2</v>
      </c>
      <c r="AT194" s="387">
        <f t="shared" si="160"/>
        <v>0</v>
      </c>
      <c r="AU194" s="387">
        <f t="shared" si="161"/>
        <v>0.31809576960000002</v>
      </c>
      <c r="AV194" s="387">
        <f t="shared" si="162"/>
        <v>0.14257351036396973</v>
      </c>
      <c r="AW194" s="387">
        <f t="shared" si="163"/>
        <v>0</v>
      </c>
      <c r="AX194" s="387">
        <f t="shared" si="164"/>
        <v>3.6000000000000004E-2</v>
      </c>
      <c r="AY194" s="387">
        <f t="shared" si="165"/>
        <v>5.9136000000000001E-2</v>
      </c>
      <c r="AZ194" s="387">
        <f t="shared" si="166"/>
        <v>7.3471999999999996E-2</v>
      </c>
      <c r="BA194" s="387">
        <f t="shared" si="180"/>
        <v>9.5135999999999998E-2</v>
      </c>
      <c r="BB194" s="387">
        <f t="shared" si="181"/>
        <v>1.9410033027495643</v>
      </c>
      <c r="BC194">
        <f t="shared" si="167"/>
        <v>72</v>
      </c>
      <c r="BD194" s="606">
        <f t="shared" si="182"/>
        <v>0.97374929719573622</v>
      </c>
      <c r="BE194" s="616">
        <f t="shared" si="168"/>
        <v>27.177940952874653</v>
      </c>
      <c r="BF194" s="616">
        <f t="shared" si="169"/>
        <v>10.672001427336332</v>
      </c>
      <c r="BG194" s="9"/>
      <c r="BH194" s="4">
        <f t="shared" si="183"/>
        <v>97.374929719573629</v>
      </c>
      <c r="BI194" s="387">
        <f t="shared" si="184"/>
        <v>0.83653602539566241</v>
      </c>
      <c r="BJ194" s="387">
        <f t="shared" si="185"/>
        <v>0.83100119971829245</v>
      </c>
      <c r="BK194" s="387">
        <f t="shared" si="186"/>
        <v>0.31841163251472665</v>
      </c>
      <c r="BL194" s="387">
        <f t="shared" si="187"/>
        <v>0.14257351036396973</v>
      </c>
    </row>
    <row r="195" spans="7:64" x14ac:dyDescent="0.2">
      <c r="G195">
        <v>186</v>
      </c>
      <c r="H195" s="612">
        <f t="shared" si="131"/>
        <v>22.67</v>
      </c>
      <c r="I195" s="4" t="str">
        <f t="shared" si="132"/>
        <v>BUCK</v>
      </c>
      <c r="J195">
        <f t="shared" si="170"/>
        <v>1</v>
      </c>
      <c r="K195">
        <f t="shared" si="133"/>
        <v>6</v>
      </c>
      <c r="L195" s="4">
        <f t="shared" si="134"/>
        <v>3.3083370092633433</v>
      </c>
      <c r="M195" s="4">
        <f t="shared" si="135"/>
        <v>6</v>
      </c>
      <c r="N195" s="387">
        <f t="shared" si="136"/>
        <v>0.5334184347213663</v>
      </c>
      <c r="O195" s="387">
        <f t="shared" si="172"/>
        <v>0</v>
      </c>
      <c r="P195" s="4">
        <f t="shared" si="137"/>
        <v>5.3705629980618728</v>
      </c>
      <c r="Q195" s="387">
        <f t="shared" si="138"/>
        <v>6.1970621192367661</v>
      </c>
      <c r="R195" s="387">
        <f t="shared" si="173"/>
        <v>0.23474876598208011</v>
      </c>
      <c r="S195" s="387">
        <f t="shared" si="174"/>
        <v>0.60864178624473497</v>
      </c>
      <c r="T195" s="387">
        <f t="shared" si="175"/>
        <v>0.84339055222681503</v>
      </c>
      <c r="U195" s="4">
        <f t="shared" si="139"/>
        <v>1.550347996315433</v>
      </c>
      <c r="V195" s="387">
        <f t="shared" si="176"/>
        <v>1.6825052367754945E-2</v>
      </c>
      <c r="W195" s="387">
        <f t="shared" si="177"/>
        <v>1.6825052367754945E-2</v>
      </c>
      <c r="X195" s="387">
        <f t="shared" si="140"/>
        <v>3.0916024851524209</v>
      </c>
      <c r="Y195" s="387">
        <f t="shared" si="178"/>
        <v>1.9116011852401249E-2</v>
      </c>
      <c r="Z195" s="605">
        <f t="shared" si="179"/>
        <v>1.9116011852401249E-2</v>
      </c>
      <c r="AA195" s="387">
        <f t="shared" si="141"/>
        <v>4.5260553409895019</v>
      </c>
      <c r="AB195" s="387">
        <f t="shared" si="142"/>
        <v>0.1167655086132877</v>
      </c>
      <c r="AC195" s="387">
        <f t="shared" si="143"/>
        <v>0.10342671977044476</v>
      </c>
      <c r="AD195">
        <f t="shared" si="144"/>
        <v>0</v>
      </c>
      <c r="AE195" s="387">
        <f t="shared" si="145"/>
        <v>0.22545735697529815</v>
      </c>
      <c r="AF195" s="387">
        <f t="shared" si="146"/>
        <v>4.2330133427594676</v>
      </c>
      <c r="AG195" s="387">
        <f t="shared" si="147"/>
        <v>0.10213489117188419</v>
      </c>
      <c r="AH195" s="387">
        <f t="shared" si="148"/>
        <v>0.10752</v>
      </c>
      <c r="AI195" s="387">
        <f t="shared" si="149"/>
        <v>0.21402681220639733</v>
      </c>
      <c r="AJ195" s="387">
        <f t="shared" si="150"/>
        <v>0</v>
      </c>
      <c r="AK195" s="387">
        <f t="shared" si="151"/>
        <v>0</v>
      </c>
      <c r="AL195" s="387">
        <f t="shared" si="152"/>
        <v>0</v>
      </c>
      <c r="AM195">
        <f t="shared" si="153"/>
        <v>0</v>
      </c>
      <c r="AN195" s="387">
        <f t="shared" si="154"/>
        <v>0</v>
      </c>
      <c r="AO195" s="387">
        <f t="shared" si="155"/>
        <v>6.1970621192367661</v>
      </c>
      <c r="AP195" s="387">
        <f t="shared" si="156"/>
        <v>7.2966799928390627E-2</v>
      </c>
      <c r="AQ195" s="387">
        <f t="shared" si="157"/>
        <v>0</v>
      </c>
      <c r="AR195" s="387">
        <f t="shared" si="158"/>
        <v>7.4047400296927302E-2</v>
      </c>
      <c r="AS195" s="387">
        <f t="shared" si="159"/>
        <v>7.2966799928390627E-2</v>
      </c>
      <c r="AT195" s="387">
        <f t="shared" si="160"/>
        <v>0</v>
      </c>
      <c r="AU195" s="387">
        <f t="shared" si="161"/>
        <v>0.31943640960000003</v>
      </c>
      <c r="AV195" s="387">
        <f t="shared" si="162"/>
        <v>0.14334721567983746</v>
      </c>
      <c r="AW195" s="387">
        <f t="shared" si="163"/>
        <v>0</v>
      </c>
      <c r="AX195" s="387">
        <f t="shared" si="164"/>
        <v>3.6000000000000004E-2</v>
      </c>
      <c r="AY195" s="387">
        <f t="shared" si="165"/>
        <v>5.9136000000000001E-2</v>
      </c>
      <c r="AZ195" s="387">
        <f t="shared" si="166"/>
        <v>7.3471999999999996E-2</v>
      </c>
      <c r="BA195" s="387">
        <f t="shared" si="180"/>
        <v>9.5135999999999998E-2</v>
      </c>
      <c r="BB195" s="387">
        <f t="shared" si="181"/>
        <v>1.9507828112054315</v>
      </c>
      <c r="BC195">
        <f t="shared" si="167"/>
        <v>72</v>
      </c>
      <c r="BD195" s="606">
        <f t="shared" si="182"/>
        <v>0.97362052520545006</v>
      </c>
      <c r="BE195" s="616">
        <f t="shared" si="168"/>
        <v>27.244688328764909</v>
      </c>
      <c r="BF195" s="616">
        <f t="shared" si="169"/>
        <v>10.701340610319866</v>
      </c>
      <c r="BG195" s="9"/>
      <c r="BH195" s="4">
        <f t="shared" si="183"/>
        <v>97.362052520545006</v>
      </c>
      <c r="BI195" s="387">
        <f t="shared" si="184"/>
        <v>0.84339055222681503</v>
      </c>
      <c r="BJ195" s="387">
        <f t="shared" si="185"/>
        <v>0.83296797907862286</v>
      </c>
      <c r="BK195" s="387">
        <f t="shared" si="186"/>
        <v>0.31944082737439733</v>
      </c>
      <c r="BL195" s="387">
        <f t="shared" si="187"/>
        <v>0.14334721567983746</v>
      </c>
    </row>
    <row r="196" spans="7:64" x14ac:dyDescent="0.2">
      <c r="G196">
        <v>187</v>
      </c>
      <c r="H196" s="612">
        <f t="shared" si="131"/>
        <v>22.765000000000001</v>
      </c>
      <c r="I196" s="4" t="str">
        <f t="shared" si="132"/>
        <v>BUCK</v>
      </c>
      <c r="J196">
        <f t="shared" si="170"/>
        <v>1</v>
      </c>
      <c r="K196">
        <f t="shared" si="133"/>
        <v>6</v>
      </c>
      <c r="L196" s="4">
        <f t="shared" si="134"/>
        <v>3.2945310784098401</v>
      </c>
      <c r="M196" s="4">
        <f t="shared" si="135"/>
        <v>6</v>
      </c>
      <c r="N196" s="387">
        <f t="shared" si="136"/>
        <v>0.53119712444658751</v>
      </c>
      <c r="O196" s="387">
        <f t="shared" si="172"/>
        <v>0</v>
      </c>
      <c r="P196" s="4">
        <f t="shared" si="137"/>
        <v>5.396131275200764</v>
      </c>
      <c r="Q196" s="387">
        <f t="shared" si="138"/>
        <v>6.1989127591000432</v>
      </c>
      <c r="R196" s="387">
        <f t="shared" si="173"/>
        <v>0.2348916288814008</v>
      </c>
      <c r="S196" s="387">
        <f t="shared" si="174"/>
        <v>0.61533866634213452</v>
      </c>
      <c r="T196" s="387">
        <f t="shared" si="175"/>
        <v>0.85023029522353533</v>
      </c>
      <c r="U196" s="4">
        <f t="shared" si="139"/>
        <v>1.5577289221598598</v>
      </c>
      <c r="V196" s="387">
        <f t="shared" si="176"/>
        <v>1.6985635764533227E-2</v>
      </c>
      <c r="W196" s="387">
        <f t="shared" si="177"/>
        <v>1.6985635764533227E-2</v>
      </c>
      <c r="X196" s="387">
        <f t="shared" si="140"/>
        <v>3.0934173388698043</v>
      </c>
      <c r="Y196" s="387">
        <f t="shared" si="178"/>
        <v>1.9138461664840685E-2</v>
      </c>
      <c r="Z196" s="605">
        <f t="shared" si="179"/>
        <v>1.9138461664840685E-2</v>
      </c>
      <c r="AA196" s="387">
        <f t="shared" si="141"/>
        <v>4.5179704077250875</v>
      </c>
      <c r="AB196" s="387">
        <f t="shared" si="142"/>
        <v>0.1163487226489537</v>
      </c>
      <c r="AC196" s="387">
        <f t="shared" si="143"/>
        <v>0.10386013566714489</v>
      </c>
      <c r="AD196">
        <f t="shared" si="144"/>
        <v>0</v>
      </c>
      <c r="AE196" s="387">
        <f t="shared" si="145"/>
        <v>0.22545514187034935</v>
      </c>
      <c r="AF196" s="387">
        <f t="shared" si="146"/>
        <v>4.2443448010091869</v>
      </c>
      <c r="AG196" s="387">
        <f t="shared" si="147"/>
        <v>0.10268243790216616</v>
      </c>
      <c r="AH196" s="387">
        <f t="shared" si="148"/>
        <v>0.10752</v>
      </c>
      <c r="AI196" s="387">
        <f t="shared" si="149"/>
        <v>0.21460976875279764</v>
      </c>
      <c r="AJ196" s="387">
        <f t="shared" si="150"/>
        <v>0</v>
      </c>
      <c r="AK196" s="387">
        <f t="shared" si="151"/>
        <v>0</v>
      </c>
      <c r="AL196" s="387">
        <f t="shared" si="152"/>
        <v>0</v>
      </c>
      <c r="AM196">
        <f t="shared" si="153"/>
        <v>0</v>
      </c>
      <c r="AN196" s="387">
        <f t="shared" si="154"/>
        <v>0</v>
      </c>
      <c r="AO196" s="387">
        <f t="shared" si="155"/>
        <v>6.1989127591000432</v>
      </c>
      <c r="AP196" s="387">
        <f t="shared" si="156"/>
        <v>7.3010386850373282E-2</v>
      </c>
      <c r="AQ196" s="387">
        <f t="shared" si="157"/>
        <v>0</v>
      </c>
      <c r="AR196" s="387">
        <f t="shared" si="158"/>
        <v>7.4092288174827992E-2</v>
      </c>
      <c r="AS196" s="387">
        <f t="shared" si="159"/>
        <v>7.3010386850373282E-2</v>
      </c>
      <c r="AT196" s="387">
        <f t="shared" si="160"/>
        <v>0</v>
      </c>
      <c r="AU196" s="387">
        <f t="shared" si="161"/>
        <v>0.32077704960000003</v>
      </c>
      <c r="AV196" s="387">
        <f t="shared" si="162"/>
        <v>0.1441157023188297</v>
      </c>
      <c r="AW196" s="387">
        <f t="shared" si="163"/>
        <v>0</v>
      </c>
      <c r="AX196" s="387">
        <f t="shared" si="164"/>
        <v>3.6000000000000004E-2</v>
      </c>
      <c r="AY196" s="387">
        <f t="shared" si="165"/>
        <v>5.9136000000000001E-2</v>
      </c>
      <c r="AZ196" s="387">
        <f t="shared" si="166"/>
        <v>7.3471999999999996E-2</v>
      </c>
      <c r="BA196" s="387">
        <f t="shared" si="180"/>
        <v>9.5135999999999998E-2</v>
      </c>
      <c r="BB196" s="387">
        <f t="shared" si="181"/>
        <v>1.9605403433697142</v>
      </c>
      <c r="BC196">
        <f t="shared" si="167"/>
        <v>72</v>
      </c>
      <c r="BD196" s="606">
        <f t="shared" si="182"/>
        <v>0.97349207652800129</v>
      </c>
      <c r="BE196" s="616">
        <f t="shared" si="168"/>
        <v>27.311609573517469</v>
      </c>
      <c r="BF196" s="616">
        <f t="shared" si="169"/>
        <v>10.730488437639881</v>
      </c>
      <c r="BG196" s="9"/>
      <c r="BH196" s="4">
        <f t="shared" si="183"/>
        <v>97.349207652800132</v>
      </c>
      <c r="BI196" s="387">
        <f t="shared" si="184"/>
        <v>0.85023029522353533</v>
      </c>
      <c r="BJ196" s="387">
        <f t="shared" si="185"/>
        <v>0.83493424839797492</v>
      </c>
      <c r="BK196" s="387">
        <f t="shared" si="186"/>
        <v>0.32046619512079766</v>
      </c>
      <c r="BL196" s="387">
        <f t="shared" si="187"/>
        <v>0.1441157023188297</v>
      </c>
    </row>
    <row r="197" spans="7:64" x14ac:dyDescent="0.2">
      <c r="G197">
        <v>188</v>
      </c>
      <c r="H197" s="612">
        <f t="shared" si="131"/>
        <v>22.86</v>
      </c>
      <c r="I197" s="4" t="str">
        <f t="shared" si="132"/>
        <v>BUCK</v>
      </c>
      <c r="J197">
        <f t="shared" si="170"/>
        <v>1</v>
      </c>
      <c r="K197">
        <f t="shared" si="133"/>
        <v>6</v>
      </c>
      <c r="L197" s="4">
        <f t="shared" si="134"/>
        <v>3.2808398950131235</v>
      </c>
      <c r="M197" s="4">
        <f t="shared" si="135"/>
        <v>6</v>
      </c>
      <c r="N197" s="387">
        <f t="shared" si="136"/>
        <v>0.52899423782084865</v>
      </c>
      <c r="O197" s="387">
        <f t="shared" si="172"/>
        <v>0</v>
      </c>
      <c r="P197" s="4">
        <f t="shared" si="137"/>
        <v>5.4214874878793626</v>
      </c>
      <c r="Q197" s="387">
        <f t="shared" si="138"/>
        <v>6.2007561809107372</v>
      </c>
      <c r="R197" s="387">
        <f t="shared" si="173"/>
        <v>0.23503398016830826</v>
      </c>
      <c r="S197" s="387">
        <f t="shared" si="174"/>
        <v>0.62202099320233561</v>
      </c>
      <c r="T197" s="387">
        <f t="shared" si="175"/>
        <v>0.85705497337064385</v>
      </c>
      <c r="U197" s="4">
        <f t="shared" si="139"/>
        <v>1.5650486302676692</v>
      </c>
      <c r="V197" s="387">
        <f t="shared" si="176"/>
        <v>1.7145640505718953E-2</v>
      </c>
      <c r="W197" s="387">
        <f t="shared" si="177"/>
        <v>1.7145640505718953E-2</v>
      </c>
      <c r="X197" s="387">
        <f t="shared" si="140"/>
        <v>3.0951609370578357</v>
      </c>
      <c r="Y197" s="387">
        <f t="shared" si="178"/>
        <v>1.9160042452577478E-2</v>
      </c>
      <c r="Z197" s="605">
        <f t="shared" si="179"/>
        <v>1.9160042452577478E-2</v>
      </c>
      <c r="AA197" s="387">
        <f t="shared" si="141"/>
        <v>4.5099333691962196</v>
      </c>
      <c r="AB197" s="387">
        <f t="shared" si="142"/>
        <v>0.11593514426916053</v>
      </c>
      <c r="AC197" s="387">
        <f t="shared" si="143"/>
        <v>0.10429355156384504</v>
      </c>
      <c r="AD197">
        <f t="shared" si="144"/>
        <v>0</v>
      </c>
      <c r="AE197" s="387">
        <f t="shared" si="145"/>
        <v>0.22545635893286176</v>
      </c>
      <c r="AF197" s="387">
        <f t="shared" si="146"/>
        <v>4.25557025796933</v>
      </c>
      <c r="AG197" s="387">
        <f t="shared" si="147"/>
        <v>0.10322630585692495</v>
      </c>
      <c r="AH197" s="387">
        <f t="shared" si="148"/>
        <v>0.10752</v>
      </c>
      <c r="AI197" s="387">
        <f t="shared" si="149"/>
        <v>0.21518893767644809</v>
      </c>
      <c r="AJ197" s="387">
        <f t="shared" si="150"/>
        <v>0</v>
      </c>
      <c r="AK197" s="387">
        <f t="shared" si="151"/>
        <v>0</v>
      </c>
      <c r="AL197" s="387">
        <f t="shared" si="152"/>
        <v>0</v>
      </c>
      <c r="AM197">
        <f t="shared" si="153"/>
        <v>0</v>
      </c>
      <c r="AN197" s="387">
        <f t="shared" si="154"/>
        <v>0</v>
      </c>
      <c r="AO197" s="387">
        <f t="shared" si="155"/>
        <v>6.2007561809107372</v>
      </c>
      <c r="AP197" s="387">
        <f t="shared" si="156"/>
        <v>7.3053816708695152E-2</v>
      </c>
      <c r="AQ197" s="387">
        <f t="shared" si="157"/>
        <v>0</v>
      </c>
      <c r="AR197" s="387">
        <f t="shared" si="158"/>
        <v>7.4137015091053471E-2</v>
      </c>
      <c r="AS197" s="387">
        <f t="shared" si="159"/>
        <v>7.3053816708695152E-2</v>
      </c>
      <c r="AT197" s="387">
        <f t="shared" si="160"/>
        <v>0</v>
      </c>
      <c r="AU197" s="387">
        <f t="shared" si="161"/>
        <v>0.32211768959999998</v>
      </c>
      <c r="AV197" s="387">
        <f t="shared" si="162"/>
        <v>0.14487902576410519</v>
      </c>
      <c r="AW197" s="387">
        <f t="shared" si="163"/>
        <v>0</v>
      </c>
      <c r="AX197" s="387">
        <f t="shared" si="164"/>
        <v>3.6000000000000004E-2</v>
      </c>
      <c r="AY197" s="387">
        <f t="shared" si="165"/>
        <v>5.9136000000000001E-2</v>
      </c>
      <c r="AZ197" s="387">
        <f t="shared" si="166"/>
        <v>7.3471999999999996E-2</v>
      </c>
      <c r="BA197" s="387">
        <f t="shared" si="180"/>
        <v>9.5135999999999998E-2</v>
      </c>
      <c r="BB197" s="387">
        <f t="shared" si="181"/>
        <v>1.9702756833934087</v>
      </c>
      <c r="BC197">
        <f t="shared" si="167"/>
        <v>72</v>
      </c>
      <c r="BD197" s="606">
        <f t="shared" si="182"/>
        <v>0.97336395376128437</v>
      </c>
      <c r="BE197" s="616">
        <f t="shared" si="168"/>
        <v>27.378702426643088</v>
      </c>
      <c r="BF197" s="616">
        <f t="shared" si="169"/>
        <v>10.759446883822404</v>
      </c>
      <c r="BG197" s="9"/>
      <c r="BH197" s="4">
        <f t="shared" si="183"/>
        <v>97.336395376128436</v>
      </c>
      <c r="BI197" s="387">
        <f t="shared" si="184"/>
        <v>0.85705497337064385</v>
      </c>
      <c r="BJ197" s="387">
        <f t="shared" si="185"/>
        <v>0.83690000130036335</v>
      </c>
      <c r="BK197" s="387">
        <f t="shared" si="186"/>
        <v>0.3214877752444481</v>
      </c>
      <c r="BL197" s="387">
        <f t="shared" si="187"/>
        <v>0.14487902576410519</v>
      </c>
    </row>
    <row r="198" spans="7:64" x14ac:dyDescent="0.2">
      <c r="G198">
        <v>189</v>
      </c>
      <c r="H198" s="612">
        <f t="shared" si="131"/>
        <v>22.954999999999998</v>
      </c>
      <c r="I198" s="4" t="str">
        <f t="shared" si="132"/>
        <v>BUCK</v>
      </c>
      <c r="J198">
        <f t="shared" si="170"/>
        <v>1</v>
      </c>
      <c r="K198">
        <f t="shared" si="133"/>
        <v>6</v>
      </c>
      <c r="L198" s="4">
        <f t="shared" si="134"/>
        <v>3.2672620344151606</v>
      </c>
      <c r="M198" s="4">
        <f t="shared" si="135"/>
        <v>6</v>
      </c>
      <c r="N198" s="387">
        <f t="shared" si="136"/>
        <v>0.52680954658088086</v>
      </c>
      <c r="O198" s="387">
        <f t="shared" si="172"/>
        <v>0</v>
      </c>
      <c r="P198" s="4">
        <f t="shared" si="137"/>
        <v>5.4466342635102309</v>
      </c>
      <c r="Q198" s="387">
        <f t="shared" si="138"/>
        <v>6.2025923666402285</v>
      </c>
      <c r="R198" s="387">
        <f t="shared" si="173"/>
        <v>0.23517581791831693</v>
      </c>
      <c r="S198" s="387">
        <f t="shared" si="174"/>
        <v>0.62868849886711664</v>
      </c>
      <c r="T198" s="387">
        <f t="shared" si="175"/>
        <v>0.86386431678543363</v>
      </c>
      <c r="U198" s="4">
        <f t="shared" si="139"/>
        <v>1.5723078791075356</v>
      </c>
      <c r="V198" s="387">
        <f t="shared" si="176"/>
        <v>1.7305064466925459E-2</v>
      </c>
      <c r="W198" s="387">
        <f t="shared" si="177"/>
        <v>1.7305064466925459E-2</v>
      </c>
      <c r="X198" s="387">
        <f t="shared" si="140"/>
        <v>3.0968348500678342</v>
      </c>
      <c r="Y198" s="387">
        <f t="shared" si="178"/>
        <v>1.9180772177189328E-2</v>
      </c>
      <c r="Z198" s="605">
        <f t="shared" si="179"/>
        <v>1.9180772177189328E-2</v>
      </c>
      <c r="AA198" s="387">
        <f t="shared" si="141"/>
        <v>4.501943689813416</v>
      </c>
      <c r="AB198" s="387">
        <f t="shared" si="142"/>
        <v>0.11552473282162976</v>
      </c>
      <c r="AC198" s="387">
        <f t="shared" si="143"/>
        <v>0.10472696746054516</v>
      </c>
      <c r="AD198">
        <f t="shared" si="144"/>
        <v>0</v>
      </c>
      <c r="AE198" s="387">
        <f t="shared" si="145"/>
        <v>0.22546096380318903</v>
      </c>
      <c r="AF198" s="387">
        <f t="shared" si="146"/>
        <v>4.2666913505024935</v>
      </c>
      <c r="AG198" s="387">
        <f t="shared" si="147"/>
        <v>0.10376653395858092</v>
      </c>
      <c r="AH198" s="387">
        <f t="shared" si="148"/>
        <v>0.10752</v>
      </c>
      <c r="AI198" s="387">
        <f t="shared" si="149"/>
        <v>0.21576435787222079</v>
      </c>
      <c r="AJ198" s="387">
        <f t="shared" si="150"/>
        <v>0</v>
      </c>
      <c r="AK198" s="387">
        <f t="shared" si="151"/>
        <v>0</v>
      </c>
      <c r="AL198" s="387">
        <f t="shared" si="152"/>
        <v>0</v>
      </c>
      <c r="AM198">
        <f t="shared" si="153"/>
        <v>0</v>
      </c>
      <c r="AN198" s="387">
        <f t="shared" si="154"/>
        <v>0</v>
      </c>
      <c r="AO198" s="387">
        <f t="shared" si="155"/>
        <v>6.2025923666402285</v>
      </c>
      <c r="AP198" s="387">
        <f t="shared" si="156"/>
        <v>7.30970889267369E-2</v>
      </c>
      <c r="AQ198" s="387">
        <f t="shared" si="157"/>
        <v>0</v>
      </c>
      <c r="AR198" s="387">
        <f t="shared" si="158"/>
        <v>7.4181580443213588E-2</v>
      </c>
      <c r="AS198" s="387">
        <f t="shared" si="159"/>
        <v>7.30970889267369E-2</v>
      </c>
      <c r="AT198" s="387">
        <f t="shared" si="160"/>
        <v>0</v>
      </c>
      <c r="AU198" s="387">
        <f t="shared" si="161"/>
        <v>0.32345832959999998</v>
      </c>
      <c r="AV198" s="387">
        <f t="shared" si="162"/>
        <v>0.14563724064362235</v>
      </c>
      <c r="AW198" s="387">
        <f t="shared" si="163"/>
        <v>0</v>
      </c>
      <c r="AX198" s="387">
        <f t="shared" si="164"/>
        <v>3.6000000000000004E-2</v>
      </c>
      <c r="AY198" s="387">
        <f t="shared" si="165"/>
        <v>5.9136000000000001E-2</v>
      </c>
      <c r="AZ198" s="387">
        <f t="shared" si="166"/>
        <v>7.3471999999999996E-2</v>
      </c>
      <c r="BA198" s="387">
        <f t="shared" si="180"/>
        <v>9.5135999999999998E-2</v>
      </c>
      <c r="BB198" s="387">
        <f t="shared" si="181"/>
        <v>1.9799886257917942</v>
      </c>
      <c r="BC198">
        <f t="shared" si="167"/>
        <v>72</v>
      </c>
      <c r="BD198" s="606">
        <f t="shared" si="182"/>
        <v>0.97323615936456764</v>
      </c>
      <c r="BE198" s="616">
        <f t="shared" si="168"/>
        <v>27.445964670159452</v>
      </c>
      <c r="BF198" s="616">
        <f t="shared" si="169"/>
        <v>10.788217893611039</v>
      </c>
      <c r="BG198" s="9"/>
      <c r="BH198" s="4">
        <f t="shared" si="183"/>
        <v>97.323615936456761</v>
      </c>
      <c r="BI198" s="387">
        <f t="shared" si="184"/>
        <v>0.86386431678543363</v>
      </c>
      <c r="BJ198" s="387">
        <f t="shared" si="185"/>
        <v>0.83886523171862337</v>
      </c>
      <c r="BK198" s="387">
        <f t="shared" si="186"/>
        <v>0.32250560664022077</v>
      </c>
      <c r="BL198" s="387">
        <f t="shared" si="187"/>
        <v>0.14563724064362235</v>
      </c>
    </row>
    <row r="199" spans="7:64" x14ac:dyDescent="0.2">
      <c r="G199">
        <v>190</v>
      </c>
      <c r="H199" s="612">
        <f t="shared" si="131"/>
        <v>23.05</v>
      </c>
      <c r="I199" s="4" t="str">
        <f t="shared" si="132"/>
        <v>BUCK</v>
      </c>
      <c r="J199">
        <f t="shared" si="170"/>
        <v>1</v>
      </c>
      <c r="K199">
        <f t="shared" si="133"/>
        <v>6</v>
      </c>
      <c r="L199" s="4">
        <f t="shared" si="134"/>
        <v>3.2537960954446854</v>
      </c>
      <c r="M199" s="4">
        <f t="shared" si="135"/>
        <v>6</v>
      </c>
      <c r="N199" s="387">
        <f t="shared" si="136"/>
        <v>0.52464282621872027</v>
      </c>
      <c r="O199" s="387">
        <f t="shared" si="172"/>
        <v>0</v>
      </c>
      <c r="P199" s="4">
        <f t="shared" si="137"/>
        <v>5.4715741862806855</v>
      </c>
      <c r="Q199" s="387">
        <f t="shared" si="138"/>
        <v>6.2044213004113251</v>
      </c>
      <c r="R199" s="387">
        <f t="shared" si="173"/>
        <v>0.23531714037346824</v>
      </c>
      <c r="S199" s="387">
        <f t="shared" si="174"/>
        <v>0.63534092601127212</v>
      </c>
      <c r="T199" s="387">
        <f t="shared" si="175"/>
        <v>0.8706580663847403</v>
      </c>
      <c r="U199" s="4">
        <f t="shared" si="139"/>
        <v>1.5795074146700807</v>
      </c>
      <c r="V199" s="387">
        <f t="shared" si="176"/>
        <v>1.7463905710984336E-2</v>
      </c>
      <c r="W199" s="387">
        <f t="shared" si="177"/>
        <v>1.7463905710984336E-2</v>
      </c>
      <c r="X199" s="387">
        <f t="shared" si="140"/>
        <v>3.098440607384723</v>
      </c>
      <c r="Y199" s="387">
        <f t="shared" si="178"/>
        <v>1.9200668394981222E-2</v>
      </c>
      <c r="Z199" s="605">
        <f t="shared" si="179"/>
        <v>1.9200668394981222E-2</v>
      </c>
      <c r="AA199" s="387">
        <f t="shared" si="141"/>
        <v>4.4940008432853418</v>
      </c>
      <c r="AB199" s="387">
        <f t="shared" si="142"/>
        <v>0.11511744840286137</v>
      </c>
      <c r="AC199" s="387">
        <f t="shared" si="143"/>
        <v>0.10516038335724533</v>
      </c>
      <c r="AD199">
        <f t="shared" si="144"/>
        <v>0</v>
      </c>
      <c r="AE199" s="387">
        <f t="shared" si="145"/>
        <v>0.22546891295071739</v>
      </c>
      <c r="AF199" s="387">
        <f t="shared" si="146"/>
        <v>4.2777096785018491</v>
      </c>
      <c r="AG199" s="387">
        <f t="shared" si="147"/>
        <v>0.10430316053322584</v>
      </c>
      <c r="AH199" s="387">
        <f t="shared" si="148"/>
        <v>0.10752</v>
      </c>
      <c r="AI199" s="387">
        <f t="shared" si="149"/>
        <v>0.21633606765191066</v>
      </c>
      <c r="AJ199" s="387">
        <f t="shared" si="150"/>
        <v>0</v>
      </c>
      <c r="AK199" s="387">
        <f t="shared" si="151"/>
        <v>0</v>
      </c>
      <c r="AL199" s="387">
        <f t="shared" si="152"/>
        <v>0</v>
      </c>
      <c r="AM199">
        <f t="shared" si="153"/>
        <v>0</v>
      </c>
      <c r="AN199" s="387">
        <f t="shared" si="154"/>
        <v>0</v>
      </c>
      <c r="AO199" s="387">
        <f t="shared" si="155"/>
        <v>6.2044213004113251</v>
      </c>
      <c r="AP199" s="387">
        <f t="shared" si="156"/>
        <v>7.3140202978695751E-2</v>
      </c>
      <c r="AQ199" s="387">
        <f t="shared" si="157"/>
        <v>0</v>
      </c>
      <c r="AR199" s="387">
        <f t="shared" si="158"/>
        <v>7.4225983681243654E-2</v>
      </c>
      <c r="AS199" s="387">
        <f t="shared" si="159"/>
        <v>7.3140202978695751E-2</v>
      </c>
      <c r="AT199" s="387">
        <f t="shared" si="160"/>
        <v>0</v>
      </c>
      <c r="AU199" s="387">
        <f t="shared" si="161"/>
        <v>0.32479896960000004</v>
      </c>
      <c r="AV199" s="387">
        <f t="shared" si="162"/>
        <v>0.14639040074838716</v>
      </c>
      <c r="AW199" s="387">
        <f t="shared" si="163"/>
        <v>0</v>
      </c>
      <c r="AX199" s="387">
        <f t="shared" si="164"/>
        <v>3.6000000000000004E-2</v>
      </c>
      <c r="AY199" s="387">
        <f t="shared" si="165"/>
        <v>5.9136000000000001E-2</v>
      </c>
      <c r="AZ199" s="387">
        <f t="shared" si="166"/>
        <v>7.3471999999999996E-2</v>
      </c>
      <c r="BA199" s="387">
        <f t="shared" si="180"/>
        <v>9.5135999999999998E-2</v>
      </c>
      <c r="BB199" s="387">
        <f t="shared" si="181"/>
        <v>1.9896789751229647</v>
      </c>
      <c r="BC199">
        <f t="shared" si="167"/>
        <v>72</v>
      </c>
      <c r="BD199" s="606">
        <f t="shared" si="182"/>
        <v>0.9731086956629188</v>
      </c>
      <c r="BE199" s="616">
        <f t="shared" si="168"/>
        <v>27.513394127535872</v>
      </c>
      <c r="BF199" s="616">
        <f t="shared" si="169"/>
        <v>10.816803382595532</v>
      </c>
      <c r="BG199" s="9"/>
      <c r="BH199" s="4">
        <f t="shared" si="183"/>
        <v>97.310869566291885</v>
      </c>
      <c r="BI199" s="387">
        <f t="shared" si="184"/>
        <v>0.8706580663847403</v>
      </c>
      <c r="BJ199" s="387">
        <f t="shared" si="185"/>
        <v>0.84082993388387184</v>
      </c>
      <c r="BK199" s="387">
        <f t="shared" si="186"/>
        <v>0.32351972761991066</v>
      </c>
      <c r="BL199" s="387">
        <f t="shared" si="187"/>
        <v>0.14639040074838716</v>
      </c>
    </row>
    <row r="200" spans="7:64" x14ac:dyDescent="0.2">
      <c r="G200">
        <v>191</v>
      </c>
      <c r="H200" s="612">
        <f t="shared" si="131"/>
        <v>23.145</v>
      </c>
      <c r="I200" s="4" t="str">
        <f t="shared" si="132"/>
        <v>BUCK</v>
      </c>
      <c r="J200">
        <f t="shared" si="170"/>
        <v>1</v>
      </c>
      <c r="K200">
        <f t="shared" si="133"/>
        <v>6</v>
      </c>
      <c r="L200" s="4">
        <f t="shared" si="134"/>
        <v>3.2404406999351916</v>
      </c>
      <c r="M200" s="4">
        <f t="shared" si="135"/>
        <v>6</v>
      </c>
      <c r="N200" s="387">
        <f t="shared" si="136"/>
        <v>0.52249385590479891</v>
      </c>
      <c r="O200" s="387">
        <f t="shared" si="172"/>
        <v>0</v>
      </c>
      <c r="P200" s="4">
        <f t="shared" si="137"/>
        <v>5.496309798038058</v>
      </c>
      <c r="Q200" s="387">
        <f t="shared" si="138"/>
        <v>6.2062429684150109</v>
      </c>
      <c r="R200" s="387">
        <f t="shared" si="173"/>
        <v>0.23545794593617467</v>
      </c>
      <c r="S200" s="387">
        <f t="shared" si="174"/>
        <v>0.64197802762567224</v>
      </c>
      <c r="T200" s="387">
        <f t="shared" si="175"/>
        <v>0.87743597356184688</v>
      </c>
      <c r="U200" s="4">
        <f t="shared" si="139"/>
        <v>1.5866479707234253</v>
      </c>
      <c r="V200" s="387">
        <f t="shared" si="176"/>
        <v>1.7622162481005347E-2</v>
      </c>
      <c r="W200" s="387">
        <f t="shared" si="177"/>
        <v>1.7622162481005347E-2</v>
      </c>
      <c r="X200" s="387">
        <f t="shared" si="140"/>
        <v>3.0999796989337036</v>
      </c>
      <c r="Y200" s="387">
        <f t="shared" si="178"/>
        <v>1.9219748267602192E-2</v>
      </c>
      <c r="Z200" s="605">
        <f t="shared" si="179"/>
        <v>1.9219748267602192E-2</v>
      </c>
      <c r="AA200" s="387">
        <f t="shared" si="141"/>
        <v>4.4861043123992612</v>
      </c>
      <c r="AB200" s="387">
        <f t="shared" si="142"/>
        <v>0.11471325183984531</v>
      </c>
      <c r="AC200" s="387">
        <f t="shared" si="143"/>
        <v>0.10559379925394546</v>
      </c>
      <c r="AD200">
        <f t="shared" si="144"/>
        <v>0</v>
      </c>
      <c r="AE200" s="387">
        <f t="shared" si="145"/>
        <v>0.22548016365340326</v>
      </c>
      <c r="AF200" s="387">
        <f t="shared" si="146"/>
        <v>4.2886268060153618</v>
      </c>
      <c r="AG200" s="387">
        <f t="shared" si="147"/>
        <v>0.10483622332325908</v>
      </c>
      <c r="AH200" s="387">
        <f t="shared" si="148"/>
        <v>0.10752</v>
      </c>
      <c r="AI200" s="387">
        <f t="shared" si="149"/>
        <v>0.21690410475645497</v>
      </c>
      <c r="AJ200" s="387">
        <f t="shared" si="150"/>
        <v>0</v>
      </c>
      <c r="AK200" s="387">
        <f t="shared" si="151"/>
        <v>0</v>
      </c>
      <c r="AL200" s="387">
        <f t="shared" si="152"/>
        <v>0</v>
      </c>
      <c r="AM200">
        <f t="shared" si="153"/>
        <v>0</v>
      </c>
      <c r="AN200" s="387">
        <f t="shared" si="154"/>
        <v>0</v>
      </c>
      <c r="AO200" s="387">
        <f t="shared" si="155"/>
        <v>6.2062429684150109</v>
      </c>
      <c r="AP200" s="387">
        <f t="shared" si="156"/>
        <v>7.3183158387701452E-2</v>
      </c>
      <c r="AQ200" s="387">
        <f t="shared" si="157"/>
        <v>0</v>
      </c>
      <c r="AR200" s="387">
        <f t="shared" si="158"/>
        <v>7.4270224305468896E-2</v>
      </c>
      <c r="AS200" s="387">
        <f t="shared" si="159"/>
        <v>7.3183158387701452E-2</v>
      </c>
      <c r="AT200" s="387">
        <f t="shared" si="160"/>
        <v>0</v>
      </c>
      <c r="AU200" s="387">
        <f t="shared" si="161"/>
        <v>0.32613960959999999</v>
      </c>
      <c r="AV200" s="387">
        <f t="shared" si="162"/>
        <v>0.14713855905018819</v>
      </c>
      <c r="AW200" s="387">
        <f t="shared" si="163"/>
        <v>0</v>
      </c>
      <c r="AX200" s="387">
        <f t="shared" si="164"/>
        <v>3.6000000000000004E-2</v>
      </c>
      <c r="AY200" s="387">
        <f t="shared" si="165"/>
        <v>5.9136000000000001E-2</v>
      </c>
      <c r="AZ200" s="387">
        <f t="shared" si="166"/>
        <v>7.3471999999999996E-2</v>
      </c>
      <c r="BA200" s="387">
        <f t="shared" si="180"/>
        <v>9.5135999999999998E-2</v>
      </c>
      <c r="BB200" s="387">
        <f t="shared" si="181"/>
        <v>1.9993465456759696</v>
      </c>
      <c r="BC200">
        <f t="shared" si="167"/>
        <v>72</v>
      </c>
      <c r="BD200" s="606">
        <f t="shared" si="182"/>
        <v>0.97298156485149656</v>
      </c>
      <c r="BE200" s="616">
        <f t="shared" si="168"/>
        <v>27.580988662670165</v>
      </c>
      <c r="BF200" s="616">
        <f t="shared" si="169"/>
        <v>10.845205237822748</v>
      </c>
      <c r="BG200" s="9"/>
      <c r="BH200" s="4">
        <f t="shared" si="183"/>
        <v>97.298156485149661</v>
      </c>
      <c r="BI200" s="387">
        <f t="shared" si="184"/>
        <v>0.87743597356184688</v>
      </c>
      <c r="BJ200" s="387">
        <f t="shared" si="185"/>
        <v>0.84279410231532714</v>
      </c>
      <c r="BK200" s="387">
        <f t="shared" si="186"/>
        <v>0.32453017592445499</v>
      </c>
      <c r="BL200" s="387">
        <f t="shared" si="187"/>
        <v>0.14713855905018819</v>
      </c>
    </row>
    <row r="201" spans="7:64" x14ac:dyDescent="0.2">
      <c r="G201">
        <v>192</v>
      </c>
      <c r="H201" s="612">
        <f t="shared" ref="H201:H209" si="188">VIN_min+(VIN_max-VIN_min)*(G201/200)</f>
        <v>23.24</v>
      </c>
      <c r="I201" s="4" t="str">
        <f t="shared" ref="I201:I209" si="189">IF(H201&gt;VIN_BB_to_buck, "BUCK", IF(H201&lt;VIN_boost_to_BB,"BOOST","BUCK-BST"))</f>
        <v>BUCK</v>
      </c>
      <c r="J201">
        <f t="shared" si="170"/>
        <v>1</v>
      </c>
      <c r="K201">
        <f t="shared" ref="K201:K209" si="190">Iout</f>
        <v>6</v>
      </c>
      <c r="L201" s="4">
        <f t="shared" ref="L201:L209" si="191">Vout*K201/(H201*Efficiency)</f>
        <v>3.2271944922547338</v>
      </c>
      <c r="M201" s="4">
        <f t="shared" ref="M201:M209" si="192">Iout/(1-O201)</f>
        <v>6</v>
      </c>
      <c r="N201" s="387">
        <f t="shared" ref="N201:N209" si="193">CHOOSE(J201,(Vout+(Rdson2+Rs+Rdcr)*K201)/(H201+(Rs+Rdson2-Rdson1)*K201),1,IF(H201&lt;Vout,D_max_buck_BB,Vout/H201*(1-D_min_boost_exitBB_to_buck)))</f>
        <v>0.52036241841291664</v>
      </c>
      <c r="O201" s="387">
        <f t="shared" si="172"/>
        <v>0</v>
      </c>
      <c r="P201" s="4">
        <f t="shared" ref="P201:P209" si="194">MAX(0, CHOOSE(J201, (H201-(Rdson1+Rdcr)*K201-Vout)*N201/(Fsw*Lf), (H201-(Rdson4+Rdcr+Rs)*L201)*O201/(Fsw*Lf), IF(H201&lt;Vout, (H201-(Rdson4+Rdcr+Rs)*L201)*O201/(0.5*Fsw*Lf),(H201-(Rdson1+Rdcr)*K201-Vout)*N201/(0.5*Fsw*Lf))))</f>
        <v>5.5208435991533014</v>
      </c>
      <c r="Q201" s="387">
        <f t="shared" ref="Q201:Q209" si="195">CHOOSE(J201, SQRT(K201^2+(P201^2)/12), SQRT(L201^2+(P201^2)/12), SQRT(M201^2+(P201^2)/12))</f>
        <v>6.2080573588302155</v>
      </c>
      <c r="R201" s="387">
        <f t="shared" si="173"/>
        <v>0.23559823316328279</v>
      </c>
      <c r="S201" s="387">
        <f t="shared" si="174"/>
        <v>0.64859956670965646</v>
      </c>
      <c r="T201" s="387">
        <f t="shared" si="175"/>
        <v>0.88419779987293923</v>
      </c>
      <c r="U201" s="4">
        <f t="shared" ref="U201:U209" si="196">IF(H201&gt;Vout, P201/SQRT(12), SQRT(O201/(1-O201))*SQRT(K201^2+(P201^2)/12))</f>
        <v>1.5937302690624906</v>
      </c>
      <c r="V201" s="387">
        <f t="shared" si="176"/>
        <v>1.7779833193681992E-2</v>
      </c>
      <c r="W201" s="387">
        <f t="shared" si="177"/>
        <v>1.7779833193681992E-2</v>
      </c>
      <c r="X201" s="387">
        <f t="shared" ref="X201:X209" si="197">IF(H201&gt;Vout, SQRT(N201*(1-N201))*SQRT(K201^2+(P201^2)/12), P201/SQRT(12))</f>
        <v>3.1014535763362714</v>
      </c>
      <c r="Y201" s="387">
        <f t="shared" si="178"/>
        <v>1.9238028572338094E-2</v>
      </c>
      <c r="Z201" s="605">
        <f t="shared" si="179"/>
        <v>1.9238028572338094E-2</v>
      </c>
      <c r="AA201" s="387">
        <f t="shared" ref="AA201:AA209" si="198">CHOOSE(J201, SQRT(N201)*SQRT(K201^2+(P201^2)/12), SQRT(L201^2+(P201^2)/12), SQRT(N201)*SQRT(M201^2+(P201^2)/12))</f>
        <v>4.4782535888079282</v>
      </c>
      <c r="AB201" s="387">
        <f t="shared" ref="AB201:AB209" si="199">Rdson1*AA201^2</f>
        <v>0.11431210467232521</v>
      </c>
      <c r="AC201" s="387">
        <f t="shared" ref="AC201:AC209" si="200">CHOOSE(J201, (H201*K201/2)*(Fsw)*(Tr_buck+Tf_buck), 0, (H201*M201/2)*(Fsw/2)*(Tr_buck+Tf_buck))</f>
        <v>0.1060272151506456</v>
      </c>
      <c r="AD201">
        <f t="shared" ref="AD201:AD209" si="201">IF(H201&gt;Vout, IF(K201&gt;P201/2,0,ABS(K201-P201/2)*Vsd_Q1*Deadtime*Fsw),0)</f>
        <v>0</v>
      </c>
      <c r="AE201" s="387">
        <f t="shared" ref="AE201:AE209" si="202">(AD201+AC201+AB201*(1+RdsonTopTc*Ta-RdsonTopTc*25))/(1-AB201*RdsonTopTc*ThetaJA_Q1)</f>
        <v>0.2254946739779343</v>
      </c>
      <c r="AF201" s="387">
        <f t="shared" ref="AF201:AF209" si="203">CHOOSE(J201, SQRT((1-N201))*SQRT(K201^2+(P201^2)/12), 0, SQRT((1-N201))*SQRT(M201^2+(P201^2)/12))</f>
        <v>4.2994442623268077</v>
      </c>
      <c r="AG201" s="387">
        <f t="shared" ref="AG201:AG209" si="204">Rdson2*AF201^2</f>
        <v>0.10536575949967297</v>
      </c>
      <c r="AH201" s="387">
        <f t="shared" ref="AH201:AH209" si="205">CHOOSE(J201, IF(K201&lt;P201/2,Deadtime*Fsw*IF(VfdSky_Q2&gt;0,0,Vsd_Q2)*(K201+P201/2),2*Deadtime*Fsw*IF(VfdSky_Q2&gt;0,0,Vsd_Q2)*K201),0, IF(K201&lt;P201/2,Deadtime*Fsw/2*IF(VfdSky_Q2&gt;0,0,Vsd_Q2)*(K201+P201/2),2*Deadtime*Fsw/2*IF(VfdSky_Q2&gt;0,0,Vsd_Q2)*K201))</f>
        <v>0.10752</v>
      </c>
      <c r="AI201" s="387">
        <f t="shared" ref="AI201:AI209" si="206">(AH201+AG201*(1+RdsonBotTc*Ta-RdsonBotTc*25))/(1-AG201*RdsonBotTc*ThetaJA_Q2)</f>
        <v>0.21746850636781381</v>
      </c>
      <c r="AJ201" s="387">
        <f t="shared" ref="AJ201:AJ209" si="207">CHOOSE(J201, 0, SQRT(O201)*SQRT(L201^2+(P201^2)/12), SQRT(O201)*SQRT(M201^2+(P201^2)/12))</f>
        <v>0</v>
      </c>
      <c r="AK201" s="387">
        <f t="shared" ref="AK201:AK209" si="208">Rdson4*AJ201^2</f>
        <v>0</v>
      </c>
      <c r="AL201" s="387">
        <f t="shared" ref="AL201:AL209" si="209">CHOOSE(J201, 0, (Vout*L201/2)*(Fsw)*(Tr_boost+Tf_boost), (Vout*Iout/2)*(Fsw/2)*(Tr_boost+Tf_boost))</f>
        <v>0</v>
      </c>
      <c r="AM201">
        <f t="shared" ref="AM201:AM209" si="210">IF(H201&gt;Vout, 0, IF(L201&gt;P201/2,0,ABS(L201-P201/2)*Vsd_Q4*Deadtime*Fsw))</f>
        <v>0</v>
      </c>
      <c r="AN201" s="387">
        <f t="shared" ref="AN201:AN209" si="211">(AM201+AL201+AK201*(1+RdsonTopTc*Ta-RdsonTopTc*25))/(1-AK201*RdsonTopTc*ThetaJA_Q4)</f>
        <v>0</v>
      </c>
      <c r="AO201" s="387">
        <f t="shared" ref="AO201:AO209" si="212">CHOOSE(J201, SQRT(Iout^2+(P201^2)/12), SQRT(1-O201)*SQRT(L201^2+(P201^2)/12), SQRT(1-O201)*SQRT(M201^2+(P201^2)/12))</f>
        <v>6.2080573588302155</v>
      </c>
      <c r="AP201" s="387">
        <f t="shared" ref="AP201:AP209" si="213">Rdson3*AO201^2</f>
        <v>7.3225954723999384E-2</v>
      </c>
      <c r="AQ201" s="387">
        <f t="shared" ref="AQ201:AQ209" si="214">CHOOSE(J201, 0, IF(L201&lt;P201/2,Deadtime*Fsw*IF(VfdSky_Q3&gt;0,0,Vsd_Q3)*(L201+P201/2), 2*Deadtime*Fsw*IF(VfdSky_Q3&gt;0,0,Vsd_Q3)*L201), IF(L201&lt;P201/2,Deadtime*Fsw/2*IF(VfdSky_Q3&gt;0,0,Vsd_Q3)*(L201+P201/2), 2*Deadtime*Fsw/2*IF(VfdSky_Q3&gt;0,0,Vsd_Q3)*L201))</f>
        <v>0</v>
      </c>
      <c r="AR201" s="387">
        <f t="shared" ref="AR201:AR209" si="215">(AQ201+AP201*(1+RdsonBotTc*Ta-RdsonBotTc*25))/(1-AP201*RdsonBotTc*ThetaJA_Q3)</f>
        <v>7.4314301864737975E-2</v>
      </c>
      <c r="AS201" s="387">
        <f t="shared" ref="AS201:AS209" si="216">CHOOSE(J201, Rdson3*Q201^2, Rdson1*Q201^2, 0)</f>
        <v>7.3225954723999384E-2</v>
      </c>
      <c r="AT201" s="387">
        <f t="shared" ref="AT201:AT209" si="217">CHOOSE(J201, 2*Deadtime*Fsw*IF(VfdSky_Q2&gt;0,VfdSky_Q2,0)*K201, 2*Deadtime*Fsw*IF(VfdSky_Q3&gt;0,VfdSky_Q3,0)*L201, 2*Deadtime*Fsw/2*IF(VfdSky_Q2&gt;0,VfdSky_Q2,0)*K201+2*Deadtime*Fsw/2*IF(VfdSky_Q3&gt;0,VfdSky_Q3,0)*L201)</f>
        <v>0</v>
      </c>
      <c r="AU201" s="387">
        <f t="shared" ref="AU201:AU209" si="218">CHOOSE(J201, IF(QrrSky_Q2&gt;0,QrrSky_Q2,Qrr_Q2)*Fsw*(H201-K201*Rdson1), IF(QrrSky_Q3&gt;0,QrrSky_Q3,Qrr_Q3)*Fsw*Vout,  IF(QrrSky_Q2&gt;0,QrrSky_Q2,Qrr_Q2)*Fsw/2*(H201-K201*Rdson1)+IF(QrrSky_Q3&gt;0,QrrSky_Q3,Qrr_Q3)*Fsw/2*Vout)</f>
        <v>0.3274802496</v>
      </c>
      <c r="AV201" s="387">
        <f t="shared" ref="AV201:AV209" si="219">CHOOSE(J201, Rs*AF201^2, Rs*AJ201^2, Rs*(AF201^2+AJ201^2))</f>
        <v>0.14788176771883926</v>
      </c>
      <c r="AW201" s="387">
        <f t="shared" ref="AW201:AW209" si="220">Rshunt_std/1000*Iout^2</f>
        <v>0</v>
      </c>
      <c r="AX201" s="387">
        <f t="shared" ref="AX201:AX209" si="221">IF(Vout&gt;8, Iq*Vout, Iq*H201)</f>
        <v>3.6000000000000004E-2</v>
      </c>
      <c r="AY201" s="387">
        <f t="shared" ref="AY201:AY209" si="222">CHOOSE(J201, (Qg_Q1+Qg_Q2)*Fsw, (Qg_Q3+Qg_Q4)*Fsw, (Qg_Q1+Qg_Q2+Qg_Q3+Qg_Q4)*Fsw/2)*IF(Vout&gt;8, Vout, H201)</f>
        <v>5.9136000000000001E-2</v>
      </c>
      <c r="AZ201" s="387">
        <f t="shared" ref="AZ201:AZ209" si="223">(Vin-Vdd)*Fsw*(Qg_Q1+Qg_Q2)+(RdsonDRT+RdsonDRT2)*Fsw*Qg_Q1*Vdd/(RdsonDRT+2*Rgate1+RdsonDRT2)+(RdsonDRB+RdsonDRB2)*Fsw*Qg_Q2*Vdd/(RdsonDRB+2*Rgate2+RdsonDRB2)</f>
        <v>7.3471999999999996E-2</v>
      </c>
      <c r="BA201" s="387">
        <f t="shared" si="180"/>
        <v>9.5135999999999998E-2</v>
      </c>
      <c r="BB201" s="387">
        <f t="shared" si="181"/>
        <v>2.0089911611682845</v>
      </c>
      <c r="BC201">
        <f t="shared" ref="BC201:BC209" si="224">Vout*K201</f>
        <v>72</v>
      </c>
      <c r="BD201" s="606">
        <f t="shared" si="182"/>
        <v>0.97285476899971068</v>
      </c>
      <c r="BE201" s="616">
        <f t="shared" ref="BE201:BE209" si="225">IF(H201&gt;Vout,ThetaJA_Q1*(AE201+AU201),ThetaJA_Q4*(AN201+AU201))</f>
        <v>27.648746178896715</v>
      </c>
      <c r="BF201" s="616">
        <f t="shared" ref="BF201:BF209" si="226">IF(H201&gt;Vout, AI201*ThetaJA_Q2, ThetaJA_Q3*AR201)</f>
        <v>10.873425318390691</v>
      </c>
      <c r="BG201" s="9"/>
      <c r="BH201" s="4">
        <f t="shared" si="183"/>
        <v>97.285476899971073</v>
      </c>
      <c r="BI201" s="387">
        <f t="shared" si="184"/>
        <v>0.88419779987293923</v>
      </c>
      <c r="BJ201" s="387">
        <f t="shared" si="185"/>
        <v>0.84475773181048608</v>
      </c>
      <c r="BK201" s="387">
        <f t="shared" si="186"/>
        <v>0.32553698873581383</v>
      </c>
      <c r="BL201" s="387">
        <f t="shared" si="187"/>
        <v>0.14788176771883926</v>
      </c>
    </row>
    <row r="202" spans="7:64" x14ac:dyDescent="0.2">
      <c r="G202">
        <v>193</v>
      </c>
      <c r="H202" s="612">
        <f t="shared" si="188"/>
        <v>23.335000000000001</v>
      </c>
      <c r="I202" s="4" t="str">
        <f t="shared" si="189"/>
        <v>BUCK</v>
      </c>
      <c r="J202">
        <f t="shared" ref="J202:J209" si="227">IF(I202="BOOST",2, IF(I202="BUCK", 1,3))</f>
        <v>1</v>
      </c>
      <c r="K202">
        <f t="shared" si="190"/>
        <v>6</v>
      </c>
      <c r="L202" s="4">
        <f t="shared" si="191"/>
        <v>3.2140561388472255</v>
      </c>
      <c r="M202" s="4">
        <f t="shared" si="192"/>
        <v>6</v>
      </c>
      <c r="N202" s="387">
        <f t="shared" si="193"/>
        <v>0.5182483000470427</v>
      </c>
      <c r="O202" s="387">
        <f t="shared" ref="O202:O209" si="228">CHOOSE(J202,0,(Vout+(Rdson3+Rdcr)*L202-H202)/(Vout+(Rdson3-Rdson4-Rs)*L202),IF(H202&gt;Vout,D_min_boost_exitBB_to_buck, (Vout-H202*D_max_buck_BB)/Vout))</f>
        <v>0</v>
      </c>
      <c r="P202" s="4">
        <f t="shared" si="194"/>
        <v>5.5451780493635328</v>
      </c>
      <c r="Q202" s="387">
        <f t="shared" si="195"/>
        <v>6.2098644617464824</v>
      </c>
      <c r="R202" s="387">
        <f t="shared" si="173"/>
        <v>0.23573800076034568</v>
      </c>
      <c r="S202" s="387">
        <f t="shared" si="174"/>
        <v>0.65520531597247755</v>
      </c>
      <c r="T202" s="387">
        <f t="shared" si="175"/>
        <v>0.89094331673282323</v>
      </c>
      <c r="U202" s="4">
        <f t="shared" si="196"/>
        <v>1.6007550197522198</v>
      </c>
      <c r="V202" s="387">
        <f t="shared" si="176"/>
        <v>1.7936916432833506E-2</v>
      </c>
      <c r="W202" s="387">
        <f t="shared" si="177"/>
        <v>1.7936916432833506E-2</v>
      </c>
      <c r="X202" s="387">
        <f t="shared" si="197"/>
        <v>3.1028636541178964</v>
      </c>
      <c r="Y202" s="387">
        <f t="shared" si="178"/>
        <v>1.9255525712091728E-2</v>
      </c>
      <c r="Z202" s="605">
        <f t="shared" si="179"/>
        <v>1.9255525712091728E-2</v>
      </c>
      <c r="AA202" s="387">
        <f t="shared" si="198"/>
        <v>4.4704481728226977</v>
      </c>
      <c r="AB202" s="387">
        <f t="shared" si="199"/>
        <v>0.11391396913559465</v>
      </c>
      <c r="AC202" s="387">
        <f t="shared" si="200"/>
        <v>0.10646063104734574</v>
      </c>
      <c r="AD202">
        <f t="shared" si="201"/>
        <v>0</v>
      </c>
      <c r="AE202" s="387">
        <f t="shared" si="202"/>
        <v>0.22551240276049084</v>
      </c>
      <c r="AF202" s="387">
        <f t="shared" si="203"/>
        <v>4.3101635429955705</v>
      </c>
      <c r="AG202" s="387">
        <f t="shared" si="204"/>
        <v>0.10589180567399833</v>
      </c>
      <c r="AH202" s="387">
        <f t="shared" si="205"/>
        <v>0.10752</v>
      </c>
      <c r="AI202" s="387">
        <f t="shared" si="206"/>
        <v>0.21802930912052365</v>
      </c>
      <c r="AJ202" s="387">
        <f t="shared" si="207"/>
        <v>0</v>
      </c>
      <c r="AK202" s="387">
        <f t="shared" si="208"/>
        <v>0</v>
      </c>
      <c r="AL202" s="387">
        <f t="shared" si="209"/>
        <v>0</v>
      </c>
      <c r="AM202">
        <f t="shared" si="210"/>
        <v>0</v>
      </c>
      <c r="AN202" s="387">
        <f t="shared" si="211"/>
        <v>0</v>
      </c>
      <c r="AO202" s="387">
        <f t="shared" si="212"/>
        <v>6.2098644617464824</v>
      </c>
      <c r="AP202" s="387">
        <f t="shared" si="213"/>
        <v>7.3268591603197666E-2</v>
      </c>
      <c r="AQ202" s="387">
        <f t="shared" si="214"/>
        <v>0</v>
      </c>
      <c r="AR202" s="387">
        <f t="shared" si="215"/>
        <v>7.4358215954621984E-2</v>
      </c>
      <c r="AS202" s="387">
        <f t="shared" si="216"/>
        <v>7.3268591603197666E-2</v>
      </c>
      <c r="AT202" s="387">
        <f t="shared" si="217"/>
        <v>0</v>
      </c>
      <c r="AU202" s="387">
        <f t="shared" si="218"/>
        <v>0.3288208896</v>
      </c>
      <c r="AV202" s="387">
        <f t="shared" si="219"/>
        <v>0.14862007813894501</v>
      </c>
      <c r="AW202" s="387">
        <f t="shared" si="220"/>
        <v>0</v>
      </c>
      <c r="AX202" s="387">
        <f t="shared" si="221"/>
        <v>3.6000000000000004E-2</v>
      </c>
      <c r="AY202" s="387">
        <f t="shared" si="222"/>
        <v>5.9136000000000001E-2</v>
      </c>
      <c r="AZ202" s="387">
        <f t="shared" si="223"/>
        <v>7.3471999999999996E-2</v>
      </c>
      <c r="BA202" s="387">
        <f t="shared" si="180"/>
        <v>9.5135999999999998E-2</v>
      </c>
      <c r="BB202" s="387">
        <f t="shared" si="181"/>
        <v>2.0186126544523297</v>
      </c>
      <c r="BC202">
        <f t="shared" si="224"/>
        <v>72</v>
      </c>
      <c r="BD202" s="606">
        <f t="shared" si="182"/>
        <v>0.97272831005525606</v>
      </c>
      <c r="BE202" s="616">
        <f t="shared" si="225"/>
        <v>27.716664618024545</v>
      </c>
      <c r="BF202" s="616">
        <f t="shared" si="226"/>
        <v>10.901465456026182</v>
      </c>
      <c r="BG202" s="9"/>
      <c r="BH202" s="4">
        <f t="shared" si="183"/>
        <v>97.272831005525603</v>
      </c>
      <c r="BI202" s="387">
        <f t="shared" si="184"/>
        <v>0.89094331673282323</v>
      </c>
      <c r="BJ202" s="387">
        <f t="shared" si="185"/>
        <v>0.84672081743563643</v>
      </c>
      <c r="BK202" s="387">
        <f t="shared" si="186"/>
        <v>0.32654020268852368</v>
      </c>
      <c r="BL202" s="387">
        <f t="shared" si="187"/>
        <v>0.14862007813894501</v>
      </c>
    </row>
    <row r="203" spans="7:64" x14ac:dyDescent="0.2">
      <c r="G203">
        <v>194</v>
      </c>
      <c r="H203" s="612">
        <f t="shared" si="188"/>
        <v>23.43</v>
      </c>
      <c r="I203" s="4" t="str">
        <f t="shared" si="189"/>
        <v>BUCK</v>
      </c>
      <c r="J203">
        <f t="shared" si="227"/>
        <v>1</v>
      </c>
      <c r="K203">
        <f t="shared" si="190"/>
        <v>6</v>
      </c>
      <c r="L203" s="4">
        <f t="shared" si="191"/>
        <v>3.2010243277848911</v>
      </c>
      <c r="M203" s="4">
        <f t="shared" si="192"/>
        <v>6</v>
      </c>
      <c r="N203" s="387">
        <f t="shared" si="193"/>
        <v>0.51615129056989528</v>
      </c>
      <c r="O203" s="387">
        <f t="shared" si="228"/>
        <v>0</v>
      </c>
      <c r="P203" s="4">
        <f t="shared" si="194"/>
        <v>5.5693155685941269</v>
      </c>
      <c r="Q203" s="387">
        <f t="shared" si="195"/>
        <v>6.2116642690894102</v>
      </c>
      <c r="R203" s="387">
        <f t="shared" si="173"/>
        <v>0.23587724757609579</v>
      </c>
      <c r="S203" s="387">
        <f t="shared" si="174"/>
        <v>0.66179505754351975</v>
      </c>
      <c r="T203" s="387">
        <f t="shared" si="175"/>
        <v>0.8976723051196156</v>
      </c>
      <c r="U203" s="4">
        <f t="shared" si="196"/>
        <v>1.6077229213648965</v>
      </c>
      <c r="V203" s="387">
        <f t="shared" si="176"/>
        <v>1.8093410943174539E-2</v>
      </c>
      <c r="W203" s="387">
        <f t="shared" si="177"/>
        <v>1.8093410943174539E-2</v>
      </c>
      <c r="X203" s="387">
        <f t="shared" si="197"/>
        <v>3.1042113108695726</v>
      </c>
      <c r="Y203" s="387">
        <f t="shared" si="178"/>
        <v>1.9272255725061183E-2</v>
      </c>
      <c r="Z203" s="605">
        <f t="shared" si="179"/>
        <v>1.9272255725061183E-2</v>
      </c>
      <c r="AA203" s="387">
        <f t="shared" si="198"/>
        <v>4.462687573212623</v>
      </c>
      <c r="AB203" s="387">
        <f t="shared" si="199"/>
        <v>0.11351880814380631</v>
      </c>
      <c r="AC203" s="387">
        <f t="shared" si="200"/>
        <v>0.10689404694404588</v>
      </c>
      <c r="AD203">
        <f t="shared" si="201"/>
        <v>0</v>
      </c>
      <c r="AE203" s="387">
        <f t="shared" si="202"/>
        <v>0.22553330958808571</v>
      </c>
      <c r="AF203" s="387">
        <f t="shared" si="203"/>
        <v>4.3207861108571093</v>
      </c>
      <c r="AG203" s="387">
        <f t="shared" si="204"/>
        <v>0.10641439790992151</v>
      </c>
      <c r="AH203" s="387">
        <f t="shared" si="205"/>
        <v>0.10752</v>
      </c>
      <c r="AI203" s="387">
        <f t="shared" si="206"/>
        <v>0.21858654911293357</v>
      </c>
      <c r="AJ203" s="387">
        <f t="shared" si="207"/>
        <v>0</v>
      </c>
      <c r="AK203" s="387">
        <f t="shared" si="208"/>
        <v>0</v>
      </c>
      <c r="AL203" s="387">
        <f t="shared" si="209"/>
        <v>0</v>
      </c>
      <c r="AM203">
        <f t="shared" si="210"/>
        <v>0</v>
      </c>
      <c r="AN203" s="387">
        <f t="shared" si="211"/>
        <v>0</v>
      </c>
      <c r="AO203" s="387">
        <f t="shared" si="212"/>
        <v>6.2116642690894102</v>
      </c>
      <c r="AP203" s="387">
        <f t="shared" si="213"/>
        <v>7.3311068684575945E-2</v>
      </c>
      <c r="AQ203" s="387">
        <f t="shared" si="214"/>
        <v>0</v>
      </c>
      <c r="AR203" s="387">
        <f t="shared" si="215"/>
        <v>7.4401966215676948E-2</v>
      </c>
      <c r="AS203" s="387">
        <f t="shared" si="216"/>
        <v>7.3311068684575945E-2</v>
      </c>
      <c r="AT203" s="387">
        <f t="shared" si="217"/>
        <v>0</v>
      </c>
      <c r="AU203" s="387">
        <f t="shared" si="218"/>
        <v>0.3301615296</v>
      </c>
      <c r="AV203" s="387">
        <f t="shared" si="219"/>
        <v>0.14935354092620562</v>
      </c>
      <c r="AW203" s="387">
        <f t="shared" si="220"/>
        <v>0</v>
      </c>
      <c r="AX203" s="387">
        <f t="shared" si="221"/>
        <v>3.6000000000000004E-2</v>
      </c>
      <c r="AY203" s="387">
        <f t="shared" si="222"/>
        <v>5.9136000000000001E-2</v>
      </c>
      <c r="AZ203" s="387">
        <f t="shared" si="223"/>
        <v>7.3471999999999996E-2</v>
      </c>
      <c r="BA203" s="387">
        <f t="shared" si="180"/>
        <v>9.5135999999999998E-2</v>
      </c>
      <c r="BB203" s="387">
        <f t="shared" si="181"/>
        <v>2.0282108672307531</v>
      </c>
      <c r="BC203">
        <f t="shared" si="224"/>
        <v>72</v>
      </c>
      <c r="BD203" s="606">
        <f t="shared" si="182"/>
        <v>0.97260218984802504</v>
      </c>
      <c r="BE203" s="616">
        <f t="shared" si="225"/>
        <v>27.784741959404286</v>
      </c>
      <c r="BF203" s="616">
        <f t="shared" si="226"/>
        <v>10.929327455646678</v>
      </c>
      <c r="BG203" s="9"/>
      <c r="BH203" s="4">
        <f t="shared" si="183"/>
        <v>97.260218984802506</v>
      </c>
      <c r="BI203" s="387">
        <f t="shared" si="184"/>
        <v>0.8976723051196156</v>
      </c>
      <c r="BJ203" s="387">
        <f t="shared" si="185"/>
        <v>0.84868335451669619</v>
      </c>
      <c r="BK203" s="387">
        <f t="shared" si="186"/>
        <v>0.3275398538809336</v>
      </c>
      <c r="BL203" s="387">
        <f t="shared" si="187"/>
        <v>0.14935354092620562</v>
      </c>
    </row>
    <row r="204" spans="7:64" x14ac:dyDescent="0.2">
      <c r="G204">
        <v>195</v>
      </c>
      <c r="H204" s="612">
        <f t="shared" si="188"/>
        <v>23.524999999999999</v>
      </c>
      <c r="I204" s="4" t="str">
        <f t="shared" si="189"/>
        <v>BUCK</v>
      </c>
      <c r="J204">
        <f t="shared" si="227"/>
        <v>1</v>
      </c>
      <c r="K204">
        <f t="shared" si="190"/>
        <v>6</v>
      </c>
      <c r="L204" s="4">
        <f t="shared" si="191"/>
        <v>3.1880977683315628</v>
      </c>
      <c r="M204" s="4">
        <f t="shared" si="192"/>
        <v>6</v>
      </c>
      <c r="N204" s="387">
        <f t="shared" si="193"/>
        <v>0.51407118313324573</v>
      </c>
      <c r="O204" s="387">
        <f t="shared" si="228"/>
        <v>0</v>
      </c>
      <c r="P204" s="4">
        <f t="shared" si="194"/>
        <v>5.5932585377609261</v>
      </c>
      <c r="Q204" s="387">
        <f t="shared" si="195"/>
        <v>6.213456774548793</v>
      </c>
      <c r="R204" s="387">
        <f t="shared" si="173"/>
        <v>0.23601597259711374</v>
      </c>
      <c r="S204" s="387">
        <f t="shared" si="174"/>
        <v>0.66836858269103461</v>
      </c>
      <c r="T204" s="387">
        <f t="shared" si="175"/>
        <v>0.90438455528814832</v>
      </c>
      <c r="U204" s="4">
        <f t="shared" si="196"/>
        <v>1.6146346612117217</v>
      </c>
      <c r="V204" s="387">
        <f t="shared" si="176"/>
        <v>1.8249315624304041E-2</v>
      </c>
      <c r="W204" s="387">
        <f t="shared" si="177"/>
        <v>1.8249315624304041E-2</v>
      </c>
      <c r="X204" s="387">
        <f t="shared" si="197"/>
        <v>3.1054978903653332</v>
      </c>
      <c r="Y204" s="387">
        <f t="shared" si="178"/>
        <v>1.9288234294127068E-2</v>
      </c>
      <c r="Z204" s="605">
        <f t="shared" si="179"/>
        <v>1.9288234294127068E-2</v>
      </c>
      <c r="AA204" s="387">
        <f t="shared" si="198"/>
        <v>4.4549713070093464</v>
      </c>
      <c r="AB204" s="387">
        <f t="shared" si="199"/>
        <v>0.11312658527377642</v>
      </c>
      <c r="AC204" s="387">
        <f t="shared" si="200"/>
        <v>0.10732746284074603</v>
      </c>
      <c r="AD204">
        <f t="shared" si="201"/>
        <v>0</v>
      </c>
      <c r="AE204" s="387">
        <f t="shared" si="202"/>
        <v>0.22555735478046232</v>
      </c>
      <c r="AF204" s="387">
        <f t="shared" si="203"/>
        <v>4.3313133969859221</v>
      </c>
      <c r="AG204" s="387">
        <f t="shared" si="204"/>
        <v>0.10693357173458544</v>
      </c>
      <c r="AH204" s="387">
        <f t="shared" si="205"/>
        <v>0.10752</v>
      </c>
      <c r="AI204" s="387">
        <f t="shared" si="206"/>
        <v>0.21914026191813726</v>
      </c>
      <c r="AJ204" s="387">
        <f t="shared" si="207"/>
        <v>0</v>
      </c>
      <c r="AK204" s="387">
        <f t="shared" si="208"/>
        <v>0</v>
      </c>
      <c r="AL204" s="387">
        <f t="shared" si="209"/>
        <v>0</v>
      </c>
      <c r="AM204">
        <f t="shared" si="210"/>
        <v>0</v>
      </c>
      <c r="AN204" s="387">
        <f t="shared" si="211"/>
        <v>0</v>
      </c>
      <c r="AO204" s="387">
        <f t="shared" si="212"/>
        <v>6.213456774548793</v>
      </c>
      <c r="AP204" s="387">
        <f t="shared" si="213"/>
        <v>7.3353385669453958E-2</v>
      </c>
      <c r="AQ204" s="387">
        <f t="shared" si="214"/>
        <v>0</v>
      </c>
      <c r="AR204" s="387">
        <f t="shared" si="215"/>
        <v>7.4445552331767487E-2</v>
      </c>
      <c r="AS204" s="387">
        <f t="shared" si="216"/>
        <v>7.3353385669453958E-2</v>
      </c>
      <c r="AT204" s="387">
        <f t="shared" si="217"/>
        <v>0</v>
      </c>
      <c r="AU204" s="387">
        <f t="shared" si="218"/>
        <v>0.33150216960000001</v>
      </c>
      <c r="AV204" s="387">
        <f t="shared" si="219"/>
        <v>0.15008220594327781</v>
      </c>
      <c r="AW204" s="387">
        <f t="shared" si="220"/>
        <v>0</v>
      </c>
      <c r="AX204" s="387">
        <f t="shared" si="221"/>
        <v>3.6000000000000004E-2</v>
      </c>
      <c r="AY204" s="387">
        <f t="shared" si="222"/>
        <v>5.9136000000000001E-2</v>
      </c>
      <c r="AZ204" s="387">
        <f t="shared" si="223"/>
        <v>7.3471999999999996E-2</v>
      </c>
      <c r="BA204" s="387">
        <f t="shared" si="180"/>
        <v>9.5135999999999998E-2</v>
      </c>
      <c r="BB204" s="387">
        <f t="shared" si="181"/>
        <v>2.0377856497802243</v>
      </c>
      <c r="BC204">
        <f t="shared" si="224"/>
        <v>72</v>
      </c>
      <c r="BD204" s="606">
        <f t="shared" si="182"/>
        <v>0.97247641009390096</v>
      </c>
      <c r="BE204" s="616">
        <f t="shared" si="225"/>
        <v>27.85297621902312</v>
      </c>
      <c r="BF204" s="616">
        <f t="shared" si="226"/>
        <v>10.957013095906863</v>
      </c>
      <c r="BG204" s="9"/>
      <c r="BH204" s="4">
        <f t="shared" si="183"/>
        <v>97.247641009390094</v>
      </c>
      <c r="BI204" s="387">
        <f t="shared" si="184"/>
        <v>0.90438455528814832</v>
      </c>
      <c r="BJ204" s="387">
        <f t="shared" si="185"/>
        <v>0.85064533863036706</v>
      </c>
      <c r="BK204" s="387">
        <f t="shared" si="186"/>
        <v>0.32853597788613725</v>
      </c>
      <c r="BL204" s="387">
        <f t="shared" si="187"/>
        <v>0.15008220594327781</v>
      </c>
    </row>
    <row r="205" spans="7:64" x14ac:dyDescent="0.2">
      <c r="G205">
        <v>196</v>
      </c>
      <c r="H205" s="612">
        <f t="shared" si="188"/>
        <v>23.62</v>
      </c>
      <c r="I205" s="4" t="str">
        <f t="shared" si="189"/>
        <v>BUCK</v>
      </c>
      <c r="J205">
        <f t="shared" si="227"/>
        <v>1</v>
      </c>
      <c r="K205">
        <f t="shared" si="190"/>
        <v>6</v>
      </c>
      <c r="L205" s="4">
        <f t="shared" si="191"/>
        <v>3.1752751905165115</v>
      </c>
      <c r="M205" s="4">
        <f t="shared" si="192"/>
        <v>6</v>
      </c>
      <c r="N205" s="387">
        <f t="shared" si="193"/>
        <v>0.51200777420990373</v>
      </c>
      <c r="O205" s="387">
        <f t="shared" si="228"/>
        <v>0</v>
      </c>
      <c r="P205" s="4">
        <f t="shared" si="194"/>
        <v>5.6170092995531418</v>
      </c>
      <c r="Q205" s="387">
        <f t="shared" si="195"/>
        <v>6.2152419735093343</v>
      </c>
      <c r="R205" s="387">
        <f t="shared" si="173"/>
        <v>0.23615417494268251</v>
      </c>
      <c r="S205" s="387">
        <f t="shared" si="174"/>
        <v>0.67492569154914284</v>
      </c>
      <c r="T205" s="387">
        <f t="shared" si="175"/>
        <v>0.91107986649182537</v>
      </c>
      <c r="U205" s="4">
        <f t="shared" si="196"/>
        <v>1.6214909155688189</v>
      </c>
      <c r="V205" s="387">
        <f t="shared" si="176"/>
        <v>1.8404629524905444E-2</v>
      </c>
      <c r="W205" s="387">
        <f t="shared" si="177"/>
        <v>1.8404629524905444E-2</v>
      </c>
      <c r="X205" s="387">
        <f t="shared" si="197"/>
        <v>3.1067247026377101</v>
      </c>
      <c r="Y205" s="387">
        <f t="shared" si="178"/>
        <v>1.9303476755958737E-2</v>
      </c>
      <c r="Z205" s="605">
        <f t="shared" si="179"/>
        <v>1.9303476755958737E-2</v>
      </c>
      <c r="AA205" s="387">
        <f t="shared" si="198"/>
        <v>4.4472988993175955</v>
      </c>
      <c r="AB205" s="387">
        <f t="shared" si="199"/>
        <v>0.11273726474926753</v>
      </c>
      <c r="AC205" s="387">
        <f t="shared" si="200"/>
        <v>0.10776087873744618</v>
      </c>
      <c r="AD205">
        <f t="shared" si="201"/>
        <v>0</v>
      </c>
      <c r="AE205" s="387">
        <f t="shared" si="202"/>
        <v>0.22558449937253214</v>
      </c>
      <c r="AF205" s="387">
        <f t="shared" si="203"/>
        <v>4.3417468016226737</v>
      </c>
      <c r="AG205" s="387">
        <f t="shared" si="204"/>
        <v>0.10744936214958409</v>
      </c>
      <c r="AH205" s="387">
        <f t="shared" si="205"/>
        <v>0.10752</v>
      </c>
      <c r="AI205" s="387">
        <f t="shared" si="206"/>
        <v>0.2196904825946091</v>
      </c>
      <c r="AJ205" s="387">
        <f t="shared" si="207"/>
        <v>0</v>
      </c>
      <c r="AK205" s="387">
        <f t="shared" si="208"/>
        <v>0</v>
      </c>
      <c r="AL205" s="387">
        <f t="shared" si="209"/>
        <v>0</v>
      </c>
      <c r="AM205">
        <f t="shared" si="210"/>
        <v>0</v>
      </c>
      <c r="AN205" s="387">
        <f t="shared" si="211"/>
        <v>0</v>
      </c>
      <c r="AO205" s="387">
        <f t="shared" si="212"/>
        <v>6.2152419735093343</v>
      </c>
      <c r="AP205" s="387">
        <f t="shared" si="213"/>
        <v>7.3395542299617186E-2</v>
      </c>
      <c r="AQ205" s="387">
        <f t="shared" si="214"/>
        <v>0</v>
      </c>
      <c r="AR205" s="387">
        <f t="shared" si="215"/>
        <v>7.4488974028449215E-2</v>
      </c>
      <c r="AS205" s="387">
        <f t="shared" si="216"/>
        <v>7.3395542299617186E-2</v>
      </c>
      <c r="AT205" s="387">
        <f t="shared" si="217"/>
        <v>0</v>
      </c>
      <c r="AU205" s="387">
        <f t="shared" si="218"/>
        <v>0.33284280960000001</v>
      </c>
      <c r="AV205" s="387">
        <f t="shared" si="219"/>
        <v>0.15080612231520574</v>
      </c>
      <c r="AW205" s="387">
        <f t="shared" si="220"/>
        <v>0</v>
      </c>
      <c r="AX205" s="387">
        <f t="shared" si="221"/>
        <v>3.6000000000000004E-2</v>
      </c>
      <c r="AY205" s="387">
        <f t="shared" si="222"/>
        <v>5.9136000000000001E-2</v>
      </c>
      <c r="AZ205" s="387">
        <f t="shared" si="223"/>
        <v>7.3471999999999996E-2</v>
      </c>
      <c r="BA205" s="387">
        <f t="shared" si="180"/>
        <v>9.5135999999999998E-2</v>
      </c>
      <c r="BB205" s="387">
        <f t="shared" si="181"/>
        <v>2.0473368606834859</v>
      </c>
      <c r="BC205">
        <f t="shared" si="224"/>
        <v>72</v>
      </c>
      <c r="BD205" s="606">
        <f t="shared" si="182"/>
        <v>0.97235097239843404</v>
      </c>
      <c r="BE205" s="616">
        <f t="shared" si="225"/>
        <v>27.921365448626606</v>
      </c>
      <c r="BF205" s="616">
        <f t="shared" si="226"/>
        <v>10.984524129730456</v>
      </c>
      <c r="BG205" s="9"/>
      <c r="BH205" s="4">
        <f t="shared" si="183"/>
        <v>97.235097239843398</v>
      </c>
      <c r="BI205" s="387">
        <f t="shared" si="184"/>
        <v>0.91107986649182537</v>
      </c>
      <c r="BJ205" s="387">
        <f t="shared" si="185"/>
        <v>0.85260676559559045</v>
      </c>
      <c r="BK205" s="387">
        <f t="shared" si="186"/>
        <v>0.32952860976260911</v>
      </c>
      <c r="BL205" s="387">
        <f t="shared" si="187"/>
        <v>0.15080612231520574</v>
      </c>
    </row>
    <row r="206" spans="7:64" x14ac:dyDescent="0.2">
      <c r="G206">
        <v>197</v>
      </c>
      <c r="H206" s="612">
        <f t="shared" si="188"/>
        <v>23.715</v>
      </c>
      <c r="I206" s="4" t="str">
        <f t="shared" si="189"/>
        <v>BUCK</v>
      </c>
      <c r="J206">
        <f t="shared" si="227"/>
        <v>1</v>
      </c>
      <c r="K206">
        <f t="shared" si="190"/>
        <v>6</v>
      </c>
      <c r="L206" s="4">
        <f t="shared" si="191"/>
        <v>3.1625553447185331</v>
      </c>
      <c r="M206" s="4">
        <f t="shared" si="192"/>
        <v>6</v>
      </c>
      <c r="N206" s="387">
        <f t="shared" si="193"/>
        <v>0.50996086352733239</v>
      </c>
      <c r="O206" s="387">
        <f t="shared" si="228"/>
        <v>0</v>
      </c>
      <c r="P206" s="4">
        <f t="shared" si="194"/>
        <v>5.6405701591974546</v>
      </c>
      <c r="Q206" s="387">
        <f t="shared" si="195"/>
        <v>6.2170198629838502</v>
      </c>
      <c r="R206" s="387">
        <f t="shared" si="173"/>
        <v>0.23629185385982324</v>
      </c>
      <c r="S206" s="387">
        <f t="shared" si="174"/>
        <v>0.68146619285283649</v>
      </c>
      <c r="T206" s="387">
        <f t="shared" si="175"/>
        <v>0.9177580467126597</v>
      </c>
      <c r="U206" s="4">
        <f t="shared" si="196"/>
        <v>1.6282923498978104</v>
      </c>
      <c r="V206" s="387">
        <f t="shared" si="176"/>
        <v>1.8559351837150132E-2</v>
      </c>
      <c r="W206" s="387">
        <f t="shared" si="177"/>
        <v>1.8559351837150132E-2</v>
      </c>
      <c r="X206" s="387">
        <f t="shared" si="197"/>
        <v>3.107893025013007</v>
      </c>
      <c r="Y206" s="387">
        <f t="shared" si="178"/>
        <v>1.9317998109849001E-2</v>
      </c>
      <c r="Z206" s="605">
        <f t="shared" si="179"/>
        <v>1.9317998109849001E-2</v>
      </c>
      <c r="AA206" s="387">
        <f t="shared" si="198"/>
        <v>4.4396698831310877</v>
      </c>
      <c r="AB206" s="387">
        <f t="shared" si="199"/>
        <v>0.11235081142573289</v>
      </c>
      <c r="AC206" s="387">
        <f t="shared" si="200"/>
        <v>0.10819429463414633</v>
      </c>
      <c r="AD206">
        <f t="shared" si="201"/>
        <v>0</v>
      </c>
      <c r="AE206" s="387">
        <f t="shared" si="202"/>
        <v>0.22561470509733172</v>
      </c>
      <c r="AF206" s="387">
        <f t="shared" si="203"/>
        <v>4.3520876950671079</v>
      </c>
      <c r="AG206" s="387">
        <f t="shared" si="204"/>
        <v>0.10796180364166083</v>
      </c>
      <c r="AH206" s="387">
        <f t="shared" si="205"/>
        <v>0.10752</v>
      </c>
      <c r="AI206" s="387">
        <f t="shared" si="206"/>
        <v>0.22023724569655517</v>
      </c>
      <c r="AJ206" s="387">
        <f t="shared" si="207"/>
        <v>0</v>
      </c>
      <c r="AK206" s="387">
        <f t="shared" si="208"/>
        <v>0</v>
      </c>
      <c r="AL206" s="387">
        <f t="shared" si="209"/>
        <v>0</v>
      </c>
      <c r="AM206">
        <f t="shared" si="210"/>
        <v>0</v>
      </c>
      <c r="AN206" s="387">
        <f t="shared" si="211"/>
        <v>0</v>
      </c>
      <c r="AO206" s="387">
        <f t="shared" si="212"/>
        <v>6.2170198629838502</v>
      </c>
      <c r="AP206" s="387">
        <f t="shared" si="213"/>
        <v>7.3437538355797888E-2</v>
      </c>
      <c r="AQ206" s="387">
        <f t="shared" si="214"/>
        <v>0</v>
      </c>
      <c r="AR206" s="387">
        <f t="shared" si="215"/>
        <v>7.4532231071407828E-2</v>
      </c>
      <c r="AS206" s="387">
        <f t="shared" si="216"/>
        <v>7.3437538355797888E-2</v>
      </c>
      <c r="AT206" s="387">
        <f t="shared" si="217"/>
        <v>0</v>
      </c>
      <c r="AU206" s="387">
        <f t="shared" si="218"/>
        <v>0.33418344960000002</v>
      </c>
      <c r="AV206" s="387">
        <f t="shared" si="219"/>
        <v>0.15152533844443625</v>
      </c>
      <c r="AW206" s="387">
        <f t="shared" si="220"/>
        <v>0</v>
      </c>
      <c r="AX206" s="387">
        <f t="shared" si="221"/>
        <v>3.6000000000000004E-2</v>
      </c>
      <c r="AY206" s="387">
        <f t="shared" si="222"/>
        <v>5.9136000000000001E-2</v>
      </c>
      <c r="AZ206" s="387">
        <f t="shared" si="223"/>
        <v>7.3471999999999996E-2</v>
      </c>
      <c r="BA206" s="387">
        <f t="shared" si="180"/>
        <v>9.5135999999999998E-2</v>
      </c>
      <c r="BB206" s="387">
        <f t="shared" si="181"/>
        <v>2.05686436656939</v>
      </c>
      <c r="BC206">
        <f t="shared" si="224"/>
        <v>72</v>
      </c>
      <c r="BD206" s="606">
        <f t="shared" si="182"/>
        <v>0.97222587826041018</v>
      </c>
      <c r="BE206" s="616">
        <f t="shared" si="225"/>
        <v>27.989907734866588</v>
      </c>
      <c r="BF206" s="616">
        <f t="shared" si="226"/>
        <v>11.011862284827759</v>
      </c>
      <c r="BG206" s="9"/>
      <c r="BH206" s="4">
        <f t="shared" si="183"/>
        <v>97.222587826041021</v>
      </c>
      <c r="BI206" s="387">
        <f t="shared" si="184"/>
        <v>0.9177580467126597</v>
      </c>
      <c r="BJ206" s="387">
        <f t="shared" si="185"/>
        <v>0.8545676314652948</v>
      </c>
      <c r="BK206" s="387">
        <f t="shared" si="186"/>
        <v>0.33051778406455518</v>
      </c>
      <c r="BL206" s="387">
        <f t="shared" si="187"/>
        <v>0.15152533844443625</v>
      </c>
    </row>
    <row r="207" spans="7:64" x14ac:dyDescent="0.2">
      <c r="G207">
        <v>198</v>
      </c>
      <c r="H207" s="612">
        <f t="shared" si="188"/>
        <v>23.81</v>
      </c>
      <c r="I207" s="4" t="str">
        <f t="shared" si="189"/>
        <v>BUCK</v>
      </c>
      <c r="J207">
        <f t="shared" si="227"/>
        <v>1</v>
      </c>
      <c r="K207">
        <f t="shared" si="190"/>
        <v>6</v>
      </c>
      <c r="L207" s="4">
        <f t="shared" si="191"/>
        <v>3.1499370012599752</v>
      </c>
      <c r="M207" s="4">
        <f t="shared" si="192"/>
        <v>6</v>
      </c>
      <c r="N207" s="387">
        <f t="shared" si="193"/>
        <v>0.5079302540028503</v>
      </c>
      <c r="O207" s="387">
        <f t="shared" si="228"/>
        <v>0</v>
      </c>
      <c r="P207" s="4">
        <f t="shared" si="194"/>
        <v>5.6639433852038961</v>
      </c>
      <c r="Q207" s="387">
        <f t="shared" si="195"/>
        <v>6.2187904415488688</v>
      </c>
      <c r="R207" s="387">
        <f t="shared" si="173"/>
        <v>0.23642900871850334</v>
      </c>
      <c r="S207" s="387">
        <f t="shared" si="174"/>
        <v>0.68798990368077184</v>
      </c>
      <c r="T207" s="387">
        <f t="shared" si="175"/>
        <v>0.92441891239927521</v>
      </c>
      <c r="U207" s="4">
        <f t="shared" si="196"/>
        <v>1.6350396190611349</v>
      </c>
      <c r="V207" s="387">
        <f t="shared" si="176"/>
        <v>1.8713481891297068E-2</v>
      </c>
      <c r="W207" s="387">
        <f t="shared" si="177"/>
        <v>1.8713481891297068E-2</v>
      </c>
      <c r="X207" s="387">
        <f t="shared" si="197"/>
        <v>3.1090041031081723</v>
      </c>
      <c r="Y207" s="387">
        <f t="shared" si="178"/>
        <v>1.9331813026286903E-2</v>
      </c>
      <c r="Z207" s="605">
        <f t="shared" si="179"/>
        <v>1.9331813026286903E-2</v>
      </c>
      <c r="AA207" s="387">
        <f t="shared" si="198"/>
        <v>4.4320837991536619</v>
      </c>
      <c r="AB207" s="387">
        <f t="shared" si="199"/>
        <v>0.11196719077550604</v>
      </c>
      <c r="AC207" s="387">
        <f t="shared" si="200"/>
        <v>0.10862771053084645</v>
      </c>
      <c r="AD207">
        <f t="shared" si="201"/>
        <v>0</v>
      </c>
      <c r="AE207" s="387">
        <f t="shared" si="202"/>
        <v>0.22564793436948183</v>
      </c>
      <c r="AF207" s="387">
        <f t="shared" si="203"/>
        <v>4.3623374185382788</v>
      </c>
      <c r="AG207" s="387">
        <f t="shared" si="204"/>
        <v>0.10847093019312153</v>
      </c>
      <c r="AH207" s="387">
        <f t="shared" si="205"/>
        <v>0.10752</v>
      </c>
      <c r="AI207" s="387">
        <f t="shared" si="206"/>
        <v>0.22078058528398875</v>
      </c>
      <c r="AJ207" s="387">
        <f t="shared" si="207"/>
        <v>0</v>
      </c>
      <c r="AK207" s="387">
        <f t="shared" si="208"/>
        <v>0</v>
      </c>
      <c r="AL207" s="387">
        <f t="shared" si="209"/>
        <v>0</v>
      </c>
      <c r="AM207">
        <f t="shared" si="210"/>
        <v>0</v>
      </c>
      <c r="AN207" s="387">
        <f t="shared" si="211"/>
        <v>0</v>
      </c>
      <c r="AO207" s="387">
        <f t="shared" si="212"/>
        <v>6.2187904415488688</v>
      </c>
      <c r="AP207" s="387">
        <f t="shared" si="213"/>
        <v>7.3479373656209199E-2</v>
      </c>
      <c r="AQ207" s="387">
        <f t="shared" si="214"/>
        <v>0</v>
      </c>
      <c r="AR207" s="387">
        <f t="shared" si="215"/>
        <v>7.4575323264952809E-2</v>
      </c>
      <c r="AS207" s="387">
        <f t="shared" si="216"/>
        <v>7.3479373656209199E-2</v>
      </c>
      <c r="AT207" s="387">
        <f t="shared" si="217"/>
        <v>0</v>
      </c>
      <c r="AU207" s="387">
        <f t="shared" si="218"/>
        <v>0.33552408960000002</v>
      </c>
      <c r="AV207" s="387">
        <f t="shared" si="219"/>
        <v>0.15223990202543372</v>
      </c>
      <c r="AW207" s="387">
        <f t="shared" si="220"/>
        <v>0</v>
      </c>
      <c r="AX207" s="387">
        <f t="shared" si="221"/>
        <v>3.6000000000000004E-2</v>
      </c>
      <c r="AY207" s="387">
        <f t="shared" si="222"/>
        <v>5.9136000000000001E-2</v>
      </c>
      <c r="AZ207" s="387">
        <f t="shared" si="223"/>
        <v>7.3471999999999996E-2</v>
      </c>
      <c r="BA207" s="387">
        <f t="shared" si="180"/>
        <v>9.5135999999999998E-2</v>
      </c>
      <c r="BB207" s="387">
        <f t="shared" si="181"/>
        <v>2.0663680418607164</v>
      </c>
      <c r="BC207">
        <f t="shared" si="224"/>
        <v>72</v>
      </c>
      <c r="BD207" s="606">
        <f t="shared" si="182"/>
        <v>0.97210112907530655</v>
      </c>
      <c r="BE207" s="616">
        <f t="shared" si="225"/>
        <v>28.058601198474094</v>
      </c>
      <c r="BF207" s="616">
        <f t="shared" si="226"/>
        <v>11.039029264199437</v>
      </c>
      <c r="BG207" s="9"/>
      <c r="BH207" s="4">
        <f t="shared" si="183"/>
        <v>97.210112907530657</v>
      </c>
      <c r="BI207" s="387">
        <f t="shared" si="184"/>
        <v>0.92441891239927521</v>
      </c>
      <c r="BJ207" s="387">
        <f t="shared" si="185"/>
        <v>0.85652793251842341</v>
      </c>
      <c r="BK207" s="387">
        <f t="shared" si="186"/>
        <v>0.33150353485198875</v>
      </c>
      <c r="BL207" s="387">
        <f t="shared" si="187"/>
        <v>0.15223990202543372</v>
      </c>
    </row>
    <row r="208" spans="7:64" x14ac:dyDescent="0.2">
      <c r="G208">
        <v>199</v>
      </c>
      <c r="H208" s="612">
        <f t="shared" si="188"/>
        <v>23.905000000000001</v>
      </c>
      <c r="I208" s="4" t="str">
        <f t="shared" si="189"/>
        <v>BUCK</v>
      </c>
      <c r="J208">
        <f t="shared" si="227"/>
        <v>1</v>
      </c>
      <c r="K208">
        <f t="shared" si="190"/>
        <v>6</v>
      </c>
      <c r="L208" s="4">
        <f t="shared" si="191"/>
        <v>3.1374189500104581</v>
      </c>
      <c r="M208" s="4">
        <f t="shared" si="192"/>
        <v>6</v>
      </c>
      <c r="N208" s="387">
        <f t="shared" si="193"/>
        <v>0.50591575168037406</v>
      </c>
      <c r="O208" s="387">
        <f t="shared" si="228"/>
        <v>0</v>
      </c>
      <c r="P208" s="4">
        <f t="shared" si="194"/>
        <v>5.6871312100939324</v>
      </c>
      <c r="Q208" s="387">
        <f t="shared" si="195"/>
        <v>6.2205537092825356</v>
      </c>
      <c r="R208" s="387">
        <f t="shared" si="173"/>
        <v>0.2365656390070128</v>
      </c>
      <c r="S208" s="387">
        <f t="shared" si="174"/>
        <v>0.69449664920558618</v>
      </c>
      <c r="T208" s="387">
        <f t="shared" si="175"/>
        <v>0.93106228821259895</v>
      </c>
      <c r="U208" s="4">
        <f t="shared" si="196"/>
        <v>1.641733367532227</v>
      </c>
      <c r="V208" s="387">
        <f t="shared" si="176"/>
        <v>1.8867019150480946E-2</v>
      </c>
      <c r="W208" s="387">
        <f t="shared" si="177"/>
        <v>1.8867019150480946E-2</v>
      </c>
      <c r="X208" s="387">
        <f t="shared" si="197"/>
        <v>3.1100591517909604</v>
      </c>
      <c r="Y208" s="387">
        <f t="shared" si="178"/>
        <v>1.9344935855277415E-2</v>
      </c>
      <c r="Z208" s="605">
        <f t="shared" si="179"/>
        <v>1.9344935855277415E-2</v>
      </c>
      <c r="AA208" s="387">
        <f t="shared" si="198"/>
        <v>4.4245401956254629</v>
      </c>
      <c r="AB208" s="387">
        <f t="shared" si="199"/>
        <v>0.11158636887342083</v>
      </c>
      <c r="AC208" s="387">
        <f t="shared" si="200"/>
        <v>0.1090611264275466</v>
      </c>
      <c r="AD208">
        <f t="shared" si="201"/>
        <v>0</v>
      </c>
      <c r="AE208" s="387">
        <f t="shared" si="202"/>
        <v>0.22568415026913061</v>
      </c>
      <c r="AF208" s="387">
        <f t="shared" si="203"/>
        <v>4.3724972850035373</v>
      </c>
      <c r="AG208" s="387">
        <f t="shared" si="204"/>
        <v>0.10897677529197083</v>
      </c>
      <c r="AH208" s="387">
        <f t="shared" si="205"/>
        <v>0.10752</v>
      </c>
      <c r="AI208" s="387">
        <f t="shared" si="206"/>
        <v>0.22132053493253925</v>
      </c>
      <c r="AJ208" s="387">
        <f t="shared" si="207"/>
        <v>0</v>
      </c>
      <c r="AK208" s="387">
        <f t="shared" si="208"/>
        <v>0</v>
      </c>
      <c r="AL208" s="387">
        <f t="shared" si="209"/>
        <v>0</v>
      </c>
      <c r="AM208">
        <f t="shared" si="210"/>
        <v>0</v>
      </c>
      <c r="AN208" s="387">
        <f t="shared" si="211"/>
        <v>0</v>
      </c>
      <c r="AO208" s="387">
        <f t="shared" si="212"/>
        <v>6.2205537092825356</v>
      </c>
      <c r="AP208" s="387">
        <f t="shared" si="213"/>
        <v>7.3521048055130545E-2</v>
      </c>
      <c r="AQ208" s="387">
        <f t="shared" si="214"/>
        <v>0</v>
      </c>
      <c r="AR208" s="387">
        <f t="shared" si="215"/>
        <v>7.4618250450563681E-2</v>
      </c>
      <c r="AS208" s="387">
        <f t="shared" si="216"/>
        <v>7.3521048055130545E-2</v>
      </c>
      <c r="AT208" s="387">
        <f t="shared" si="217"/>
        <v>0</v>
      </c>
      <c r="AU208" s="387">
        <f t="shared" si="218"/>
        <v>0.33686472960000002</v>
      </c>
      <c r="AV208" s="387">
        <f t="shared" si="219"/>
        <v>0.15294986005890643</v>
      </c>
      <c r="AW208" s="387">
        <f t="shared" si="220"/>
        <v>0</v>
      </c>
      <c r="AX208" s="387">
        <f t="shared" si="221"/>
        <v>3.6000000000000004E-2</v>
      </c>
      <c r="AY208" s="387">
        <f t="shared" si="222"/>
        <v>5.9136000000000001E-2</v>
      </c>
      <c r="AZ208" s="387">
        <f t="shared" si="223"/>
        <v>7.3471999999999996E-2</v>
      </c>
      <c r="BA208" s="387">
        <f t="shared" si="180"/>
        <v>9.5135999999999998E-2</v>
      </c>
      <c r="BB208" s="387">
        <f t="shared" si="181"/>
        <v>2.0758477685294974</v>
      </c>
      <c r="BC208">
        <f t="shared" si="224"/>
        <v>72</v>
      </c>
      <c r="BD208" s="606">
        <f t="shared" si="182"/>
        <v>0.97197672613864561</v>
      </c>
      <c r="BE208" s="616">
        <f t="shared" si="225"/>
        <v>28.127443993456531</v>
      </c>
      <c r="BF208" s="616">
        <f t="shared" si="226"/>
        <v>11.066026746626962</v>
      </c>
      <c r="BG208" s="9"/>
      <c r="BH208" s="4">
        <f t="shared" si="183"/>
        <v>97.197672613864555</v>
      </c>
      <c r="BI208" s="387">
        <f t="shared" si="184"/>
        <v>0.93106228821259895</v>
      </c>
      <c r="BJ208" s="387">
        <f t="shared" si="185"/>
        <v>0.85848766525223352</v>
      </c>
      <c r="BK208" s="387">
        <f t="shared" si="186"/>
        <v>0.33248589570053927</v>
      </c>
      <c r="BL208" s="387">
        <f t="shared" si="187"/>
        <v>0.15294986005890643</v>
      </c>
    </row>
    <row r="209" spans="7:64" x14ac:dyDescent="0.2">
      <c r="G209">
        <v>200</v>
      </c>
      <c r="H209" s="612">
        <f t="shared" si="188"/>
        <v>24</v>
      </c>
      <c r="I209" s="4" t="str">
        <f t="shared" si="189"/>
        <v>BUCK</v>
      </c>
      <c r="J209">
        <f t="shared" si="227"/>
        <v>1</v>
      </c>
      <c r="K209">
        <f t="shared" si="190"/>
        <v>6</v>
      </c>
      <c r="L209" s="4">
        <f t="shared" si="191"/>
        <v>3.125</v>
      </c>
      <c r="M209" s="4">
        <f t="shared" si="192"/>
        <v>6</v>
      </c>
      <c r="N209" s="387">
        <f t="shared" si="193"/>
        <v>0.50391716566866274</v>
      </c>
      <c r="O209" s="387">
        <f t="shared" si="228"/>
        <v>0</v>
      </c>
      <c r="P209" s="4">
        <f t="shared" si="194"/>
        <v>5.7101358311113346</v>
      </c>
      <c r="Q209" s="387">
        <f t="shared" si="195"/>
        <v>6.2223096677047343</v>
      </c>
      <c r="R209" s="387">
        <f t="shared" si="173"/>
        <v>0.23670174432750124</v>
      </c>
      <c r="S209" s="387">
        <f t="shared" si="174"/>
        <v>0.70098626245153706</v>
      </c>
      <c r="T209" s="387">
        <f t="shared" si="175"/>
        <v>0.9376880067790383</v>
      </c>
      <c r="U209" s="4">
        <f t="shared" si="196"/>
        <v>1.6483742296007284</v>
      </c>
      <c r="V209" s="387">
        <f t="shared" si="176"/>
        <v>1.9019963205682566E-2</v>
      </c>
      <c r="W209" s="387">
        <f t="shared" si="177"/>
        <v>1.9019963205682566E-2</v>
      </c>
      <c r="X209" s="387">
        <f t="shared" si="197"/>
        <v>3.1110593561049762</v>
      </c>
      <c r="Y209" s="387">
        <f t="shared" si="178"/>
        <v>1.9357380634416617E-2</v>
      </c>
      <c r="Z209" s="605">
        <f t="shared" si="179"/>
        <v>1.9357380634416617E-2</v>
      </c>
      <c r="AA209" s="387">
        <f t="shared" si="198"/>
        <v>4.4170386281540139</v>
      </c>
      <c r="AB209" s="387">
        <f t="shared" si="199"/>
        <v>0.11120831238284674</v>
      </c>
      <c r="AC209" s="387">
        <f t="shared" si="200"/>
        <v>0.10949454232424675</v>
      </c>
      <c r="AD209">
        <f t="shared" si="201"/>
        <v>0</v>
      </c>
      <c r="AE209" s="387">
        <f t="shared" si="202"/>
        <v>0.22572331652636474</v>
      </c>
      <c r="AF209" s="387">
        <f t="shared" si="203"/>
        <v>4.3825685799776259</v>
      </c>
      <c r="AG209" s="387">
        <f t="shared" si="204"/>
        <v>0.10947937194178049</v>
      </c>
      <c r="AH209" s="387">
        <f t="shared" si="205"/>
        <v>0.10752</v>
      </c>
      <c r="AI209" s="387">
        <f t="shared" si="206"/>
        <v>0.22185712774300273</v>
      </c>
      <c r="AJ209" s="387">
        <f t="shared" si="207"/>
        <v>0</v>
      </c>
      <c r="AK209" s="387">
        <f t="shared" si="208"/>
        <v>0</v>
      </c>
      <c r="AL209" s="387">
        <f t="shared" si="209"/>
        <v>0</v>
      </c>
      <c r="AM209">
        <f t="shared" si="210"/>
        <v>0</v>
      </c>
      <c r="AN209" s="387">
        <f t="shared" si="211"/>
        <v>0</v>
      </c>
      <c r="AO209" s="387">
        <f t="shared" si="212"/>
        <v>6.2223096677047343</v>
      </c>
      <c r="AP209" s="387">
        <f t="shared" si="213"/>
        <v>7.3562561441542426E-2</v>
      </c>
      <c r="AQ209" s="387">
        <f t="shared" si="214"/>
        <v>0</v>
      </c>
      <c r="AR209" s="387">
        <f t="shared" si="215"/>
        <v>7.4661012505486957E-2</v>
      </c>
      <c r="AS209" s="387">
        <f t="shared" si="216"/>
        <v>7.3562561441542426E-2</v>
      </c>
      <c r="AT209" s="387">
        <f t="shared" si="217"/>
        <v>0</v>
      </c>
      <c r="AU209" s="387">
        <f t="shared" si="218"/>
        <v>0.33820536960000003</v>
      </c>
      <c r="AV209" s="387">
        <f t="shared" si="219"/>
        <v>0.15365525886565684</v>
      </c>
      <c r="AW209" s="387">
        <f t="shared" si="220"/>
        <v>0</v>
      </c>
      <c r="AX209" s="387">
        <f t="shared" si="221"/>
        <v>3.6000000000000004E-2</v>
      </c>
      <c r="AY209" s="387">
        <f t="shared" si="222"/>
        <v>5.9136000000000001E-2</v>
      </c>
      <c r="AZ209" s="387">
        <f t="shared" si="223"/>
        <v>7.3471999999999996E-2</v>
      </c>
      <c r="BA209" s="387">
        <f t="shared" si="180"/>
        <v>9.5135999999999998E-2</v>
      </c>
      <c r="BB209" s="387">
        <f t="shared" si="181"/>
        <v>2.0853034358596489</v>
      </c>
      <c r="BC209">
        <f t="shared" si="224"/>
        <v>72</v>
      </c>
      <c r="BD209" s="606">
        <f t="shared" si="182"/>
        <v>0.97185267064924663</v>
      </c>
      <c r="BE209" s="616">
        <f t="shared" si="225"/>
        <v>28.196434306318242</v>
      </c>
      <c r="BF209" s="616">
        <f t="shared" si="226"/>
        <v>11.092856387150137</v>
      </c>
      <c r="BG209" s="9"/>
      <c r="BH209" s="4">
        <f t="shared" si="183"/>
        <v>97.185267064924659</v>
      </c>
      <c r="BI209" s="387">
        <f t="shared" si="184"/>
        <v>0.9376880067790383</v>
      </c>
      <c r="BJ209" s="387">
        <f t="shared" si="185"/>
        <v>0.86044682637485448</v>
      </c>
      <c r="BK209" s="387">
        <f t="shared" si="186"/>
        <v>0.33346489971100274</v>
      </c>
      <c r="BL209" s="387">
        <f t="shared" si="187"/>
        <v>0.15365525886565684</v>
      </c>
    </row>
    <row r="224" spans="7:64" x14ac:dyDescent="0.2">
      <c r="H224"/>
      <c r="N224"/>
      <c r="O224"/>
      <c r="P224"/>
      <c r="Q224"/>
      <c r="R224"/>
      <c r="U224"/>
      <c r="X224"/>
      <c r="AS224"/>
      <c r="AU224"/>
      <c r="BB224"/>
      <c r="BD224"/>
      <c r="BE224"/>
      <c r="BF224"/>
      <c r="BH224"/>
      <c r="BI224"/>
      <c r="BJ224"/>
      <c r="BK224"/>
    </row>
    <row r="234" customFormat="1" x14ac:dyDescent="0.2"/>
    <row r="235" customFormat="1" x14ac:dyDescent="0.2"/>
  </sheetData>
  <sheetProtection selectLockedCells="1"/>
  <mergeCells count="13">
    <mergeCell ref="AA7:AE7"/>
    <mergeCell ref="AF7:AI7"/>
    <mergeCell ref="AX7:BA7"/>
    <mergeCell ref="BB7:BF7"/>
    <mergeCell ref="BH7:BL7"/>
    <mergeCell ref="AJ7:AN7"/>
    <mergeCell ref="AO7:AR7"/>
    <mergeCell ref="X7:Z7"/>
    <mergeCell ref="A1:D4"/>
    <mergeCell ref="A6:D7"/>
    <mergeCell ref="G7:P7"/>
    <mergeCell ref="Q7:T7"/>
    <mergeCell ref="U7:W7"/>
  </mergeCells>
  <pageMargins left="0.75" right="0.75" top="1" bottom="1" header="0.5" footer="0.5"/>
  <pageSetup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CE209"/>
  <sheetViews>
    <sheetView zoomScaleNormal="100" workbookViewId="0">
      <pane ySplit="8" topLeftCell="A9" activePane="bottomLeft" state="frozen"/>
      <selection activeCell="F1" sqref="F1"/>
      <selection pane="bottomLeft" activeCell="BH109" sqref="BH109"/>
    </sheetView>
  </sheetViews>
  <sheetFormatPr defaultRowHeight="12.75" x14ac:dyDescent="0.2"/>
  <cols>
    <col min="1" max="1" width="19.85546875" customWidth="1"/>
    <col min="2" max="2" width="13.140625" bestFit="1" customWidth="1"/>
    <col min="4" max="4" width="71.5703125" customWidth="1"/>
    <col min="6" max="6" width="9.140625" customWidth="1"/>
    <col min="7" max="7" width="6.85546875" customWidth="1"/>
    <col min="8" max="8" width="9.140625" style="611"/>
    <col min="9" max="9" width="11" customWidth="1"/>
    <col min="10" max="10" width="6.7109375" customWidth="1"/>
    <col min="11" max="11" width="8.140625" customWidth="1"/>
    <col min="12" max="12" width="7.42578125" customWidth="1"/>
    <col min="13" max="13" width="7.140625" customWidth="1"/>
    <col min="14" max="14" width="10.7109375" style="387" customWidth="1"/>
    <col min="15" max="15" width="11.42578125" style="387" customWidth="1"/>
    <col min="16" max="16" width="8.85546875" style="4" customWidth="1"/>
    <col min="17" max="17" width="8" style="4" customWidth="1"/>
    <col min="18" max="18" width="9.42578125" style="336" customWidth="1"/>
    <col min="19" max="19" width="8" customWidth="1"/>
    <col min="20" max="20" width="9.28515625" customWidth="1"/>
    <col min="21" max="21" width="8.85546875" style="4" customWidth="1"/>
    <col min="22" max="22" width="9.85546875" customWidth="1"/>
    <col min="23" max="23" width="10.7109375" customWidth="1"/>
    <col min="24" max="24" width="9.7109375" style="336" customWidth="1"/>
    <col min="25" max="25" width="10.5703125" customWidth="1"/>
    <col min="27" max="28" width="8.5703125" customWidth="1"/>
    <col min="29" max="29" width="10" customWidth="1"/>
    <col min="30" max="30" width="8" customWidth="1"/>
    <col min="31" max="31" width="9.85546875" customWidth="1"/>
    <col min="32" max="33" width="8.85546875" customWidth="1"/>
    <col min="34" max="34" width="10.5703125" customWidth="1"/>
    <col min="35" max="35" width="10.28515625" customWidth="1"/>
    <col min="36" max="37" width="8.5703125" customWidth="1"/>
    <col min="38" max="38" width="10" customWidth="1"/>
    <col min="39" max="39" width="8" customWidth="1"/>
    <col min="40" max="40" width="9.85546875" customWidth="1"/>
    <col min="41" max="42" width="8.85546875" customWidth="1"/>
    <col min="43" max="43" width="10.42578125" customWidth="1"/>
    <col min="44" max="44" width="10.28515625" customWidth="1"/>
    <col min="45" max="45" width="12.28515625" style="336" customWidth="1"/>
    <col min="46" max="46" width="13.7109375" customWidth="1"/>
    <col min="47" max="47" width="12" style="336" customWidth="1"/>
    <col min="48" max="48" width="11.5703125" customWidth="1"/>
    <col min="49" max="49" width="11" customWidth="1"/>
    <col min="50" max="50" width="9.28515625" customWidth="1"/>
    <col min="51" max="52" width="10.42578125" customWidth="1"/>
    <col min="54" max="54" width="8.42578125" style="4" customWidth="1"/>
    <col min="55" max="55" width="7.28515625" customWidth="1"/>
    <col min="56" max="56" width="10.140625" style="9" customWidth="1"/>
    <col min="57" max="57" width="12.42578125" style="407" customWidth="1"/>
    <col min="58" max="58" width="11.42578125" style="407" customWidth="1"/>
    <col min="59" max="59" width="3.28515625" customWidth="1"/>
    <col min="60" max="60" width="7.85546875" style="387" customWidth="1"/>
    <col min="61" max="61" width="9.140625" style="336"/>
    <col min="62" max="62" width="10.28515625" style="336" customWidth="1"/>
    <col min="63" max="63" width="12.140625" style="336" customWidth="1"/>
    <col min="64" max="64" width="8.85546875" style="336" customWidth="1"/>
    <col min="65" max="65" width="7.85546875" customWidth="1"/>
    <col min="69" max="69" width="28.42578125" customWidth="1"/>
    <col min="72" max="72" width="12.42578125" bestFit="1" customWidth="1"/>
  </cols>
  <sheetData>
    <row r="1" spans="1:83" ht="12.75" customHeight="1" x14ac:dyDescent="0.2">
      <c r="A1" s="690" t="s">
        <v>902</v>
      </c>
      <c r="B1" s="690"/>
      <c r="C1" s="690"/>
      <c r="D1" s="690"/>
    </row>
    <row r="2" spans="1:83" ht="12.75" customHeight="1" x14ac:dyDescent="0.2">
      <c r="A2" s="690"/>
      <c r="B2" s="690"/>
      <c r="C2" s="690"/>
      <c r="D2" s="690"/>
      <c r="H2" s="617">
        <f>BD19</f>
        <v>0.92846034184641046</v>
      </c>
      <c r="I2" s="118" t="s">
        <v>934</v>
      </c>
      <c r="AI2" s="118"/>
      <c r="AJ2" s="118"/>
    </row>
    <row r="3" spans="1:83" ht="12.75" customHeight="1" x14ac:dyDescent="0.2">
      <c r="A3" s="690"/>
      <c r="B3" s="690"/>
      <c r="C3" s="690"/>
      <c r="D3" s="690"/>
      <c r="H3" s="617">
        <f>BD59</f>
        <v>0.97667277567837896</v>
      </c>
      <c r="I3" s="118" t="s">
        <v>936</v>
      </c>
      <c r="AI3" s="118"/>
      <c r="AJ3" s="118"/>
    </row>
    <row r="4" spans="1:83" ht="12.75" customHeight="1" x14ac:dyDescent="0.2">
      <c r="A4" s="690"/>
      <c r="B4" s="690"/>
      <c r="C4" s="690"/>
      <c r="D4" s="690"/>
      <c r="H4" s="617">
        <f>BD109</f>
        <v>0.97878719049907448</v>
      </c>
      <c r="I4" s="118" t="s">
        <v>935</v>
      </c>
      <c r="AI4" s="118"/>
      <c r="AJ4" s="118"/>
    </row>
    <row r="5" spans="1:83" x14ac:dyDescent="0.2">
      <c r="A5" s="10"/>
      <c r="B5" s="11"/>
      <c r="C5" s="6"/>
      <c r="D5" s="6"/>
    </row>
    <row r="6" spans="1:83" ht="13.5" customHeight="1" thickBot="1" x14ac:dyDescent="0.25">
      <c r="A6" s="691" t="s">
        <v>686</v>
      </c>
      <c r="B6" s="691"/>
      <c r="C6" s="691"/>
      <c r="D6" s="691"/>
      <c r="BV6">
        <v>80</v>
      </c>
      <c r="BW6">
        <v>100</v>
      </c>
      <c r="BX6">
        <v>120</v>
      </c>
      <c r="BY6">
        <v>140</v>
      </c>
      <c r="BZ6">
        <v>160</v>
      </c>
      <c r="CA6">
        <v>180</v>
      </c>
      <c r="CB6">
        <v>20</v>
      </c>
      <c r="CC6">
        <v>30</v>
      </c>
      <c r="CD6">
        <v>40</v>
      </c>
      <c r="CE6">
        <v>50</v>
      </c>
    </row>
    <row r="7" spans="1:83" ht="13.5" thickBot="1" x14ac:dyDescent="0.25">
      <c r="A7" s="691"/>
      <c r="B7" s="691"/>
      <c r="C7" s="691"/>
      <c r="D7" s="691"/>
      <c r="G7" s="687" t="s">
        <v>917</v>
      </c>
      <c r="H7" s="688"/>
      <c r="I7" s="688"/>
      <c r="J7" s="688"/>
      <c r="K7" s="688"/>
      <c r="L7" s="688"/>
      <c r="M7" s="688"/>
      <c r="N7" s="688"/>
      <c r="O7" s="688"/>
      <c r="P7" s="689"/>
      <c r="Q7" s="687" t="s">
        <v>698</v>
      </c>
      <c r="R7" s="688"/>
      <c r="S7" s="688"/>
      <c r="T7" s="689"/>
      <c r="U7" s="692" t="s">
        <v>27</v>
      </c>
      <c r="V7" s="693"/>
      <c r="W7" s="694"/>
      <c r="X7" s="687" t="s">
        <v>61</v>
      </c>
      <c r="Y7" s="688"/>
      <c r="Z7" s="689"/>
      <c r="AA7" s="687" t="s">
        <v>912</v>
      </c>
      <c r="AB7" s="688"/>
      <c r="AC7" s="688"/>
      <c r="AD7" s="688"/>
      <c r="AE7" s="689"/>
      <c r="AF7" s="687" t="s">
        <v>913</v>
      </c>
      <c r="AG7" s="688"/>
      <c r="AH7" s="688"/>
      <c r="AI7" s="689"/>
      <c r="AJ7" s="687" t="s">
        <v>914</v>
      </c>
      <c r="AK7" s="688"/>
      <c r="AL7" s="688"/>
      <c r="AM7" s="688"/>
      <c r="AN7" s="689"/>
      <c r="AO7" s="687" t="s">
        <v>915</v>
      </c>
      <c r="AP7" s="688"/>
      <c r="AQ7" s="688"/>
      <c r="AR7" s="689"/>
      <c r="AS7" s="511" t="s">
        <v>907</v>
      </c>
      <c r="AT7" s="509" t="s">
        <v>237</v>
      </c>
      <c r="AU7" s="512" t="s">
        <v>659</v>
      </c>
      <c r="AV7" s="510" t="s">
        <v>718</v>
      </c>
      <c r="AW7" s="510" t="s">
        <v>715</v>
      </c>
      <c r="AX7" s="695" t="s">
        <v>705</v>
      </c>
      <c r="AY7" s="696"/>
      <c r="AZ7" s="696"/>
      <c r="BA7" s="697"/>
      <c r="BB7" s="687" t="s">
        <v>713</v>
      </c>
      <c r="BC7" s="688"/>
      <c r="BD7" s="688"/>
      <c r="BE7" s="688"/>
      <c r="BF7" s="688"/>
      <c r="BG7" s="607"/>
      <c r="BH7" s="698" t="s">
        <v>714</v>
      </c>
      <c r="BI7" s="698"/>
      <c r="BJ7" s="698"/>
      <c r="BK7" s="698"/>
      <c r="BL7" s="698"/>
      <c r="BM7" s="698"/>
    </row>
    <row r="8" spans="1:83" ht="51.75" thickBot="1" x14ac:dyDescent="0.45">
      <c r="A8" s="13" t="s">
        <v>112</v>
      </c>
      <c r="B8" s="13"/>
      <c r="C8" s="13"/>
      <c r="D8" s="6"/>
      <c r="G8" s="494" t="s">
        <v>57</v>
      </c>
      <c r="H8" s="610" t="s">
        <v>4</v>
      </c>
      <c r="I8" s="602" t="s">
        <v>916</v>
      </c>
      <c r="J8" s="602" t="s">
        <v>918</v>
      </c>
      <c r="K8" s="495" t="s">
        <v>6</v>
      </c>
      <c r="L8" s="495" t="s">
        <v>414</v>
      </c>
      <c r="M8" s="495" t="s">
        <v>926</v>
      </c>
      <c r="N8" s="506" t="s">
        <v>922</v>
      </c>
      <c r="O8" s="613" t="s">
        <v>921</v>
      </c>
      <c r="P8" s="604" t="s">
        <v>699</v>
      </c>
      <c r="Q8" s="603" t="s">
        <v>911</v>
      </c>
      <c r="R8" s="508" t="s">
        <v>91</v>
      </c>
      <c r="S8" s="495" t="s">
        <v>910</v>
      </c>
      <c r="T8" s="496" t="s">
        <v>753</v>
      </c>
      <c r="U8" s="603" t="s">
        <v>701</v>
      </c>
      <c r="V8" s="497" t="s">
        <v>700</v>
      </c>
      <c r="W8" s="496" t="s">
        <v>752</v>
      </c>
      <c r="X8" s="507" t="s">
        <v>702</v>
      </c>
      <c r="Y8" s="495" t="s">
        <v>703</v>
      </c>
      <c r="Z8" s="496" t="s">
        <v>750</v>
      </c>
      <c r="AA8" s="494" t="s">
        <v>88</v>
      </c>
      <c r="AB8" s="495" t="s">
        <v>704</v>
      </c>
      <c r="AC8" s="495" t="s">
        <v>903</v>
      </c>
      <c r="AD8" s="498" t="s">
        <v>238</v>
      </c>
      <c r="AE8" s="496" t="s">
        <v>904</v>
      </c>
      <c r="AF8" s="494" t="s">
        <v>88</v>
      </c>
      <c r="AG8" s="495" t="s">
        <v>704</v>
      </c>
      <c r="AH8" s="495" t="s">
        <v>707</v>
      </c>
      <c r="AI8" s="499" t="s">
        <v>905</v>
      </c>
      <c r="AJ8" s="494" t="s">
        <v>88</v>
      </c>
      <c r="AK8" s="495" t="s">
        <v>704</v>
      </c>
      <c r="AL8" s="495" t="s">
        <v>903</v>
      </c>
      <c r="AM8" s="498" t="s">
        <v>238</v>
      </c>
      <c r="AN8" s="496" t="s">
        <v>904</v>
      </c>
      <c r="AO8" s="494" t="s">
        <v>88</v>
      </c>
      <c r="AP8" s="495" t="s">
        <v>704</v>
      </c>
      <c r="AQ8" s="495" t="s">
        <v>707</v>
      </c>
      <c r="AR8" s="499" t="s">
        <v>905</v>
      </c>
      <c r="AS8" s="508" t="s">
        <v>906</v>
      </c>
      <c r="AT8" s="496" t="s">
        <v>707</v>
      </c>
      <c r="AU8" s="513" t="s">
        <v>97</v>
      </c>
      <c r="AV8" s="514" t="s">
        <v>717</v>
      </c>
      <c r="AW8" s="514" t="s">
        <v>716</v>
      </c>
      <c r="AX8" s="500" t="s">
        <v>708</v>
      </c>
      <c r="AY8" s="501" t="s">
        <v>166</v>
      </c>
      <c r="AZ8" s="502" t="s">
        <v>240</v>
      </c>
      <c r="BA8" s="503" t="s">
        <v>706</v>
      </c>
      <c r="BB8" s="504" t="s">
        <v>58</v>
      </c>
      <c r="BC8" s="495" t="s">
        <v>396</v>
      </c>
      <c r="BD8" s="505" t="s">
        <v>710</v>
      </c>
      <c r="BE8" s="615" t="str">
        <f>IF(Vin&gt;Vout, "Buck ''CONTROL'' MOSFET Temp Rise", "Boost ''CONTROL'' MOSFET Temp Rise")</f>
        <v>Buck ''CONTROL'' MOSFET Temp Rise</v>
      </c>
      <c r="BF8" s="615" t="str">
        <f>IF(Vin&gt;Vout, "Buck ''SYNC'' MOSFET Temp Rise", "Boost ''SYNC'' MOSFET Temp Rise")</f>
        <v>Buck ''SYNC'' MOSFET Temp Rise</v>
      </c>
      <c r="BH8" s="608" t="s">
        <v>709</v>
      </c>
      <c r="BI8" s="609" t="s">
        <v>751</v>
      </c>
      <c r="BJ8" s="609" t="s">
        <v>928</v>
      </c>
      <c r="BK8" s="609" t="str">
        <f>IF(Vin&gt;Vout, "Buck ''Control'' MOSFET Loss", "Boost ''Control'' MOSFET Loss")</f>
        <v>Buck ''Control'' MOSFET Loss</v>
      </c>
      <c r="BL8" s="609" t="str">
        <f>IF(Vin&gt;Vout, "Buck ''SYNC'' MOSFET Loss", "Boost ''SYNC'' MOSFET Loss")</f>
        <v>Buck ''SYNC'' MOSFET Loss</v>
      </c>
      <c r="BM8" s="609" t="s">
        <v>884</v>
      </c>
      <c r="BN8" s="609"/>
      <c r="BT8" t="s">
        <v>132</v>
      </c>
      <c r="BV8" t="s">
        <v>124</v>
      </c>
      <c r="BW8" t="s">
        <v>125</v>
      </c>
      <c r="BX8" t="s">
        <v>126</v>
      </c>
      <c r="BY8" t="s">
        <v>127</v>
      </c>
      <c r="BZ8" t="s">
        <v>128</v>
      </c>
      <c r="CA8" t="s">
        <v>129</v>
      </c>
      <c r="CB8" t="s">
        <v>133</v>
      </c>
      <c r="CC8" t="s">
        <v>134</v>
      </c>
      <c r="CD8" t="s">
        <v>135</v>
      </c>
      <c r="CE8" t="s">
        <v>136</v>
      </c>
    </row>
    <row r="9" spans="1:83" x14ac:dyDescent="0.2">
      <c r="A9" s="14" t="s">
        <v>59</v>
      </c>
      <c r="B9" s="15" t="s">
        <v>115</v>
      </c>
      <c r="C9" s="16" t="s">
        <v>80</v>
      </c>
      <c r="D9" s="17" t="s">
        <v>111</v>
      </c>
      <c r="G9">
        <v>0</v>
      </c>
      <c r="H9" s="612">
        <f t="shared" ref="H9:H40" si="0">Vin</f>
        <v>19</v>
      </c>
      <c r="I9" s="4" t="str">
        <f t="shared" ref="I9:I40" si="1">IF(H9&gt;VIN_BB_to_buck, "BUCK", IF(H9&lt;VIN_boost_to_BB,"BOOST","BUCK-BST"))</f>
        <v>BUCK</v>
      </c>
      <c r="J9">
        <f>IF(I9="BOOST",2, IF(I9="BUCK", 1,3))</f>
        <v>1</v>
      </c>
      <c r="K9">
        <v>0</v>
      </c>
      <c r="L9" s="4">
        <f t="shared" ref="L9:L40" si="2">Vout*K9/(Vin*Efficiency)</f>
        <v>0</v>
      </c>
      <c r="M9" s="4">
        <f>K9/(1-O9)</f>
        <v>0</v>
      </c>
      <c r="N9" s="387">
        <f t="shared" ref="N9:N40" si="3">CHOOSE(J9,(Vout+(Rdson2+Rs+Rdcr)*K9)/(Vin+(Rs+Rdson2-Rdson1)*K9), 1, IF(Vin&lt;Vout, D_max_buck_BB, Vout/Vin*(1-D_min_boost_exitBB_to_buck)))</f>
        <v>0.63157894736842102</v>
      </c>
      <c r="O9" s="387">
        <f t="shared" ref="O9:O40" si="4">CHOOSE(J9,0,(Vout+(Rdson3+Rdcr)*L9-Vin)/(Vout+(Rdson3-Rdson4-Rs)*L9), IF(Vin&gt;Vout,D_min_boost_exitBB_to_buck, (Vout-Vin*D_max_buck_BB)/Vout))</f>
        <v>0</v>
      </c>
      <c r="P9" s="4">
        <f t="shared" ref="P9:P40" si="5">MAX(0, CHOOSE(J9, (Vin-(Rdson1+Rdcr)*K9-Vout)*N9/(Fsw*Lf), (Vin-(Rdson4+Rdcr+Rs)*L9)*O9/(Fsw*Lf), IF(Vin&lt;Vout, (Vin-(Rdson4+Rdcr+Rs)*L9)*O9/(0.5*Fsw*Lf),(Vin-(Rdson1+Rdcr)*K9-Vout)*N9/(0.5*Fsw*Lf))))</f>
        <v>4.1993281075027991</v>
      </c>
      <c r="Q9" s="4">
        <f t="shared" ref="Q9:Q40" si="6">CHOOSE(J9, SQRT(K9^2+(P9^2)/12), SQRT(L9^2+(P9^2)/12), SQRT(M9^2+(P9^2)/12))</f>
        <v>1.2122416066411514</v>
      </c>
      <c r="R9" s="387">
        <f t="shared" ref="R9:R73" si="7">(Q9^2*Rdcr*(1+Ltc*Ta-Ltc*25))/(1-Q9^2*Rdcr*Ltc*ThetaCa)</f>
        <v>8.8234020779621673E-3</v>
      </c>
      <c r="S9" s="387">
        <f>ABS(7.759*10^-3*Fsw^0.9458*(0.00787*P9)^2.304)</f>
        <v>0.34530462119415517</v>
      </c>
      <c r="T9" s="387">
        <f>R9+S9</f>
        <v>0.35412802327211734</v>
      </c>
      <c r="U9" s="4">
        <f t="shared" ref="U9:U40" si="8">IF(Vin&gt;Vout, P9/SQRT(12), SQRT(O9/(1-O9))*SQRT(K9^2+(P9^2)/12))</f>
        <v>1.2122416066411514</v>
      </c>
      <c r="V9" s="387">
        <f t="shared" ref="V9:V73" si="9">RCoutEsr*U9^2</f>
        <v>1.0286707990103441E-2</v>
      </c>
      <c r="W9" s="387">
        <f>V9</f>
        <v>1.0286707990103441E-2</v>
      </c>
      <c r="X9" s="4">
        <f t="shared" ref="X9:X40" si="10">IF(Vin&gt;Vout, SQRT(N9*(1-N9))*SQRT(K9^2+(P9^2)/12), P9/SQRT(12))</f>
        <v>0.58475672873767981</v>
      </c>
      <c r="Y9" s="387">
        <f t="shared" ref="Y9:Y73" si="11">RCinEsr*X9^2</f>
        <v>6.8388086360798492E-4</v>
      </c>
      <c r="Z9" s="605">
        <f>Y9</f>
        <v>6.8388086360798492E-4</v>
      </c>
      <c r="AA9" s="387">
        <f t="shared" ref="AA9:AA40" si="12">CHOOSE(J9, SQRT(N9)*SQRT(K9^2+(P9^2)/12), SQRT(L9^2+(P9^2)/12), SQRT(N9)*SQRT(M9^2+(P9^2)/12))</f>
        <v>0.96339193954603197</v>
      </c>
      <c r="AB9" s="387">
        <f t="shared" ref="AB9:AB40" si="13">Rdson1*AA9^2</f>
        <v>5.2903069663389124E-3</v>
      </c>
      <c r="AC9" s="387">
        <f t="shared" ref="AC9:AC40" si="14">CHOOSE(J9, (Vin*K9/2)*(Fsw)*(Tr_buck+Tf_buck), 0, (Vin*K9/2)*(Fsw/2)*(Tr_buck+Tf_buck))</f>
        <v>0</v>
      </c>
      <c r="AD9" s="387">
        <f t="shared" ref="AD9:AD40" si="15">CHOOSE(J9, IF(K9&gt;P9/2,0,ABS(K9-P9/2)*Vsd_Q1*Deadtime*Fsw),0, IF(K9&gt;P9/2,0,ABS(K9-P9/2)*Vsd_Q1*Deadtime*Fsw/2))</f>
        <v>1.8812989921612542E-2</v>
      </c>
      <c r="AE9" s="387">
        <f t="shared" ref="AE9:AE40" si="16">(AD9+AC9+AB9*(1+RdsonTopTc*Ta-RdsonTopTc*25))/(1-AB9*RdsonTopTc*ThetaJA_Q1)</f>
        <v>2.4128826667913626E-2</v>
      </c>
      <c r="AF9" s="387">
        <f t="shared" ref="AF9:AF40" si="17">CHOOSE(J9, SQRT((1-N9))*SQRT(K9^2+(P9^2)/12), 0, SQRT((1-N9))*SQRT(M9^2+(P9^2)/12))</f>
        <v>0.73580274781333543</v>
      </c>
      <c r="AG9" s="387">
        <f t="shared" ref="AG9:AG40" si="18">Rdson2*AF9^2</f>
        <v>3.086012397031033E-3</v>
      </c>
      <c r="AH9" s="387">
        <f t="shared" ref="AH9:AH40" si="19">CHOOSE(J9, IF(K9&lt;P9/2,Deadtime*Fsw*IF(VfdSky_Q2&gt;0,0,Vsd_Q2)*(K9+P9/2),2*Deadtime*Fsw*IF(VfdSky_Q2&gt;0,0,Vsd_Q2)*K9),0, IF(K9&lt;P9/2,Deadtime*Fsw/2*IF(VfdSky_Q2&gt;0,0,Vsd_Q2)*(K9+P9/2),2*Deadtime*Fsw/2*IF(VfdSky_Q2&gt;0,0,Vsd_Q2)*K9))</f>
        <v>1.8812989921612542E-2</v>
      </c>
      <c r="AI9" s="387">
        <f t="shared" ref="AI9:AI40" si="20">(AH9+AG9*(1+RdsonBotTc*Ta-RdsonBotTc*25))/(1-AG9*RdsonBotTc*ThetaJA_Q2)</f>
        <v>2.1912526784505025E-2</v>
      </c>
      <c r="AJ9" s="387">
        <f t="shared" ref="AJ9:AJ40" si="21">CHOOSE(J9, 0, SQRT(O9)*SQRT(L9^2+(P9^2)/12), SQRT(O9)*SQRT(M9^2+(P9^2)/12))</f>
        <v>0</v>
      </c>
      <c r="AK9" s="387">
        <f t="shared" ref="AK9:AK40" si="22">Rdson4*AJ9^2</f>
        <v>0</v>
      </c>
      <c r="AL9" s="387">
        <f t="shared" ref="AL9:AL40" si="23">CHOOSE(J9, 0, (Vout*L9/2)*(Fsw)*(Tr_boost+Tf_boost), (Vout*Iout/2)*(Fsw/2)*(Tr_boost+Tf_boost))</f>
        <v>0</v>
      </c>
      <c r="AM9" s="387">
        <f t="shared" ref="AM9:AM40" si="24">IF(H9&gt;Vout, 0, IF(L9&gt;P9/2,0,ABS(L9-P9/2)*Vsd_Q4*Deadtime*Fsw))</f>
        <v>0</v>
      </c>
      <c r="AN9" s="387">
        <f t="shared" ref="AN9:AN40" si="25">(AM9+AL9+AK9*(1+RdsonTopTc*Ta-RdsonTopTc*25))/(1-AK9*RdsonTopTc*ThetaJA_Q4)</f>
        <v>0</v>
      </c>
      <c r="AO9" s="387">
        <f>CHOOSE(J9, SQRT(K9^2+(P9^2)/12), SQRT(1-O9)*SQRT(L9^2+(P9^2)/12), SQRT(1-O9)*SQRT(M9^2+(P9^2)/12))</f>
        <v>1.2122416066411514</v>
      </c>
      <c r="AP9" s="387">
        <f t="shared" ref="AP9:AP40" si="26">Rdson3*AO9^2</f>
        <v>2.792106454456648E-3</v>
      </c>
      <c r="AQ9" s="387">
        <f t="shared" ref="AQ9:AQ40" si="27">CHOOSE(J9, 0, IF(L9&lt;P9/2,Deadtime*Fsw*IF(VfdSky_Q3&gt;0,0,Vsd_Q3)*(L9+P9/2), 2*Deadtime*Fsw*IF(VfdSky_Q3&gt;0,0,Vsd_Q3)*L9), IF(L9&lt;P9/2,Deadtime*Fsw/2*IF(VfdSky_Q3&gt;0,0,Vsd_Q3)*(L9+P9/2), 2*Deadtime*Fsw/2*IF(VfdSky_Q3&gt;0,0,Vsd_Q3)*L9))</f>
        <v>0</v>
      </c>
      <c r="AR9" s="387">
        <f t="shared" ref="AR9:AR40" si="28">(AQ9+AP9*(1+RdsonBotTc*Ta-RdsonBotTc*25))/(1-AP9*RdsonBotTc*ThetaJA_Q3)</f>
        <v>2.7936664973083948E-3</v>
      </c>
      <c r="AS9" s="387">
        <f t="shared" ref="AS9:AS40" si="29">CHOOSE(J9, Rdson3*Q9^2, Rdson1*Q9^2, 0)</f>
        <v>2.792106454456648E-3</v>
      </c>
      <c r="AT9" s="387">
        <f t="shared" ref="AT9:AT40" si="30">CHOOSE(J9, 2*Deadtime*Fsw*IF(VfdSky_Q2&gt;0,VfdSky_Q2,0)*K9, 2*Deadtime*Fsw*IF(VfdSky_Q3&gt;0,VfdSky_Q3,0)*L9, 2*Deadtime*Fsw/2*IF(VfdSky_Q2&gt;0,VfdSky_Q2,0)*K9+2*Deadtime*Fsw/2*IF(VfdSky_Q3&gt;0,VfdSky_Q3,0)*L9)</f>
        <v>0</v>
      </c>
      <c r="AU9" s="387">
        <f t="shared" ref="AU9:AU40" si="31">CHOOSE(J9, IF(QrrSky_Q2&gt;0,QrrSky_Q2,Qrr_Q2*K9/Iout)*Fsw*(Vin-K9*Rdson1), IF(QrrSky_Q3&gt;0,QrrSky_Q3,Qrr_Q3)*Fsw*Vout,  IF(QrrSky_Q2&gt;0,QrrSky_Q2,Qrr_Q2*K9/Iout)*Fsw/2*(Vin-K9*Rdson1)+IF(QrrSky_Q3&gt;0,QrrSky_Q3,Qrr_Q3)*Fsw/2*Vout)</f>
        <v>0</v>
      </c>
      <c r="AV9" s="387">
        <f t="shared" ref="AV9:AV40" si="32">CHOOSE(J9, Rs*AF9^2, Rs*AJ9^2, Rs*(AF9^2+AJ9^2))</f>
        <v>4.3312454695172394E-3</v>
      </c>
      <c r="AW9" s="387">
        <f t="shared" ref="AW9:AW72" si="33">Rshunt_std/1000*Iout^2</f>
        <v>0</v>
      </c>
      <c r="AX9" s="387">
        <f t="shared" ref="AX9:AX40" si="34">IF(Vout&gt;8, Iq*Vout, Iq*Vin)</f>
        <v>3.6000000000000004E-2</v>
      </c>
      <c r="AY9" s="387">
        <f t="shared" ref="AY9:AY40" si="35">CHOOSE(J9, (Qg_Q1+Qg_Q2)*Fsw, (Qg_Q3+Qg_Q4)*Fsw, (Qg_Q1+Qg_Q2+Qg_Q3+Qg_Q4)*Fsw/2)*IF(Vout&gt;8, Vout, Vin)</f>
        <v>5.9136000000000001E-2</v>
      </c>
      <c r="AZ9" s="387">
        <f t="shared" ref="AZ9:AZ72" si="36">(Vin-Vdd)*Fsw*(Qg_Q1+Qg_Q2)+(RdsonDRT+RdsonDRT2)*Fsw*Qg_Q1*Vdd/(RdsonDRT+2*Rgate1+RdsonDRT2)+(RdsonDRB+RdsonDRB2)*Fsw*Qg_Q2*Vdd/(RdsonDRB+2*Rgate2+RdsonDRB2)</f>
        <v>7.3471999999999996E-2</v>
      </c>
      <c r="BA9" s="387">
        <f>SUM(AX9:AY9)</f>
        <v>9.5135999999999998E-2</v>
      </c>
      <c r="BB9" s="387">
        <f>SUM(T9,W9,Z9,AE9,AI9,AN9,AR9, AT9,AU9,BA9,AV9,AW9)</f>
        <v>0.51340087754507302</v>
      </c>
      <c r="BC9">
        <f t="shared" ref="BC9:BC40" si="37">Vout*K9</f>
        <v>0</v>
      </c>
      <c r="BD9" s="606">
        <f>BC9/(BC9+BB9)</f>
        <v>0</v>
      </c>
      <c r="BE9" s="616">
        <f t="shared" ref="BE9:BE40" si="38">IF(Vin&gt;Vout,ThetaJA_Q1*BK9,ThetaJA_Q4*BK9)</f>
        <v>1.2064413333956814</v>
      </c>
      <c r="BF9" s="616">
        <f t="shared" ref="BF9:BF40" si="39">IF(Vin&gt;Vout, ThetaJA_Q2*BL9, ThetaJA_Q3*BL9)</f>
        <v>1.0956263392252512</v>
      </c>
      <c r="BH9" s="4">
        <f>BD9*100</f>
        <v>0</v>
      </c>
      <c r="BI9" s="387">
        <f>T9</f>
        <v>0.35412802327211734</v>
      </c>
      <c r="BJ9" s="387">
        <f>AE9+AI9+AN9+AR9+AU9</f>
        <v>4.8835019949727047E-2</v>
      </c>
      <c r="BK9" s="387">
        <f t="shared" ref="BK9:BK40" si="40">IF(Vin&gt;Vout, AE9+AU9*0.66, AN9+AU9*0.66)</f>
        <v>2.4128826667913626E-2</v>
      </c>
      <c r="BL9" s="387">
        <f t="shared" ref="BL9:BL40" si="41">IF(Vin&gt;Vout, AI9+AU9*0.33, AR9+AU9*0.33)</f>
        <v>2.1912526784505025E-2</v>
      </c>
      <c r="BM9" s="387">
        <f>AV9</f>
        <v>4.3312454695172394E-3</v>
      </c>
      <c r="BQ9" t="s">
        <v>137</v>
      </c>
      <c r="BR9" s="18">
        <v>70</v>
      </c>
      <c r="BS9" s="18">
        <v>70</v>
      </c>
      <c r="BT9" s="18">
        <v>70</v>
      </c>
      <c r="BU9" s="19">
        <f>250000*(5-Vdd)*BT9/1000000000+((250000*BT9/1000000000*Vdd)*2.5/(2*4))</f>
        <v>-2.7343749999999972E-3</v>
      </c>
      <c r="BV9">
        <f t="shared" ref="BV9:CE17" si="42">BV$6*$BU9</f>
        <v>-0.21874999999999978</v>
      </c>
      <c r="BW9">
        <f t="shared" si="42"/>
        <v>-0.27343749999999972</v>
      </c>
      <c r="BX9">
        <f t="shared" si="42"/>
        <v>-0.32812499999999967</v>
      </c>
      <c r="BY9">
        <f t="shared" si="42"/>
        <v>-0.38281249999999961</v>
      </c>
      <c r="BZ9">
        <f t="shared" si="42"/>
        <v>-0.43749999999999956</v>
      </c>
      <c r="CA9">
        <f t="shared" si="42"/>
        <v>-0.4921874999999995</v>
      </c>
      <c r="CB9">
        <f t="shared" si="42"/>
        <v>-5.4687499999999944E-2</v>
      </c>
      <c r="CC9">
        <f t="shared" si="42"/>
        <v>-8.2031249999999917E-2</v>
      </c>
      <c r="CD9">
        <f t="shared" si="42"/>
        <v>-0.10937499999999989</v>
      </c>
      <c r="CE9">
        <f t="shared" si="42"/>
        <v>-0.13671874999999986</v>
      </c>
    </row>
    <row r="10" spans="1:83" x14ac:dyDescent="0.2">
      <c r="A10" s="548"/>
      <c r="B10" s="24"/>
      <c r="C10" s="16"/>
      <c r="D10" s="17"/>
      <c r="G10">
        <v>1</v>
      </c>
      <c r="H10" s="612">
        <f t="shared" si="0"/>
        <v>19</v>
      </c>
      <c r="I10" s="4" t="str">
        <f t="shared" si="1"/>
        <v>BUCK</v>
      </c>
      <c r="J10">
        <f t="shared" ref="J10:J73" si="43">IF(I10="BOOST",2, IF(I10="BUCK", 1,3))</f>
        <v>1</v>
      </c>
      <c r="K10" s="387">
        <f t="shared" ref="K10:K41" si="44">Iout*G10/100</f>
        <v>0.06</v>
      </c>
      <c r="L10" s="4">
        <f t="shared" si="2"/>
        <v>3.9473684210526321E-2</v>
      </c>
      <c r="M10" s="4">
        <f>K10/(1-O10)</f>
        <v>0.06</v>
      </c>
      <c r="N10" s="387">
        <f t="shared" si="3"/>
        <v>0.63162520104755249</v>
      </c>
      <c r="O10" s="387">
        <f t="shared" si="4"/>
        <v>0</v>
      </c>
      <c r="P10" s="4">
        <f t="shared" si="5"/>
        <v>4.1992144818025565</v>
      </c>
      <c r="Q10" s="4">
        <f t="shared" si="6"/>
        <v>1.2136927900756818</v>
      </c>
      <c r="R10" s="387">
        <f t="shared" si="7"/>
        <v>8.8445547991857169E-3</v>
      </c>
      <c r="S10" s="387">
        <f t="shared" ref="S10:S73" si="45">7.759*10^-3*Fsw^0.9458*(0.00787*P10)^2.304</f>
        <v>0.34528309466720097</v>
      </c>
      <c r="T10" s="387">
        <f t="shared" ref="T10:T73" si="46">R10+S10</f>
        <v>0.3541276494663867</v>
      </c>
      <c r="U10" s="4">
        <f t="shared" si="8"/>
        <v>1.2122088057268405</v>
      </c>
      <c r="V10" s="387">
        <f t="shared" si="9"/>
        <v>1.0286151320771852E-2</v>
      </c>
      <c r="W10" s="387">
        <f t="shared" ref="W10:W73" si="47">V10</f>
        <v>1.0286151320771852E-2</v>
      </c>
      <c r="X10" s="4">
        <f t="shared" si="10"/>
        <v>0.58544142964216139</v>
      </c>
      <c r="Y10" s="387">
        <f t="shared" si="11"/>
        <v>6.8548333508291559E-4</v>
      </c>
      <c r="Z10" s="605">
        <f t="shared" ref="Z10:Z73" si="48">Y10</f>
        <v>6.8548333508291559E-4</v>
      </c>
      <c r="AA10" s="387">
        <f t="shared" si="12"/>
        <v>0.96458054177927999</v>
      </c>
      <c r="AB10" s="387">
        <f t="shared" si="13"/>
        <v>5.3033690430014935E-3</v>
      </c>
      <c r="AC10" s="387">
        <f t="shared" si="14"/>
        <v>8.6683179340028664E-4</v>
      </c>
      <c r="AD10" s="387">
        <f t="shared" si="15"/>
        <v>1.8274880878475452E-2</v>
      </c>
      <c r="AE10" s="387">
        <f t="shared" si="16"/>
        <v>2.4471037503426395E-2</v>
      </c>
      <c r="AF10" s="387">
        <f t="shared" si="17"/>
        <v>0.73663733757018013</v>
      </c>
      <c r="AG10" s="387">
        <f t="shared" si="18"/>
        <v>3.093017032484156E-3</v>
      </c>
      <c r="AH10" s="387">
        <f t="shared" si="19"/>
        <v>1.9350080878475454E-2</v>
      </c>
      <c r="AI10" s="387">
        <f t="shared" si="20"/>
        <v>2.2456989881399905E-2</v>
      </c>
      <c r="AJ10" s="387">
        <f t="shared" si="21"/>
        <v>0</v>
      </c>
      <c r="AK10" s="387">
        <f t="shared" si="22"/>
        <v>0</v>
      </c>
      <c r="AL10" s="387">
        <f t="shared" si="23"/>
        <v>0</v>
      </c>
      <c r="AM10" s="387">
        <f t="shared" si="24"/>
        <v>0</v>
      </c>
      <c r="AN10" s="387">
        <f t="shared" si="25"/>
        <v>0</v>
      </c>
      <c r="AO10" s="387">
        <f t="shared" ref="AO10:AO73" si="49">CHOOSE(J10, SQRT(K10^2+(P10^2)/12), SQRT(1-O10)*SQRT(L10^2+(P10^2)/12), SQRT(1-O10)*SQRT(M10^2+(P10^2)/12))</f>
        <v>1.2136927900756818</v>
      </c>
      <c r="AP10" s="387">
        <f t="shared" si="26"/>
        <v>2.7987953584952163E-3</v>
      </c>
      <c r="AQ10" s="387">
        <f t="shared" si="27"/>
        <v>0</v>
      </c>
      <c r="AR10" s="387">
        <f t="shared" si="28"/>
        <v>2.8003628870252781E-3</v>
      </c>
      <c r="AS10" s="387">
        <f t="shared" si="29"/>
        <v>2.7987953584952163E-3</v>
      </c>
      <c r="AT10" s="387">
        <f t="shared" si="30"/>
        <v>0</v>
      </c>
      <c r="AU10" s="387">
        <f t="shared" si="31"/>
        <v>2.68123173696E-3</v>
      </c>
      <c r="AV10" s="387">
        <f t="shared" si="32"/>
        <v>4.3410765368198682E-3</v>
      </c>
      <c r="AW10" s="387">
        <f t="shared" si="33"/>
        <v>0</v>
      </c>
      <c r="AX10" s="387">
        <f t="shared" si="34"/>
        <v>3.6000000000000004E-2</v>
      </c>
      <c r="AY10" s="387">
        <f t="shared" si="35"/>
        <v>5.9136000000000001E-2</v>
      </c>
      <c r="AZ10" s="387">
        <f t="shared" si="36"/>
        <v>7.3471999999999996E-2</v>
      </c>
      <c r="BA10" s="387">
        <f t="shared" ref="BA10" si="50">SUM(AX10:AY10)</f>
        <v>9.5135999999999998E-2</v>
      </c>
      <c r="BB10" s="387">
        <f>SUM(T10,W10,Z10,AE10,AI10,AN10,AR10, AT10,AU10,BA10,AV10,AW10)</f>
        <v>0.51698598266787288</v>
      </c>
      <c r="BC10">
        <f t="shared" si="37"/>
        <v>0.72</v>
      </c>
      <c r="BD10" s="606">
        <f t="shared" ref="BD10:BD73" si="51">BC10/(BC10+BB10)</f>
        <v>0.58205995062865468</v>
      </c>
      <c r="BE10" s="616">
        <f t="shared" si="38"/>
        <v>1.3120325224909997</v>
      </c>
      <c r="BF10" s="616">
        <f t="shared" si="39"/>
        <v>1.1670898177298352</v>
      </c>
      <c r="BG10" s="9"/>
      <c r="BH10" s="4">
        <f t="shared" ref="BH10:BH73" si="52">BD10*100</f>
        <v>58.205995062865469</v>
      </c>
      <c r="BI10" s="387">
        <f t="shared" ref="BI10:BI73" si="53">T10</f>
        <v>0.3541276494663867</v>
      </c>
      <c r="BJ10" s="387">
        <f t="shared" ref="BJ10:BJ73" si="54">AE10+AI10+AN10+AR10+AU10</f>
        <v>5.2409622008811579E-2</v>
      </c>
      <c r="BK10" s="387">
        <f t="shared" si="40"/>
        <v>2.6240650449819995E-2</v>
      </c>
      <c r="BL10" s="387">
        <f t="shared" si="41"/>
        <v>2.3341796354596704E-2</v>
      </c>
      <c r="BM10" s="387">
        <f t="shared" ref="BM10:BM73" si="55">AV10</f>
        <v>4.3410765368198682E-3</v>
      </c>
      <c r="BR10" s="18"/>
      <c r="BS10" s="18"/>
      <c r="BT10" s="18"/>
      <c r="BU10" s="19"/>
    </row>
    <row r="11" spans="1:83" x14ac:dyDescent="0.2">
      <c r="A11" s="20" t="s">
        <v>4</v>
      </c>
      <c r="B11" s="5">
        <f>Vin</f>
        <v>19</v>
      </c>
      <c r="C11" s="483" t="s">
        <v>0</v>
      </c>
      <c r="D11" s="21" t="s">
        <v>4</v>
      </c>
      <c r="G11">
        <v>2</v>
      </c>
      <c r="H11" s="612">
        <f t="shared" si="0"/>
        <v>19</v>
      </c>
      <c r="I11" s="4" t="str">
        <f t="shared" si="1"/>
        <v>BUCK</v>
      </c>
      <c r="J11">
        <f t="shared" si="43"/>
        <v>1</v>
      </c>
      <c r="K11" s="387">
        <f t="shared" si="44"/>
        <v>0.12</v>
      </c>
      <c r="L11" s="4">
        <f t="shared" si="2"/>
        <v>7.8947368421052641E-2</v>
      </c>
      <c r="M11" s="4">
        <f t="shared" ref="M11:M74" si="56">K11/(1-O11)</f>
        <v>0.12</v>
      </c>
      <c r="N11" s="387">
        <f t="shared" si="3"/>
        <v>0.63167145238977407</v>
      </c>
      <c r="O11" s="387">
        <f t="shared" si="4"/>
        <v>0</v>
      </c>
      <c r="P11" s="4">
        <f t="shared" si="5"/>
        <v>4.1991007788841781</v>
      </c>
      <c r="Q11" s="4">
        <f t="shared" si="6"/>
        <v>1.218101232493483</v>
      </c>
      <c r="R11" s="387">
        <f t="shared" si="7"/>
        <v>8.9089687312890516E-3</v>
      </c>
      <c r="S11" s="387">
        <f t="shared" si="45"/>
        <v>0.34526155427149385</v>
      </c>
      <c r="T11" s="387">
        <f t="shared" si="46"/>
        <v>0.3541705230027829</v>
      </c>
      <c r="U11" s="4">
        <f t="shared" si="8"/>
        <v>1.2121759825215739</v>
      </c>
      <c r="V11" s="387">
        <f t="shared" si="9"/>
        <v>1.0285594288215003E-2</v>
      </c>
      <c r="W11" s="387">
        <f t="shared" si="47"/>
        <v>1.0285594288215003E-2</v>
      </c>
      <c r="X11" s="4">
        <f t="shared" si="10"/>
        <v>0.58755252616713594</v>
      </c>
      <c r="Y11" s="387">
        <f t="shared" si="11"/>
        <v>6.9043594201076604E-4</v>
      </c>
      <c r="Z11" s="605">
        <f t="shared" si="48"/>
        <v>6.9043594201076604E-4</v>
      </c>
      <c r="AA11" s="387">
        <f t="shared" si="12"/>
        <v>0.96811958862304814</v>
      </c>
      <c r="AB11" s="387">
        <f t="shared" si="13"/>
        <v>5.3423565658912622E-3</v>
      </c>
      <c r="AC11" s="387">
        <f t="shared" si="14"/>
        <v>1.7336635868005733E-3</v>
      </c>
      <c r="AD11" s="387">
        <f t="shared" si="15"/>
        <v>1.7736771489401115E-2</v>
      </c>
      <c r="AE11" s="387">
        <f t="shared" si="16"/>
        <v>2.4839331755512232E-2</v>
      </c>
      <c r="AF11" s="387">
        <f t="shared" si="17"/>
        <v>0.73926657893244596</v>
      </c>
      <c r="AG11" s="387">
        <f t="shared" si="18"/>
        <v>3.1151359259409491E-3</v>
      </c>
      <c r="AH11" s="387">
        <f t="shared" si="19"/>
        <v>1.9887171489401122E-2</v>
      </c>
      <c r="AI11" s="387">
        <f t="shared" si="20"/>
        <v>2.3016647412391882E-2</v>
      </c>
      <c r="AJ11" s="387">
        <f t="shared" si="21"/>
        <v>0</v>
      </c>
      <c r="AK11" s="387">
        <f t="shared" si="22"/>
        <v>0</v>
      </c>
      <c r="AL11" s="387">
        <f t="shared" si="23"/>
        <v>0</v>
      </c>
      <c r="AM11" s="387">
        <f t="shared" si="24"/>
        <v>0</v>
      </c>
      <c r="AN11" s="387">
        <f t="shared" si="25"/>
        <v>0</v>
      </c>
      <c r="AO11" s="387">
        <f t="shared" si="49"/>
        <v>1.218101232493483</v>
      </c>
      <c r="AP11" s="387">
        <f t="shared" si="26"/>
        <v>2.8191641639440704E-3</v>
      </c>
      <c r="AQ11" s="387">
        <f t="shared" si="27"/>
        <v>0</v>
      </c>
      <c r="AR11" s="387">
        <f t="shared" si="28"/>
        <v>2.8207545979996628E-3</v>
      </c>
      <c r="AS11" s="387">
        <f t="shared" si="29"/>
        <v>2.8191641639440704E-3</v>
      </c>
      <c r="AT11" s="387">
        <f t="shared" si="30"/>
        <v>0</v>
      </c>
      <c r="AU11" s="387">
        <f t="shared" si="31"/>
        <v>5.3623669478400004E-3</v>
      </c>
      <c r="AV11" s="387">
        <f t="shared" si="32"/>
        <v>4.3721205978118583E-3</v>
      </c>
      <c r="AW11" s="387">
        <f t="shared" si="33"/>
        <v>0</v>
      </c>
      <c r="AX11" s="387">
        <f t="shared" si="34"/>
        <v>3.6000000000000004E-2</v>
      </c>
      <c r="AY11" s="387">
        <f t="shared" si="35"/>
        <v>5.9136000000000001E-2</v>
      </c>
      <c r="AZ11" s="387">
        <f t="shared" si="36"/>
        <v>7.3471999999999996E-2</v>
      </c>
      <c r="BA11" s="387">
        <f t="shared" ref="BA11:BA74" si="57">SUM(AX11:AY11)</f>
        <v>9.5135999999999998E-2</v>
      </c>
      <c r="BB11" s="387">
        <f t="shared" ref="BB11:BB74" si="58">SUM(T11,W11,Z11,AE11,AI11,AN11,AR11, AT11,AU11,BA11,AV11,AW11)</f>
        <v>0.52069377454456445</v>
      </c>
      <c r="BC11">
        <f t="shared" si="37"/>
        <v>1.44</v>
      </c>
      <c r="BD11" s="606">
        <f t="shared" si="51"/>
        <v>0.73443391247288847</v>
      </c>
      <c r="BE11" s="616">
        <f t="shared" si="38"/>
        <v>1.4189246970543317</v>
      </c>
      <c r="BF11" s="616">
        <f t="shared" si="39"/>
        <v>1.2393114252589541</v>
      </c>
      <c r="BG11" s="9"/>
      <c r="BH11" s="4">
        <f t="shared" si="52"/>
        <v>73.443391247288844</v>
      </c>
      <c r="BI11" s="387">
        <f t="shared" si="53"/>
        <v>0.3541705230027829</v>
      </c>
      <c r="BJ11" s="387">
        <f t="shared" si="54"/>
        <v>5.6039100713743781E-2</v>
      </c>
      <c r="BK11" s="387">
        <f t="shared" si="40"/>
        <v>2.8378493941086633E-2</v>
      </c>
      <c r="BL11" s="387">
        <f t="shared" si="41"/>
        <v>2.4786228505179083E-2</v>
      </c>
      <c r="BM11" s="387">
        <f t="shared" si="55"/>
        <v>4.3721205978118583E-3</v>
      </c>
      <c r="BQ11" t="s">
        <v>138</v>
      </c>
      <c r="BR11" s="18">
        <v>90</v>
      </c>
      <c r="BS11" s="18">
        <v>90</v>
      </c>
      <c r="BT11" s="18">
        <v>90</v>
      </c>
      <c r="BU11" s="19">
        <f>250000*(12-Vdd)*BT11/1000000000+((250000*BT9/1000000000*Vdd)*2.5/(2*4))</f>
        <v>0.14226562500000001</v>
      </c>
      <c r="BV11">
        <f t="shared" si="42"/>
        <v>11.381250000000001</v>
      </c>
      <c r="BW11">
        <f t="shared" si="42"/>
        <v>14.2265625</v>
      </c>
      <c r="BX11">
        <f t="shared" si="42"/>
        <v>17.071875000000002</v>
      </c>
      <c r="BY11">
        <f t="shared" si="42"/>
        <v>19.917187500000001</v>
      </c>
      <c r="BZ11">
        <f t="shared" si="42"/>
        <v>22.762500000000003</v>
      </c>
      <c r="CA11">
        <f t="shared" si="42"/>
        <v>25.607812500000001</v>
      </c>
      <c r="CB11">
        <f t="shared" si="42"/>
        <v>2.8453125000000004</v>
      </c>
      <c r="CC11">
        <f t="shared" si="42"/>
        <v>4.2679687500000005</v>
      </c>
      <c r="CD11">
        <f t="shared" si="42"/>
        <v>5.6906250000000007</v>
      </c>
      <c r="CE11">
        <f t="shared" si="42"/>
        <v>7.11328125</v>
      </c>
    </row>
    <row r="12" spans="1:83" x14ac:dyDescent="0.2">
      <c r="A12" s="22" t="s">
        <v>5</v>
      </c>
      <c r="B12" s="5">
        <f>Vout</f>
        <v>12</v>
      </c>
      <c r="C12" s="483" t="s">
        <v>0</v>
      </c>
      <c r="D12" s="21" t="s">
        <v>5</v>
      </c>
      <c r="G12">
        <v>3</v>
      </c>
      <c r="H12" s="612">
        <f t="shared" si="0"/>
        <v>19</v>
      </c>
      <c r="I12" s="4" t="str">
        <f t="shared" si="1"/>
        <v>BUCK</v>
      </c>
      <c r="J12">
        <f t="shared" si="43"/>
        <v>1</v>
      </c>
      <c r="K12" s="387">
        <f t="shared" si="44"/>
        <v>0.18</v>
      </c>
      <c r="L12" s="4">
        <f t="shared" si="2"/>
        <v>0.11842105263157897</v>
      </c>
      <c r="M12" s="4">
        <f t="shared" si="56"/>
        <v>0.18</v>
      </c>
      <c r="N12" s="387">
        <f t="shared" si="3"/>
        <v>0.63171770139526273</v>
      </c>
      <c r="O12" s="387">
        <f t="shared" si="4"/>
        <v>0</v>
      </c>
      <c r="P12" s="4">
        <f t="shared" si="5"/>
        <v>4.1989869987535151</v>
      </c>
      <c r="Q12" s="4">
        <f t="shared" si="6"/>
        <v>1.2254350185308704</v>
      </c>
      <c r="R12" s="387">
        <f t="shared" si="7"/>
        <v>9.0166452109665379E-3</v>
      </c>
      <c r="S12" s="387">
        <f t="shared" si="45"/>
        <v>0.34524000000968691</v>
      </c>
      <c r="T12" s="387">
        <f t="shared" si="46"/>
        <v>0.35425664522065342</v>
      </c>
      <c r="U12" s="4">
        <f t="shared" si="8"/>
        <v>1.2121431370270404</v>
      </c>
      <c r="V12" s="387">
        <f t="shared" si="9"/>
        <v>1.0285036892492281E-2</v>
      </c>
      <c r="W12" s="387">
        <f t="shared" si="47"/>
        <v>1.0285036892492281E-2</v>
      </c>
      <c r="X12" s="4">
        <f t="shared" si="10"/>
        <v>0.59107451225859187</v>
      </c>
      <c r="Y12" s="387">
        <f t="shared" si="11"/>
        <v>6.9873815808346458E-4</v>
      </c>
      <c r="Z12" s="605">
        <f t="shared" si="48"/>
        <v>6.9873815808346458E-4</v>
      </c>
      <c r="AA12" s="387">
        <f t="shared" si="12"/>
        <v>0.97398397164628858</v>
      </c>
      <c r="AB12" s="387">
        <f t="shared" si="13"/>
        <v>5.4072752290361065E-3</v>
      </c>
      <c r="AC12" s="387">
        <f t="shared" si="14"/>
        <v>2.6004953802008604E-3</v>
      </c>
      <c r="AD12" s="387">
        <f t="shared" si="15"/>
        <v>1.7198661754415746E-2</v>
      </c>
      <c r="AE12" s="387">
        <f t="shared" si="16"/>
        <v>2.52337214990924E-2</v>
      </c>
      <c r="AF12" s="387">
        <f t="shared" si="17"/>
        <v>0.74367076560657996</v>
      </c>
      <c r="AG12" s="387">
        <f t="shared" si="18"/>
        <v>3.152363383421898E-3</v>
      </c>
      <c r="AH12" s="387">
        <f t="shared" si="19"/>
        <v>2.0424261754415751E-2</v>
      </c>
      <c r="AI12" s="387">
        <f t="shared" si="20"/>
        <v>2.3591498933317134E-2</v>
      </c>
      <c r="AJ12" s="387">
        <f t="shared" si="21"/>
        <v>0</v>
      </c>
      <c r="AK12" s="387">
        <f t="shared" si="22"/>
        <v>0</v>
      </c>
      <c r="AL12" s="387">
        <f t="shared" si="23"/>
        <v>0</v>
      </c>
      <c r="AM12" s="387">
        <f t="shared" si="24"/>
        <v>0</v>
      </c>
      <c r="AN12" s="387">
        <f t="shared" si="25"/>
        <v>0</v>
      </c>
      <c r="AO12" s="387">
        <f t="shared" si="49"/>
        <v>1.2254350185308704</v>
      </c>
      <c r="AP12" s="387">
        <f t="shared" si="26"/>
        <v>2.8532128708193341E-3</v>
      </c>
      <c r="AQ12" s="387">
        <f t="shared" si="27"/>
        <v>0</v>
      </c>
      <c r="AR12" s="387">
        <f t="shared" si="28"/>
        <v>2.8548419651871796E-3</v>
      </c>
      <c r="AS12" s="387">
        <f t="shared" si="29"/>
        <v>2.8532128708193341E-3</v>
      </c>
      <c r="AT12" s="387">
        <f t="shared" si="30"/>
        <v>0</v>
      </c>
      <c r="AU12" s="387">
        <f t="shared" si="31"/>
        <v>8.0434056326399994E-3</v>
      </c>
      <c r="AV12" s="387">
        <f t="shared" si="32"/>
        <v>4.4243696609430148E-3</v>
      </c>
      <c r="AW12" s="387">
        <f t="shared" si="33"/>
        <v>0</v>
      </c>
      <c r="AX12" s="387">
        <f t="shared" si="34"/>
        <v>3.6000000000000004E-2</v>
      </c>
      <c r="AY12" s="387">
        <f t="shared" si="35"/>
        <v>5.9136000000000001E-2</v>
      </c>
      <c r="AZ12" s="387">
        <f t="shared" si="36"/>
        <v>7.3471999999999996E-2</v>
      </c>
      <c r="BA12" s="387">
        <f t="shared" si="57"/>
        <v>9.5135999999999998E-2</v>
      </c>
      <c r="BB12" s="387">
        <f t="shared" si="58"/>
        <v>0.52452425796240898</v>
      </c>
      <c r="BC12">
        <f t="shared" si="37"/>
        <v>2.16</v>
      </c>
      <c r="BD12" s="606">
        <f t="shared" si="51"/>
        <v>0.80461183898538124</v>
      </c>
      <c r="BE12" s="616">
        <f t="shared" si="38"/>
        <v>1.5271184608317401</v>
      </c>
      <c r="BF12" s="616">
        <f t="shared" si="39"/>
        <v>1.3122911396044168</v>
      </c>
      <c r="BG12" s="9"/>
      <c r="BH12" s="4">
        <f t="shared" si="52"/>
        <v>80.461183898538124</v>
      </c>
      <c r="BI12" s="387">
        <f t="shared" si="53"/>
        <v>0.35425664522065342</v>
      </c>
      <c r="BJ12" s="387">
        <f t="shared" si="54"/>
        <v>5.9723468030236711E-2</v>
      </c>
      <c r="BK12" s="387">
        <f t="shared" si="40"/>
        <v>3.05423692166348E-2</v>
      </c>
      <c r="BL12" s="387">
        <f t="shared" si="41"/>
        <v>2.6245822792088334E-2</v>
      </c>
      <c r="BM12" s="387">
        <f t="shared" si="55"/>
        <v>4.4243696609430148E-3</v>
      </c>
      <c r="BQ12" t="s">
        <v>143</v>
      </c>
      <c r="BR12" s="18">
        <v>60</v>
      </c>
      <c r="BS12" s="18">
        <v>60</v>
      </c>
      <c r="BT12" s="18">
        <v>60</v>
      </c>
      <c r="BU12" s="19">
        <f>250000*(18-Vdd)*BT12/1000000000+((250000*BT9/1000000000*Vdd)*2.5/(2*4))</f>
        <v>0.198515625</v>
      </c>
      <c r="BV12">
        <f t="shared" si="42"/>
        <v>15.88125</v>
      </c>
      <c r="BW12">
        <f t="shared" si="42"/>
        <v>19.8515625</v>
      </c>
      <c r="BX12">
        <f t="shared" si="42"/>
        <v>23.821874999999999</v>
      </c>
      <c r="BY12">
        <f t="shared" si="42"/>
        <v>27.792187500000001</v>
      </c>
      <c r="BZ12">
        <f t="shared" si="42"/>
        <v>31.762499999999999</v>
      </c>
      <c r="CA12">
        <f t="shared" si="42"/>
        <v>35.732812500000001</v>
      </c>
      <c r="CB12">
        <f t="shared" si="42"/>
        <v>3.9703124999999999</v>
      </c>
      <c r="CC12">
        <f t="shared" si="42"/>
        <v>5.9554687499999996</v>
      </c>
      <c r="CD12">
        <f t="shared" si="42"/>
        <v>7.9406249999999998</v>
      </c>
      <c r="CE12">
        <f t="shared" si="42"/>
        <v>9.92578125</v>
      </c>
    </row>
    <row r="13" spans="1:83" x14ac:dyDescent="0.2">
      <c r="A13" s="22" t="s">
        <v>7</v>
      </c>
      <c r="B13" s="5">
        <f>Fsw/1000</f>
        <v>224</v>
      </c>
      <c r="C13" s="483" t="s">
        <v>3</v>
      </c>
      <c r="D13" s="21" t="s">
        <v>98</v>
      </c>
      <c r="G13">
        <v>4</v>
      </c>
      <c r="H13" s="612">
        <f t="shared" si="0"/>
        <v>19</v>
      </c>
      <c r="I13" s="4" t="str">
        <f t="shared" si="1"/>
        <v>BUCK</v>
      </c>
      <c r="J13">
        <f t="shared" si="43"/>
        <v>1</v>
      </c>
      <c r="K13" s="387">
        <f t="shared" si="44"/>
        <v>0.24</v>
      </c>
      <c r="L13" s="4">
        <f t="shared" si="2"/>
        <v>0.15789473684210528</v>
      </c>
      <c r="M13" s="4">
        <f t="shared" si="56"/>
        <v>0.24</v>
      </c>
      <c r="N13" s="387">
        <f t="shared" si="3"/>
        <v>0.63176394806419567</v>
      </c>
      <c r="O13" s="387">
        <f t="shared" si="4"/>
        <v>0</v>
      </c>
      <c r="P13" s="4">
        <f t="shared" si="5"/>
        <v>4.198873141416418</v>
      </c>
      <c r="Q13" s="4">
        <f t="shared" si="6"/>
        <v>1.2356420617674906</v>
      </c>
      <c r="R13" s="387">
        <f t="shared" si="7"/>
        <v>9.1675864726929648E-3</v>
      </c>
      <c r="S13" s="387">
        <f t="shared" si="45"/>
        <v>0.34521843188443169</v>
      </c>
      <c r="T13" s="387">
        <f t="shared" si="46"/>
        <v>0.35438601835712463</v>
      </c>
      <c r="U13" s="4">
        <f t="shared" si="8"/>
        <v>1.2121102692449293</v>
      </c>
      <c r="V13" s="387">
        <f t="shared" si="9"/>
        <v>1.0284479133663106E-2</v>
      </c>
      <c r="W13" s="387">
        <f t="shared" si="47"/>
        <v>1.0284479133663106E-2</v>
      </c>
      <c r="X13" s="4">
        <f t="shared" si="10"/>
        <v>0.59598215437903146</v>
      </c>
      <c r="Y13" s="387">
        <f t="shared" si="11"/>
        <v>7.1038945667654344E-4</v>
      </c>
      <c r="Z13" s="605">
        <f t="shared" si="48"/>
        <v>7.1038945667654344E-4</v>
      </c>
      <c r="AA13" s="387">
        <f t="shared" si="12"/>
        <v>0.98213254598103483</v>
      </c>
      <c r="AB13" s="387">
        <f t="shared" si="13"/>
        <v>5.4981307258885805E-3</v>
      </c>
      <c r="AC13" s="387">
        <f t="shared" si="14"/>
        <v>3.4673271736011466E-3</v>
      </c>
      <c r="AD13" s="387">
        <f t="shared" si="15"/>
        <v>1.6660551673545555E-2</v>
      </c>
      <c r="AE13" s="387">
        <f t="shared" si="16"/>
        <v>2.5654219623667599E-2</v>
      </c>
      <c r="AF13" s="387">
        <f t="shared" si="17"/>
        <v>0.7498179558625051</v>
      </c>
      <c r="AG13" s="387">
        <f t="shared" si="18"/>
        <v>3.2046937115228066E-3</v>
      </c>
      <c r="AH13" s="387">
        <f t="shared" si="19"/>
        <v>2.0961351673545552E-2</v>
      </c>
      <c r="AI13" s="387">
        <f t="shared" si="20"/>
        <v>2.4181544273642091E-2</v>
      </c>
      <c r="AJ13" s="387">
        <f t="shared" si="21"/>
        <v>0</v>
      </c>
      <c r="AK13" s="387">
        <f t="shared" si="22"/>
        <v>0</v>
      </c>
      <c r="AL13" s="387">
        <f t="shared" si="23"/>
        <v>0</v>
      </c>
      <c r="AM13" s="387">
        <f t="shared" si="24"/>
        <v>0</v>
      </c>
      <c r="AN13" s="387">
        <f t="shared" si="25"/>
        <v>0</v>
      </c>
      <c r="AO13" s="387">
        <f t="shared" si="49"/>
        <v>1.2356420617674906</v>
      </c>
      <c r="AP13" s="387">
        <f t="shared" si="26"/>
        <v>2.9009414791371286E-3</v>
      </c>
      <c r="AQ13" s="387">
        <f t="shared" si="27"/>
        <v>0</v>
      </c>
      <c r="AR13" s="387">
        <f t="shared" si="28"/>
        <v>2.9026255485075422E-3</v>
      </c>
      <c r="AS13" s="387">
        <f t="shared" si="29"/>
        <v>2.9009414791371286E-3</v>
      </c>
      <c r="AT13" s="387">
        <f t="shared" si="30"/>
        <v>0</v>
      </c>
      <c r="AU13" s="387">
        <f t="shared" si="31"/>
        <v>1.072434779136E-2</v>
      </c>
      <c r="AV13" s="387">
        <f t="shared" si="32"/>
        <v>4.4978157354706059E-3</v>
      </c>
      <c r="AW13" s="387">
        <f t="shared" si="33"/>
        <v>0</v>
      </c>
      <c r="AX13" s="387">
        <f t="shared" si="34"/>
        <v>3.6000000000000004E-2</v>
      </c>
      <c r="AY13" s="387">
        <f t="shared" si="35"/>
        <v>5.9136000000000001E-2</v>
      </c>
      <c r="AZ13" s="387">
        <f t="shared" si="36"/>
        <v>7.3471999999999996E-2</v>
      </c>
      <c r="BA13" s="387">
        <f t="shared" si="57"/>
        <v>9.5135999999999998E-2</v>
      </c>
      <c r="BB13" s="387">
        <f t="shared" si="58"/>
        <v>0.52847743992011209</v>
      </c>
      <c r="BC13">
        <f t="shared" si="37"/>
        <v>2.88</v>
      </c>
      <c r="BD13" s="606">
        <f t="shared" si="51"/>
        <v>0.84495204992980721</v>
      </c>
      <c r="BE13" s="616">
        <f t="shared" si="38"/>
        <v>1.6366144582982598</v>
      </c>
      <c r="BF13" s="616">
        <f t="shared" si="39"/>
        <v>1.3860289522395446</v>
      </c>
      <c r="BG13" s="9"/>
      <c r="BH13" s="4">
        <f t="shared" si="52"/>
        <v>84.495204992980717</v>
      </c>
      <c r="BI13" s="387">
        <f t="shared" si="53"/>
        <v>0.35438601835712463</v>
      </c>
      <c r="BJ13" s="387">
        <f t="shared" si="54"/>
        <v>6.3462737237177241E-2</v>
      </c>
      <c r="BK13" s="387">
        <f t="shared" si="40"/>
        <v>3.2732289165965198E-2</v>
      </c>
      <c r="BL13" s="387">
        <f t="shared" si="41"/>
        <v>2.7720579044790892E-2</v>
      </c>
      <c r="BM13" s="387">
        <f t="shared" si="55"/>
        <v>4.4978157354706059E-3</v>
      </c>
      <c r="BQ13" t="s">
        <v>139</v>
      </c>
      <c r="BR13" s="18">
        <v>30</v>
      </c>
      <c r="BS13" s="18">
        <v>30</v>
      </c>
      <c r="BT13" s="18">
        <v>30</v>
      </c>
      <c r="BU13" s="19">
        <f>500000*(5-Vdd)*BT13/1000000000+((500000*BT9/1000000000*Vdd)*2.5/(2*4))</f>
        <v>4.4531250000000001E-2</v>
      </c>
      <c r="BV13">
        <f t="shared" si="42"/>
        <v>3.5625</v>
      </c>
      <c r="BW13">
        <f t="shared" si="42"/>
        <v>4.453125</v>
      </c>
      <c r="BX13">
        <f t="shared" si="42"/>
        <v>5.34375</v>
      </c>
      <c r="BY13">
        <f t="shared" si="42"/>
        <v>6.234375</v>
      </c>
      <c r="BZ13">
        <f t="shared" si="42"/>
        <v>7.125</v>
      </c>
      <c r="CA13">
        <f t="shared" si="42"/>
        <v>8.015625</v>
      </c>
      <c r="CB13">
        <f t="shared" si="42"/>
        <v>0.890625</v>
      </c>
      <c r="CC13">
        <f t="shared" si="42"/>
        <v>1.3359375</v>
      </c>
      <c r="CD13">
        <f t="shared" si="42"/>
        <v>1.78125</v>
      </c>
      <c r="CE13">
        <f t="shared" si="42"/>
        <v>2.2265625</v>
      </c>
    </row>
    <row r="14" spans="1:83" x14ac:dyDescent="0.2">
      <c r="A14" s="22" t="s">
        <v>6</v>
      </c>
      <c r="B14" s="5">
        <f>Iout</f>
        <v>6</v>
      </c>
      <c r="C14" s="483" t="s">
        <v>2</v>
      </c>
      <c r="D14" s="21" t="s">
        <v>99</v>
      </c>
      <c r="G14">
        <v>5</v>
      </c>
      <c r="H14" s="612">
        <f t="shared" si="0"/>
        <v>19</v>
      </c>
      <c r="I14" s="4" t="str">
        <f t="shared" si="1"/>
        <v>BUCK</v>
      </c>
      <c r="J14">
        <f t="shared" si="43"/>
        <v>1</v>
      </c>
      <c r="K14" s="387">
        <f t="shared" si="44"/>
        <v>0.3</v>
      </c>
      <c r="L14" s="4">
        <f t="shared" si="2"/>
        <v>0.19736842105263158</v>
      </c>
      <c r="M14" s="4">
        <f t="shared" si="56"/>
        <v>0.3</v>
      </c>
      <c r="N14" s="387">
        <f t="shared" si="3"/>
        <v>0.63181019239674985</v>
      </c>
      <c r="O14" s="387">
        <f t="shared" si="4"/>
        <v>0</v>
      </c>
      <c r="P14" s="4">
        <f t="shared" si="5"/>
        <v>4.1987592068787398</v>
      </c>
      <c r="Q14" s="4">
        <f t="shared" si="6"/>
        <v>1.2486519022980005</v>
      </c>
      <c r="R14" s="387">
        <f t="shared" si="7"/>
        <v>9.361795648839516E-3</v>
      </c>
      <c r="S14" s="387">
        <f t="shared" si="45"/>
        <v>0.34519684989838179</v>
      </c>
      <c r="T14" s="387">
        <f t="shared" si="46"/>
        <v>0.35455864554722127</v>
      </c>
      <c r="U14" s="4">
        <f t="shared" si="8"/>
        <v>1.2120773791769301</v>
      </c>
      <c r="V14" s="387">
        <f t="shared" si="9"/>
        <v>1.028392101178691E-2</v>
      </c>
      <c r="W14" s="387">
        <f t="shared" si="47"/>
        <v>1.028392101178691E-2</v>
      </c>
      <c r="X14" s="4">
        <f t="shared" si="10"/>
        <v>0.60224135977580828</v>
      </c>
      <c r="Y14" s="387">
        <f t="shared" si="11"/>
        <v>7.2538931084922906E-4</v>
      </c>
      <c r="Z14" s="605">
        <f t="shared" si="48"/>
        <v>7.2538931084922906E-4</v>
      </c>
      <c r="AA14" s="387">
        <f t="shared" si="12"/>
        <v>0.99250955621596026</v>
      </c>
      <c r="AB14" s="387">
        <f t="shared" si="13"/>
        <v>5.6149287493260135E-3</v>
      </c>
      <c r="AC14" s="387">
        <f t="shared" si="14"/>
        <v>4.3341589670014341E-3</v>
      </c>
      <c r="AD14" s="387">
        <f t="shared" si="15"/>
        <v>1.6122441246816756E-2</v>
      </c>
      <c r="AE14" s="387">
        <f t="shared" si="16"/>
        <v>2.6100839834337679E-2</v>
      </c>
      <c r="AF14" s="387">
        <f t="shared" si="17"/>
        <v>0.75766506711898296</v>
      </c>
      <c r="AG14" s="387">
        <f t="shared" si="18"/>
        <v>3.272121217414754E-3</v>
      </c>
      <c r="AH14" s="387">
        <f t="shared" si="19"/>
        <v>2.1498441246816755E-2</v>
      </c>
      <c r="AI14" s="387">
        <f t="shared" si="20"/>
        <v>2.4786783536295626E-2</v>
      </c>
      <c r="AJ14" s="387">
        <f t="shared" si="21"/>
        <v>0</v>
      </c>
      <c r="AK14" s="387">
        <f t="shared" si="22"/>
        <v>0</v>
      </c>
      <c r="AL14" s="387">
        <f t="shared" si="23"/>
        <v>0</v>
      </c>
      <c r="AM14" s="387">
        <f t="shared" si="24"/>
        <v>0</v>
      </c>
      <c r="AN14" s="387">
        <f t="shared" si="25"/>
        <v>0</v>
      </c>
      <c r="AO14" s="387">
        <f t="shared" si="49"/>
        <v>1.2486519022980005</v>
      </c>
      <c r="AP14" s="387">
        <f t="shared" si="26"/>
        <v>2.962349988913589E-3</v>
      </c>
      <c r="AQ14" s="387">
        <f t="shared" si="27"/>
        <v>0</v>
      </c>
      <c r="AR14" s="387">
        <f t="shared" si="28"/>
        <v>2.964106132867557E-3</v>
      </c>
      <c r="AS14" s="387">
        <f t="shared" si="29"/>
        <v>2.962349988913589E-3</v>
      </c>
      <c r="AT14" s="387">
        <f t="shared" si="30"/>
        <v>0</v>
      </c>
      <c r="AU14" s="387">
        <f t="shared" si="31"/>
        <v>1.3405193423999999E-2</v>
      </c>
      <c r="AV14" s="387">
        <f t="shared" si="32"/>
        <v>4.5924508314593038E-3</v>
      </c>
      <c r="AW14" s="387">
        <f t="shared" si="33"/>
        <v>0</v>
      </c>
      <c r="AX14" s="387">
        <f t="shared" si="34"/>
        <v>3.6000000000000004E-2</v>
      </c>
      <c r="AY14" s="387">
        <f t="shared" si="35"/>
        <v>5.9136000000000001E-2</v>
      </c>
      <c r="AZ14" s="387">
        <f t="shared" si="36"/>
        <v>7.3471999999999996E-2</v>
      </c>
      <c r="BA14" s="387">
        <f t="shared" si="57"/>
        <v>9.5135999999999998E-2</v>
      </c>
      <c r="BB14" s="387">
        <f t="shared" si="58"/>
        <v>0.53255332962881774</v>
      </c>
      <c r="BC14">
        <f t="shared" si="37"/>
        <v>3.5999999999999996</v>
      </c>
      <c r="BD14" s="606">
        <f t="shared" si="51"/>
        <v>0.87113213378019461</v>
      </c>
      <c r="BE14" s="616">
        <f t="shared" si="38"/>
        <v>1.7474133747088838</v>
      </c>
      <c r="BF14" s="616">
        <f t="shared" si="39"/>
        <v>1.4605248683107812</v>
      </c>
      <c r="BG14" s="9"/>
      <c r="BH14" s="4">
        <f t="shared" si="52"/>
        <v>87.113213378019466</v>
      </c>
      <c r="BI14" s="387">
        <f t="shared" si="53"/>
        <v>0.35455864554722127</v>
      </c>
      <c r="BJ14" s="387">
        <f t="shared" si="54"/>
        <v>6.7256922927500865E-2</v>
      </c>
      <c r="BK14" s="387">
        <f t="shared" si="40"/>
        <v>3.4948267494177676E-2</v>
      </c>
      <c r="BL14" s="387">
        <f t="shared" si="41"/>
        <v>2.9210497366215626E-2</v>
      </c>
      <c r="BM14" s="387">
        <f t="shared" si="55"/>
        <v>4.5924508314593038E-3</v>
      </c>
      <c r="BQ14" t="s">
        <v>142</v>
      </c>
      <c r="BR14" s="18">
        <v>45</v>
      </c>
      <c r="BS14" s="18">
        <v>45</v>
      </c>
      <c r="BT14" s="18">
        <v>45</v>
      </c>
      <c r="BU14" s="19">
        <f>500000*(12-Vdd)*BT14/1000000000+((500000*BT9/1000000000*Vdd)*2.5/(2*4))</f>
        <v>0.18328125000000001</v>
      </c>
      <c r="BV14">
        <f t="shared" si="42"/>
        <v>14.662500000000001</v>
      </c>
      <c r="BW14">
        <f t="shared" si="42"/>
        <v>18.328125</v>
      </c>
      <c r="BX14">
        <f t="shared" si="42"/>
        <v>21.993750000000002</v>
      </c>
      <c r="BY14">
        <f t="shared" si="42"/>
        <v>25.659375000000001</v>
      </c>
      <c r="BZ14">
        <f t="shared" si="42"/>
        <v>29.325000000000003</v>
      </c>
      <c r="CA14">
        <f t="shared" si="42"/>
        <v>32.990625000000001</v>
      </c>
      <c r="CB14">
        <f t="shared" si="42"/>
        <v>3.6656250000000004</v>
      </c>
      <c r="CC14">
        <f t="shared" si="42"/>
        <v>5.4984375000000005</v>
      </c>
      <c r="CD14">
        <f t="shared" si="42"/>
        <v>7.3312500000000007</v>
      </c>
      <c r="CE14">
        <f t="shared" si="42"/>
        <v>9.1640625</v>
      </c>
    </row>
    <row r="15" spans="1:83" x14ac:dyDescent="0.2">
      <c r="A15" s="23" t="s">
        <v>87</v>
      </c>
      <c r="B15" s="5">
        <f>Ta</f>
        <v>25</v>
      </c>
      <c r="C15" s="483" t="s">
        <v>677</v>
      </c>
      <c r="D15" s="21" t="s">
        <v>100</v>
      </c>
      <c r="G15">
        <v>6</v>
      </c>
      <c r="H15" s="612">
        <f t="shared" si="0"/>
        <v>19</v>
      </c>
      <c r="I15" s="4" t="str">
        <f t="shared" si="1"/>
        <v>BUCK</v>
      </c>
      <c r="J15">
        <f t="shared" si="43"/>
        <v>1</v>
      </c>
      <c r="K15" s="387">
        <f t="shared" si="44"/>
        <v>0.36</v>
      </c>
      <c r="L15" s="4">
        <f t="shared" si="2"/>
        <v>0.23684210526315794</v>
      </c>
      <c r="M15" s="4">
        <f t="shared" si="56"/>
        <v>0.36</v>
      </c>
      <c r="N15" s="387">
        <f t="shared" si="3"/>
        <v>0.63185643439310246</v>
      </c>
      <c r="O15" s="387">
        <f t="shared" si="4"/>
        <v>0</v>
      </c>
      <c r="P15" s="4">
        <f t="shared" si="5"/>
        <v>4.1986451951463284</v>
      </c>
      <c r="Q15" s="4">
        <f t="shared" si="6"/>
        <v>1.2643780247854854</v>
      </c>
      <c r="R15" s="387">
        <f t="shared" si="7"/>
        <v>9.599276769836235E-3</v>
      </c>
      <c r="S15" s="387">
        <f t="shared" si="45"/>
        <v>0.34517525405419236</v>
      </c>
      <c r="T15" s="387">
        <f t="shared" si="46"/>
        <v>0.3547745308240286</v>
      </c>
      <c r="U15" s="4">
        <f t="shared" si="8"/>
        <v>1.2120444668247308</v>
      </c>
      <c r="V15" s="387">
        <f t="shared" si="9"/>
        <v>1.028336252692312E-2</v>
      </c>
      <c r="W15" s="387">
        <f t="shared" si="47"/>
        <v>1.028336252692312E-2</v>
      </c>
      <c r="X15" s="4">
        <f t="shared" si="10"/>
        <v>0.60981029564304889</v>
      </c>
      <c r="Y15" s="387">
        <f t="shared" si="11"/>
        <v>7.4373719334452535E-4</v>
      </c>
      <c r="Z15" s="605">
        <f t="shared" si="48"/>
        <v>7.4373719334452535E-4</v>
      </c>
      <c r="AA15" s="387">
        <f t="shared" si="12"/>
        <v>1.005046476332222</v>
      </c>
      <c r="AB15" s="387">
        <f t="shared" si="13"/>
        <v>5.7576749916505498E-3</v>
      </c>
      <c r="AC15" s="387">
        <f t="shared" si="14"/>
        <v>5.2009907604017207E-3</v>
      </c>
      <c r="AD15" s="387">
        <f t="shared" si="15"/>
        <v>1.5584330474255554E-2</v>
      </c>
      <c r="AE15" s="387">
        <f t="shared" si="16"/>
        <v>2.6573596652885129E-2</v>
      </c>
      <c r="AF15" s="387">
        <f t="shared" si="17"/>
        <v>0.76715928591957361</v>
      </c>
      <c r="AG15" s="387">
        <f t="shared" si="18"/>
        <v>3.3546402088439915E-3</v>
      </c>
      <c r="AH15" s="387">
        <f t="shared" si="19"/>
        <v>2.2035530474255553E-2</v>
      </c>
      <c r="AI15" s="387">
        <f t="shared" si="20"/>
        <v>2.5407217097513576E-2</v>
      </c>
      <c r="AJ15" s="387">
        <f t="shared" si="21"/>
        <v>0</v>
      </c>
      <c r="AK15" s="387">
        <f t="shared" si="22"/>
        <v>0</v>
      </c>
      <c r="AL15" s="387">
        <f t="shared" si="23"/>
        <v>0</v>
      </c>
      <c r="AM15" s="387">
        <f t="shared" si="24"/>
        <v>0</v>
      </c>
      <c r="AN15" s="387">
        <f t="shared" si="25"/>
        <v>0</v>
      </c>
      <c r="AO15" s="387">
        <f t="shared" si="49"/>
        <v>1.2643780247854854</v>
      </c>
      <c r="AP15" s="387">
        <f t="shared" si="26"/>
        <v>3.0374384001648469E-3</v>
      </c>
      <c r="AQ15" s="387">
        <f t="shared" si="27"/>
        <v>0</v>
      </c>
      <c r="AR15" s="387">
        <f t="shared" si="28"/>
        <v>3.0392847281933365E-3</v>
      </c>
      <c r="AS15" s="387">
        <f t="shared" si="29"/>
        <v>3.0374384001648469E-3</v>
      </c>
      <c r="AT15" s="387">
        <f t="shared" si="30"/>
        <v>0</v>
      </c>
      <c r="AU15" s="387">
        <f t="shared" si="31"/>
        <v>1.6085942530559998E-2</v>
      </c>
      <c r="AV15" s="387">
        <f t="shared" si="32"/>
        <v>4.7082669597810402E-3</v>
      </c>
      <c r="AW15" s="387">
        <f t="shared" si="33"/>
        <v>0</v>
      </c>
      <c r="AX15" s="387">
        <f t="shared" si="34"/>
        <v>3.6000000000000004E-2</v>
      </c>
      <c r="AY15" s="387">
        <f t="shared" si="35"/>
        <v>5.9136000000000001E-2</v>
      </c>
      <c r="AZ15" s="387">
        <f t="shared" si="36"/>
        <v>7.3471999999999996E-2</v>
      </c>
      <c r="BA15" s="387">
        <f t="shared" si="57"/>
        <v>9.5135999999999998E-2</v>
      </c>
      <c r="BB15" s="387">
        <f t="shared" si="58"/>
        <v>0.53675193851322922</v>
      </c>
      <c r="BC15">
        <f t="shared" si="37"/>
        <v>4.32</v>
      </c>
      <c r="BD15" s="606">
        <f t="shared" si="51"/>
        <v>0.8894833532145473</v>
      </c>
      <c r="BE15" s="616">
        <f t="shared" si="38"/>
        <v>1.8595159361527362</v>
      </c>
      <c r="BF15" s="616">
        <f t="shared" si="39"/>
        <v>1.5357789066299188</v>
      </c>
      <c r="BG15" s="9"/>
      <c r="BH15" s="4">
        <f t="shared" si="52"/>
        <v>88.948335321454735</v>
      </c>
      <c r="BI15" s="387">
        <f t="shared" si="53"/>
        <v>0.3547745308240286</v>
      </c>
      <c r="BJ15" s="387">
        <f t="shared" si="54"/>
        <v>7.1106041009152035E-2</v>
      </c>
      <c r="BK15" s="387">
        <f t="shared" si="40"/>
        <v>3.7190318723054727E-2</v>
      </c>
      <c r="BL15" s="387">
        <f t="shared" si="41"/>
        <v>3.0715578132598377E-2</v>
      </c>
      <c r="BM15" s="387">
        <f t="shared" si="55"/>
        <v>4.7082669597810402E-3</v>
      </c>
      <c r="BQ15" t="s">
        <v>140</v>
      </c>
      <c r="BR15" s="18">
        <v>20</v>
      </c>
      <c r="BS15" s="18">
        <v>20</v>
      </c>
      <c r="BT15" s="18">
        <v>20</v>
      </c>
      <c r="BU15" s="19">
        <f>1000000*(5-Vdd)*BT15/1000000000+((1000000*BT9/1000000000*Vdd)*2.5/(2*4))</f>
        <v>0.1140625</v>
      </c>
      <c r="BV15">
        <f t="shared" si="42"/>
        <v>9.125</v>
      </c>
      <c r="BW15">
        <f t="shared" si="42"/>
        <v>11.40625</v>
      </c>
      <c r="BX15">
        <f t="shared" si="42"/>
        <v>13.6875</v>
      </c>
      <c r="BY15">
        <f t="shared" si="42"/>
        <v>15.96875</v>
      </c>
      <c r="BZ15">
        <f t="shared" si="42"/>
        <v>18.25</v>
      </c>
      <c r="CA15">
        <f t="shared" si="42"/>
        <v>20.53125</v>
      </c>
      <c r="CB15">
        <f t="shared" si="42"/>
        <v>2.28125</v>
      </c>
      <c r="CC15">
        <f t="shared" si="42"/>
        <v>3.421875</v>
      </c>
      <c r="CD15">
        <f t="shared" si="42"/>
        <v>4.5625</v>
      </c>
      <c r="CE15">
        <f t="shared" si="42"/>
        <v>5.703125</v>
      </c>
    </row>
    <row r="16" spans="1:83" x14ac:dyDescent="0.2">
      <c r="A16" s="491" t="s">
        <v>688</v>
      </c>
      <c r="B16" s="5">
        <f>Vdd</f>
        <v>7.5</v>
      </c>
      <c r="C16" s="483" t="s">
        <v>0</v>
      </c>
      <c r="D16" s="483" t="s">
        <v>687</v>
      </c>
      <c r="G16">
        <v>7</v>
      </c>
      <c r="H16" s="612">
        <f t="shared" si="0"/>
        <v>19</v>
      </c>
      <c r="I16" s="4" t="str">
        <f t="shared" si="1"/>
        <v>BUCK</v>
      </c>
      <c r="J16">
        <f t="shared" si="43"/>
        <v>1</v>
      </c>
      <c r="K16" s="387">
        <f t="shared" si="44"/>
        <v>0.42</v>
      </c>
      <c r="L16" s="4">
        <f t="shared" si="2"/>
        <v>0.27631578947368424</v>
      </c>
      <c r="M16" s="4">
        <f t="shared" si="56"/>
        <v>0.42</v>
      </c>
      <c r="N16" s="387">
        <f t="shared" si="3"/>
        <v>0.63190267405343048</v>
      </c>
      <c r="O16" s="387">
        <f t="shared" si="4"/>
        <v>0</v>
      </c>
      <c r="P16" s="4">
        <f t="shared" si="5"/>
        <v>4.1985311062250332</v>
      </c>
      <c r="Q16" s="4">
        <f t="shared" si="6"/>
        <v>1.2827205284712646</v>
      </c>
      <c r="R16" s="387">
        <f t="shared" si="7"/>
        <v>9.880034764381181E-3</v>
      </c>
      <c r="S16" s="387">
        <f t="shared" si="45"/>
        <v>0.3451536443545169</v>
      </c>
      <c r="T16" s="387">
        <f t="shared" si="46"/>
        <v>0.3550336791188981</v>
      </c>
      <c r="U16" s="4">
        <f t="shared" si="8"/>
        <v>1.2120115321900202</v>
      </c>
      <c r="V16" s="387">
        <f t="shared" si="9"/>
        <v>1.0282803679131203E-2</v>
      </c>
      <c r="W16" s="387">
        <f t="shared" si="47"/>
        <v>1.0282803679131203E-2</v>
      </c>
      <c r="X16" s="4">
        <f t="shared" si="10"/>
        <v>0.61864067785318722</v>
      </c>
      <c r="Y16" s="387">
        <f t="shared" si="11"/>
        <v>7.6543257658930194E-4</v>
      </c>
      <c r="Z16" s="605">
        <f t="shared" si="48"/>
        <v>7.6543257658930194E-4</v>
      </c>
      <c r="AA16" s="387">
        <f t="shared" si="12"/>
        <v>1.0196641298227733</v>
      </c>
      <c r="AB16" s="387">
        <f t="shared" si="13"/>
        <v>5.9263751445892306E-3</v>
      </c>
      <c r="AC16" s="387">
        <f t="shared" si="14"/>
        <v>6.0678225538020074E-3</v>
      </c>
      <c r="AD16" s="387">
        <f t="shared" si="15"/>
        <v>1.504621935588815E-2</v>
      </c>
      <c r="AE16" s="387">
        <f t="shared" si="16"/>
        <v>2.7072505418922678E-2</v>
      </c>
      <c r="AF16" s="387">
        <f t="shared" si="17"/>
        <v>0.77823969091428813</v>
      </c>
      <c r="AG16" s="387">
        <f t="shared" si="18"/>
        <v>3.4522449941318907E-3</v>
      </c>
      <c r="AH16" s="387">
        <f t="shared" si="19"/>
        <v>2.2572619355888151E-2</v>
      </c>
      <c r="AI16" s="387">
        <f t="shared" si="20"/>
        <v>2.6042845606695775E-2</v>
      </c>
      <c r="AJ16" s="387">
        <f t="shared" si="21"/>
        <v>0</v>
      </c>
      <c r="AK16" s="387">
        <f t="shared" si="22"/>
        <v>0</v>
      </c>
      <c r="AL16" s="387">
        <f t="shared" si="23"/>
        <v>0</v>
      </c>
      <c r="AM16" s="387">
        <f t="shared" si="24"/>
        <v>0</v>
      </c>
      <c r="AN16" s="387">
        <f t="shared" si="25"/>
        <v>0</v>
      </c>
      <c r="AO16" s="387">
        <f t="shared" si="49"/>
        <v>1.2827205284712646</v>
      </c>
      <c r="AP16" s="387">
        <f t="shared" si="26"/>
        <v>3.1262067129070406E-3</v>
      </c>
      <c r="AQ16" s="387">
        <f t="shared" si="27"/>
        <v>0</v>
      </c>
      <c r="AR16" s="387">
        <f t="shared" si="28"/>
        <v>3.1281625694717903E-3</v>
      </c>
      <c r="AS16" s="387">
        <f t="shared" si="29"/>
        <v>3.1262067129070406E-3</v>
      </c>
      <c r="AT16" s="387">
        <f t="shared" si="30"/>
        <v>0</v>
      </c>
      <c r="AU16" s="387">
        <f t="shared" si="31"/>
        <v>1.8766595111039997E-2</v>
      </c>
      <c r="AV16" s="387">
        <f t="shared" si="32"/>
        <v>4.8452561321149345E-3</v>
      </c>
      <c r="AW16" s="387">
        <f t="shared" si="33"/>
        <v>0</v>
      </c>
      <c r="AX16" s="387">
        <f t="shared" si="34"/>
        <v>3.6000000000000004E-2</v>
      </c>
      <c r="AY16" s="387">
        <f t="shared" si="35"/>
        <v>5.9136000000000001E-2</v>
      </c>
      <c r="AZ16" s="387">
        <f t="shared" si="36"/>
        <v>7.3471999999999996E-2</v>
      </c>
      <c r="BA16" s="387">
        <f t="shared" si="57"/>
        <v>9.5135999999999998E-2</v>
      </c>
      <c r="BB16" s="387">
        <f t="shared" si="58"/>
        <v>0.54107328021286383</v>
      </c>
      <c r="BC16">
        <f t="shared" si="37"/>
        <v>5.04</v>
      </c>
      <c r="BD16" s="606">
        <f t="shared" si="51"/>
        <v>0.90305210968449656</v>
      </c>
      <c r="BE16" s="616">
        <f t="shared" si="38"/>
        <v>1.9729229096104539</v>
      </c>
      <c r="BF16" s="616">
        <f t="shared" si="39"/>
        <v>1.6117910996669489</v>
      </c>
      <c r="BG16" s="9"/>
      <c r="BH16" s="4">
        <f t="shared" si="52"/>
        <v>90.305210968449657</v>
      </c>
      <c r="BI16" s="387">
        <f t="shared" si="53"/>
        <v>0.3550336791188981</v>
      </c>
      <c r="BJ16" s="387">
        <f t="shared" si="54"/>
        <v>7.5010108706130244E-2</v>
      </c>
      <c r="BK16" s="387">
        <f t="shared" si="40"/>
        <v>3.9458458192209077E-2</v>
      </c>
      <c r="BL16" s="387">
        <f t="shared" si="41"/>
        <v>3.2235821993338978E-2</v>
      </c>
      <c r="BM16" s="387">
        <f t="shared" si="55"/>
        <v>4.8452561321149345E-3</v>
      </c>
      <c r="BQ16" t="s">
        <v>141</v>
      </c>
      <c r="BR16" s="18">
        <v>25</v>
      </c>
      <c r="BS16" s="18">
        <v>25</v>
      </c>
      <c r="BT16" s="18">
        <v>25</v>
      </c>
      <c r="BU16" s="19">
        <f>1000000*(12-Vdd)*BT16/1000000000+((1000000*BT9/1000000000*Vdd)*2.5/(2*4))</f>
        <v>0.27656249999999999</v>
      </c>
      <c r="BV16">
        <f t="shared" si="42"/>
        <v>22.125</v>
      </c>
      <c r="BW16">
        <f t="shared" si="42"/>
        <v>27.65625</v>
      </c>
      <c r="BX16">
        <f t="shared" si="42"/>
        <v>33.1875</v>
      </c>
      <c r="BY16">
        <f t="shared" si="42"/>
        <v>38.71875</v>
      </c>
      <c r="BZ16">
        <f t="shared" si="42"/>
        <v>44.25</v>
      </c>
      <c r="CA16">
        <f t="shared" si="42"/>
        <v>49.78125</v>
      </c>
      <c r="CB16">
        <f t="shared" si="42"/>
        <v>5.53125</v>
      </c>
      <c r="CC16">
        <f t="shared" si="42"/>
        <v>8.296875</v>
      </c>
      <c r="CD16">
        <f t="shared" si="42"/>
        <v>11.0625</v>
      </c>
      <c r="CE16">
        <f t="shared" si="42"/>
        <v>13.828125</v>
      </c>
    </row>
    <row r="17" spans="1:83" x14ac:dyDescent="0.2">
      <c r="A17" s="24" t="s">
        <v>62</v>
      </c>
      <c r="B17" s="16" t="s">
        <v>115</v>
      </c>
      <c r="C17" s="24" t="s">
        <v>80</v>
      </c>
      <c r="D17" s="17" t="s">
        <v>111</v>
      </c>
      <c r="G17">
        <v>8</v>
      </c>
      <c r="H17" s="612">
        <f t="shared" si="0"/>
        <v>19</v>
      </c>
      <c r="I17" s="4" t="str">
        <f t="shared" si="1"/>
        <v>BUCK</v>
      </c>
      <c r="J17">
        <f t="shared" si="43"/>
        <v>1</v>
      </c>
      <c r="K17" s="387">
        <f t="shared" si="44"/>
        <v>0.48</v>
      </c>
      <c r="L17" s="4">
        <f t="shared" si="2"/>
        <v>0.31578947368421056</v>
      </c>
      <c r="M17" s="4">
        <f t="shared" si="56"/>
        <v>0.48</v>
      </c>
      <c r="N17" s="387">
        <f t="shared" si="3"/>
        <v>0.63194891137791098</v>
      </c>
      <c r="O17" s="387">
        <f t="shared" si="4"/>
        <v>0</v>
      </c>
      <c r="P17" s="4">
        <f t="shared" si="5"/>
        <v>4.1984169401207057</v>
      </c>
      <c r="Q17" s="4">
        <f t="shared" si="6"/>
        <v>1.303568972829737</v>
      </c>
      <c r="R17" s="387">
        <f t="shared" si="7"/>
        <v>1.0204075459696153E-2</v>
      </c>
      <c r="S17" s="387">
        <f t="shared" si="45"/>
        <v>0.34513202080201227</v>
      </c>
      <c r="T17" s="387">
        <f t="shared" si="46"/>
        <v>0.35533609626170842</v>
      </c>
      <c r="U17" s="4">
        <f t="shared" si="8"/>
        <v>1.2119785752744872</v>
      </c>
      <c r="V17" s="387">
        <f t="shared" si="9"/>
        <v>1.028224446847063E-2</v>
      </c>
      <c r="W17" s="387">
        <f t="shared" si="47"/>
        <v>1.028224446847063E-2</v>
      </c>
      <c r="X17" s="4">
        <f t="shared" si="10"/>
        <v>0.62867914419613968</v>
      </c>
      <c r="Y17" s="387">
        <f t="shared" si="11"/>
        <v>7.9047493269438125E-4</v>
      </c>
      <c r="Z17" s="605">
        <f t="shared" si="48"/>
        <v>7.9047493269438125E-4</v>
      </c>
      <c r="AA17" s="387">
        <f t="shared" si="12"/>
        <v>1.0362749499075905</v>
      </c>
      <c r="AB17" s="387">
        <f t="shared" si="13"/>
        <v>6.1210348992940819E-3</v>
      </c>
      <c r="AC17" s="387">
        <f t="shared" si="14"/>
        <v>6.9346543472022931E-3</v>
      </c>
      <c r="AD17" s="387">
        <f t="shared" si="15"/>
        <v>1.450810789174076E-2</v>
      </c>
      <c r="AE17" s="387">
        <f t="shared" si="16"/>
        <v>2.7597582291105132E-2</v>
      </c>
      <c r="AF17" s="387">
        <f t="shared" si="17"/>
        <v>0.79083898178984335</v>
      </c>
      <c r="AG17" s="387">
        <f t="shared" si="18"/>
        <v>3.5649298821748584E-3</v>
      </c>
      <c r="AH17" s="387">
        <f t="shared" si="19"/>
        <v>2.3109707891740765E-2</v>
      </c>
      <c r="AI17" s="387">
        <f t="shared" si="20"/>
        <v>2.6693669986275422E-2</v>
      </c>
      <c r="AJ17" s="387">
        <f t="shared" si="21"/>
        <v>0</v>
      </c>
      <c r="AK17" s="387">
        <f t="shared" si="22"/>
        <v>0</v>
      </c>
      <c r="AL17" s="387">
        <f t="shared" si="23"/>
        <v>0</v>
      </c>
      <c r="AM17" s="387">
        <f t="shared" si="24"/>
        <v>0</v>
      </c>
      <c r="AN17" s="387">
        <f t="shared" si="25"/>
        <v>0</v>
      </c>
      <c r="AO17" s="387">
        <f t="shared" si="49"/>
        <v>1.303568972829737</v>
      </c>
      <c r="AP17" s="387">
        <f t="shared" si="26"/>
        <v>3.2286549271563136E-3</v>
      </c>
      <c r="AQ17" s="387">
        <f t="shared" si="27"/>
        <v>0</v>
      </c>
      <c r="AR17" s="387">
        <f t="shared" si="28"/>
        <v>3.2307411168013391E-3</v>
      </c>
      <c r="AS17" s="387">
        <f t="shared" si="29"/>
        <v>3.2286549271563136E-3</v>
      </c>
      <c r="AT17" s="387">
        <f t="shared" si="30"/>
        <v>0</v>
      </c>
      <c r="AU17" s="387">
        <f t="shared" si="31"/>
        <v>2.1447151165440003E-2</v>
      </c>
      <c r="AV17" s="387">
        <f t="shared" si="32"/>
        <v>5.0034103609471695E-3</v>
      </c>
      <c r="AW17" s="387">
        <f t="shared" si="33"/>
        <v>0</v>
      </c>
      <c r="AX17" s="387">
        <f t="shared" si="34"/>
        <v>3.6000000000000004E-2</v>
      </c>
      <c r="AY17" s="387">
        <f t="shared" si="35"/>
        <v>5.9136000000000001E-2</v>
      </c>
      <c r="AZ17" s="387">
        <f t="shared" si="36"/>
        <v>7.3471999999999996E-2</v>
      </c>
      <c r="BA17" s="387">
        <f t="shared" si="57"/>
        <v>9.5135999999999998E-2</v>
      </c>
      <c r="BB17" s="387">
        <f t="shared" si="58"/>
        <v>0.54551737058344252</v>
      </c>
      <c r="BC17">
        <f t="shared" si="37"/>
        <v>5.76</v>
      </c>
      <c r="BD17" s="606">
        <f t="shared" si="51"/>
        <v>0.91348570806760521</v>
      </c>
      <c r="BE17" s="616">
        <f t="shared" si="38"/>
        <v>2.0876351030147768</v>
      </c>
      <c r="BF17" s="616">
        <f t="shared" si="39"/>
        <v>1.6885614935435314</v>
      </c>
      <c r="BG17" s="9"/>
      <c r="BH17" s="4">
        <f t="shared" si="52"/>
        <v>91.34857080676052</v>
      </c>
      <c r="BI17" s="387">
        <f t="shared" si="53"/>
        <v>0.35533609626170842</v>
      </c>
      <c r="BJ17" s="387">
        <f t="shared" si="54"/>
        <v>7.8969144559621895E-2</v>
      </c>
      <c r="BK17" s="387">
        <f t="shared" si="40"/>
        <v>4.1752702060295535E-2</v>
      </c>
      <c r="BL17" s="387">
        <f t="shared" si="41"/>
        <v>3.3771229870870625E-2</v>
      </c>
      <c r="BM17" s="387">
        <f t="shared" si="55"/>
        <v>5.0034103609471695E-3</v>
      </c>
      <c r="BQ17" t="s">
        <v>144</v>
      </c>
      <c r="BR17" s="18">
        <v>50</v>
      </c>
      <c r="BS17" s="18">
        <v>50</v>
      </c>
      <c r="BT17" s="18">
        <v>50</v>
      </c>
      <c r="BU17" s="19">
        <f>500000*(18-Vdd)*BT17/1000000000+((500000*BT15/1000000000*Vdd)*2.5/(2*4))</f>
        <v>0.28593750000000001</v>
      </c>
      <c r="BV17">
        <f t="shared" si="42"/>
        <v>22.875</v>
      </c>
      <c r="BW17">
        <f t="shared" si="42"/>
        <v>28.59375</v>
      </c>
      <c r="BX17">
        <f t="shared" si="42"/>
        <v>34.3125</v>
      </c>
      <c r="BY17">
        <f t="shared" si="42"/>
        <v>40.03125</v>
      </c>
      <c r="BZ17">
        <f t="shared" si="42"/>
        <v>45.75</v>
      </c>
      <c r="CA17">
        <f t="shared" si="42"/>
        <v>51.46875</v>
      </c>
      <c r="CB17">
        <f t="shared" si="42"/>
        <v>5.71875</v>
      </c>
      <c r="CC17">
        <f t="shared" si="42"/>
        <v>8.578125</v>
      </c>
      <c r="CD17">
        <f t="shared" si="42"/>
        <v>11.4375</v>
      </c>
      <c r="CE17">
        <f t="shared" si="42"/>
        <v>14.296875</v>
      </c>
    </row>
    <row r="18" spans="1:83" x14ac:dyDescent="0.2">
      <c r="A18" s="35" t="s">
        <v>60</v>
      </c>
      <c r="B18" s="38">
        <f>Lf*1000000</f>
        <v>4.7</v>
      </c>
      <c r="C18" s="484" t="s">
        <v>11</v>
      </c>
      <c r="D18" s="483" t="s">
        <v>680</v>
      </c>
      <c r="G18">
        <v>9</v>
      </c>
      <c r="H18" s="612">
        <f t="shared" si="0"/>
        <v>19</v>
      </c>
      <c r="I18" s="4" t="str">
        <f t="shared" si="1"/>
        <v>BUCK</v>
      </c>
      <c r="J18">
        <f t="shared" si="43"/>
        <v>1</v>
      </c>
      <c r="K18" s="387">
        <f t="shared" si="44"/>
        <v>0.54</v>
      </c>
      <c r="L18" s="4">
        <f t="shared" si="2"/>
        <v>0.35526315789473689</v>
      </c>
      <c r="M18" s="4">
        <f t="shared" si="56"/>
        <v>0.54</v>
      </c>
      <c r="N18" s="387">
        <f t="shared" si="3"/>
        <v>0.63199514636672083</v>
      </c>
      <c r="O18" s="387">
        <f t="shared" si="4"/>
        <v>0</v>
      </c>
      <c r="P18" s="4">
        <f t="shared" si="5"/>
        <v>4.1983026968391917</v>
      </c>
      <c r="Q18" s="4">
        <f t="shared" si="6"/>
        <v>1.3268052335807503</v>
      </c>
      <c r="R18" s="387">
        <f t="shared" si="7"/>
        <v>1.0571405581829096E-2</v>
      </c>
      <c r="S18" s="387">
        <f t="shared" si="45"/>
        <v>0.34511038339933375</v>
      </c>
      <c r="T18" s="387">
        <f t="shared" si="46"/>
        <v>0.35568178898116287</v>
      </c>
      <c r="U18" s="4">
        <f t="shared" si="8"/>
        <v>1.2119455960798196</v>
      </c>
      <c r="V18" s="387">
        <f t="shared" si="9"/>
        <v>1.0281684895000885E-2</v>
      </c>
      <c r="W18" s="387">
        <f t="shared" si="47"/>
        <v>1.0281684895000885E-2</v>
      </c>
      <c r="X18" s="4">
        <f t="shared" si="10"/>
        <v>0.63986863239833192</v>
      </c>
      <c r="Y18" s="387">
        <f t="shared" si="11"/>
        <v>8.1886373345462329E-4</v>
      </c>
      <c r="Z18" s="605">
        <f t="shared" si="48"/>
        <v>8.1886373345462329E-4</v>
      </c>
      <c r="AA18" s="387">
        <f t="shared" si="12"/>
        <v>1.054785248479948</v>
      </c>
      <c r="AB18" s="387">
        <f t="shared" si="13"/>
        <v>6.341659946342163E-3</v>
      </c>
      <c r="AC18" s="387">
        <f t="shared" si="14"/>
        <v>7.8014861406025824E-3</v>
      </c>
      <c r="AD18" s="387">
        <f t="shared" si="15"/>
        <v>1.396999608183958E-2</v>
      </c>
      <c r="AE18" s="387">
        <f t="shared" si="16"/>
        <v>2.8148844248405514E-2</v>
      </c>
      <c r="AF18" s="387">
        <f t="shared" si="17"/>
        <v>0.80488521383260847</v>
      </c>
      <c r="AG18" s="387">
        <f t="shared" si="18"/>
        <v>3.692689182444274E-3</v>
      </c>
      <c r="AH18" s="387">
        <f t="shared" si="19"/>
        <v>2.3646796081839581E-2</v>
      </c>
      <c r="AI18" s="387">
        <f t="shared" si="20"/>
        <v>2.735969143160075E-2</v>
      </c>
      <c r="AJ18" s="387">
        <f t="shared" si="21"/>
        <v>0</v>
      </c>
      <c r="AK18" s="387">
        <f t="shared" si="22"/>
        <v>0</v>
      </c>
      <c r="AL18" s="387">
        <f t="shared" si="23"/>
        <v>0</v>
      </c>
      <c r="AM18" s="387">
        <f t="shared" si="24"/>
        <v>0</v>
      </c>
      <c r="AN18" s="387">
        <f t="shared" si="25"/>
        <v>0</v>
      </c>
      <c r="AO18" s="387">
        <f t="shared" si="49"/>
        <v>1.3268052335807503</v>
      </c>
      <c r="AP18" s="387">
        <f t="shared" si="26"/>
        <v>3.3447830429288116E-3</v>
      </c>
      <c r="AQ18" s="387">
        <f t="shared" si="27"/>
        <v>0</v>
      </c>
      <c r="AR18" s="387">
        <f t="shared" si="28"/>
        <v>3.3470220554518886E-3</v>
      </c>
      <c r="AS18" s="387">
        <f t="shared" si="29"/>
        <v>3.3447830429288116E-3</v>
      </c>
      <c r="AT18" s="387">
        <f t="shared" si="30"/>
        <v>0</v>
      </c>
      <c r="AU18" s="387">
        <f t="shared" si="31"/>
        <v>2.4127610693759998E-2</v>
      </c>
      <c r="AV18" s="387">
        <f t="shared" si="32"/>
        <v>5.1827216595709104E-3</v>
      </c>
      <c r="AW18" s="387">
        <f t="shared" si="33"/>
        <v>0</v>
      </c>
      <c r="AX18" s="387">
        <f t="shared" si="34"/>
        <v>3.6000000000000004E-2</v>
      </c>
      <c r="AY18" s="387">
        <f t="shared" si="35"/>
        <v>5.9136000000000001E-2</v>
      </c>
      <c r="AZ18" s="387">
        <f t="shared" si="36"/>
        <v>7.3471999999999996E-2</v>
      </c>
      <c r="BA18" s="387">
        <f t="shared" si="57"/>
        <v>9.5135999999999998E-2</v>
      </c>
      <c r="BB18" s="387">
        <f t="shared" si="58"/>
        <v>0.55008422769840748</v>
      </c>
      <c r="BC18">
        <f t="shared" si="37"/>
        <v>6.48</v>
      </c>
      <c r="BD18" s="606">
        <f t="shared" si="51"/>
        <v>0.92175282544537862</v>
      </c>
      <c r="BE18" s="616">
        <f t="shared" si="38"/>
        <v>2.2036533653143557</v>
      </c>
      <c r="BF18" s="616">
        <f t="shared" si="39"/>
        <v>1.7660901480270774</v>
      </c>
      <c r="BG18" s="9"/>
      <c r="BH18" s="4">
        <f t="shared" si="52"/>
        <v>92.175282544537865</v>
      </c>
      <c r="BI18" s="387">
        <f t="shared" si="53"/>
        <v>0.35568178898116287</v>
      </c>
      <c r="BJ18" s="387">
        <f t="shared" si="54"/>
        <v>8.2983168429218157E-2</v>
      </c>
      <c r="BK18" s="387">
        <f t="shared" si="40"/>
        <v>4.4073067306287114E-2</v>
      </c>
      <c r="BL18" s="387">
        <f t="shared" si="41"/>
        <v>3.5321802960541548E-2</v>
      </c>
      <c r="BM18" s="387">
        <f t="shared" si="55"/>
        <v>5.1827216595709104E-3</v>
      </c>
      <c r="BQ18" t="s">
        <v>145</v>
      </c>
      <c r="BS18" s="18"/>
      <c r="BT18" s="19"/>
    </row>
    <row r="19" spans="1:83" x14ac:dyDescent="0.2">
      <c r="A19" s="35" t="s">
        <v>12</v>
      </c>
      <c r="B19" s="39">
        <f>Rdcr*1000</f>
        <v>6</v>
      </c>
      <c r="C19" s="485" t="s">
        <v>678</v>
      </c>
      <c r="D19" s="483" t="s">
        <v>681</v>
      </c>
      <c r="G19">
        <v>10</v>
      </c>
      <c r="H19" s="612">
        <f t="shared" si="0"/>
        <v>19</v>
      </c>
      <c r="I19" s="4" t="str">
        <f t="shared" si="1"/>
        <v>BUCK</v>
      </c>
      <c r="J19">
        <f t="shared" si="43"/>
        <v>1</v>
      </c>
      <c r="K19" s="387">
        <f t="shared" si="44"/>
        <v>0.6</v>
      </c>
      <c r="L19" s="4">
        <f t="shared" si="2"/>
        <v>0.39473684210526316</v>
      </c>
      <c r="M19" s="4">
        <f t="shared" si="56"/>
        <v>0.6</v>
      </c>
      <c r="N19" s="387">
        <f t="shared" si="3"/>
        <v>0.6320413790200371</v>
      </c>
      <c r="O19" s="387">
        <f t="shared" si="4"/>
        <v>0</v>
      </c>
      <c r="P19" s="4">
        <f t="shared" si="5"/>
        <v>4.1981883763863408</v>
      </c>
      <c r="Q19" s="4">
        <f t="shared" si="6"/>
        <v>1.3523062289913412</v>
      </c>
      <c r="R19" s="387">
        <f t="shared" si="7"/>
        <v>1.0982032756003162E-2</v>
      </c>
      <c r="S19" s="387">
        <f t="shared" si="45"/>
        <v>0.34508873214913988</v>
      </c>
      <c r="T19" s="387">
        <f t="shared" si="46"/>
        <v>0.35607076490514306</v>
      </c>
      <c r="U19" s="4">
        <f t="shared" si="8"/>
        <v>1.2119125946077061</v>
      </c>
      <c r="V19" s="387">
        <f t="shared" si="9"/>
        <v>1.0281124958781475E-2</v>
      </c>
      <c r="W19" s="387">
        <f t="shared" si="47"/>
        <v>1.0281124958781475E-2</v>
      </c>
      <c r="X19" s="4">
        <f t="shared" si="10"/>
        <v>0.65214969537254763</v>
      </c>
      <c r="Y19" s="387">
        <f t="shared" si="11"/>
        <v>8.5059845034901344E-4</v>
      </c>
      <c r="Z19" s="605">
        <f t="shared" si="48"/>
        <v>8.5059845034901344E-4</v>
      </c>
      <c r="AA19" s="387">
        <f t="shared" si="12"/>
        <v>1.0750973824300794</v>
      </c>
      <c r="AB19" s="387">
        <f t="shared" si="13"/>
        <v>6.588255975735648E-3</v>
      </c>
      <c r="AC19" s="387">
        <f t="shared" si="14"/>
        <v>8.6683179340028681E-3</v>
      </c>
      <c r="AD19" s="387">
        <f t="shared" si="15"/>
        <v>1.3431883926210806E-2</v>
      </c>
      <c r="AE19" s="387">
        <f t="shared" si="16"/>
        <v>2.8726309091455848E-2</v>
      </c>
      <c r="AF19" s="387">
        <f t="shared" si="17"/>
        <v>0.82030345315668007</v>
      </c>
      <c r="AG19" s="387">
        <f t="shared" si="18"/>
        <v>3.8355172049864099E-3</v>
      </c>
      <c r="AH19" s="387">
        <f t="shared" si="19"/>
        <v>2.4183883926210809E-2</v>
      </c>
      <c r="AI19" s="387">
        <f t="shared" si="20"/>
        <v>2.8040911410829168E-2</v>
      </c>
      <c r="AJ19" s="387">
        <f t="shared" si="21"/>
        <v>0</v>
      </c>
      <c r="AK19" s="387">
        <f t="shared" si="22"/>
        <v>0</v>
      </c>
      <c r="AL19" s="387">
        <f t="shared" si="23"/>
        <v>0</v>
      </c>
      <c r="AM19" s="387">
        <f t="shared" si="24"/>
        <v>0</v>
      </c>
      <c r="AN19" s="387">
        <f t="shared" si="25"/>
        <v>0</v>
      </c>
      <c r="AO19" s="387">
        <f t="shared" si="49"/>
        <v>1.3523062289913412</v>
      </c>
      <c r="AP19" s="387">
        <f t="shared" si="26"/>
        <v>3.4745910602406857E-3</v>
      </c>
      <c r="AQ19" s="387">
        <f t="shared" si="27"/>
        <v>0</v>
      </c>
      <c r="AR19" s="387">
        <f t="shared" si="28"/>
        <v>3.4770072959340544E-3</v>
      </c>
      <c r="AS19" s="387">
        <f t="shared" si="29"/>
        <v>3.4745910602406857E-3</v>
      </c>
      <c r="AT19" s="387">
        <f t="shared" si="30"/>
        <v>0</v>
      </c>
      <c r="AU19" s="387">
        <f t="shared" si="31"/>
        <v>2.6807973696E-2</v>
      </c>
      <c r="AV19" s="387">
        <f t="shared" si="32"/>
        <v>5.3831820420861898E-3</v>
      </c>
      <c r="AW19" s="387">
        <f t="shared" si="33"/>
        <v>0</v>
      </c>
      <c r="AX19" s="387">
        <f t="shared" si="34"/>
        <v>3.6000000000000004E-2</v>
      </c>
      <c r="AY19" s="387">
        <f t="shared" si="35"/>
        <v>5.9136000000000001E-2</v>
      </c>
      <c r="AZ19" s="387">
        <f t="shared" si="36"/>
        <v>7.3471999999999996E-2</v>
      </c>
      <c r="BA19" s="387">
        <f t="shared" si="57"/>
        <v>9.5135999999999998E-2</v>
      </c>
      <c r="BB19" s="387">
        <f t="shared" si="58"/>
        <v>0.5547738718505788</v>
      </c>
      <c r="BC19">
        <f t="shared" si="37"/>
        <v>7.1999999999999993</v>
      </c>
      <c r="BD19" s="606">
        <f t="shared" si="51"/>
        <v>0.92846034184641046</v>
      </c>
      <c r="BE19" s="616">
        <f t="shared" si="38"/>
        <v>2.3209785865407921</v>
      </c>
      <c r="BF19" s="616">
        <f t="shared" si="39"/>
        <v>1.8443771365254584</v>
      </c>
      <c r="BG19" s="9"/>
      <c r="BH19" s="4">
        <f t="shared" si="52"/>
        <v>92.846034184641042</v>
      </c>
      <c r="BI19" s="387">
        <f t="shared" si="53"/>
        <v>0.35607076490514306</v>
      </c>
      <c r="BJ19" s="387">
        <f t="shared" si="54"/>
        <v>8.7052201494219064E-2</v>
      </c>
      <c r="BK19" s="387">
        <f t="shared" si="40"/>
        <v>4.6419571730815845E-2</v>
      </c>
      <c r="BL19" s="387">
        <f t="shared" si="41"/>
        <v>3.6887542730509169E-2</v>
      </c>
      <c r="BM19" s="387">
        <f t="shared" si="55"/>
        <v>5.3831820420861898E-3</v>
      </c>
      <c r="BQ19" t="s">
        <v>146</v>
      </c>
      <c r="BS19" s="18"/>
      <c r="BT19" s="19"/>
    </row>
    <row r="20" spans="1:83" x14ac:dyDescent="0.2">
      <c r="A20" s="35" t="s">
        <v>86</v>
      </c>
      <c r="B20" s="39">
        <f>Ltc*1000000</f>
        <v>4000</v>
      </c>
      <c r="C20" s="484" t="s">
        <v>85</v>
      </c>
      <c r="D20" s="21" t="s">
        <v>101</v>
      </c>
      <c r="G20">
        <v>11</v>
      </c>
      <c r="H20" s="612">
        <f t="shared" si="0"/>
        <v>19</v>
      </c>
      <c r="I20" s="4" t="str">
        <f t="shared" si="1"/>
        <v>BUCK</v>
      </c>
      <c r="J20">
        <f t="shared" si="43"/>
        <v>1</v>
      </c>
      <c r="K20" s="387">
        <f t="shared" si="44"/>
        <v>0.66</v>
      </c>
      <c r="L20" s="4">
        <f t="shared" si="2"/>
        <v>0.43421052631578949</v>
      </c>
      <c r="M20" s="4">
        <f t="shared" si="56"/>
        <v>0.66</v>
      </c>
      <c r="N20" s="387">
        <f t="shared" si="3"/>
        <v>0.63208760933803665</v>
      </c>
      <c r="O20" s="387">
        <f t="shared" si="4"/>
        <v>0</v>
      </c>
      <c r="P20" s="4">
        <f t="shared" si="5"/>
        <v>4.1980739787679973</v>
      </c>
      <c r="Q20" s="4">
        <f t="shared" si="6"/>
        <v>1.3799464099259122</v>
      </c>
      <c r="R20" s="387">
        <f t="shared" si="7"/>
        <v>1.1435965507012497E-2</v>
      </c>
      <c r="S20" s="387">
        <f t="shared" si="45"/>
        <v>0.3450670670540868</v>
      </c>
      <c r="T20" s="387">
        <f t="shared" si="46"/>
        <v>0.35650303256109928</v>
      </c>
      <c r="U20" s="4">
        <f t="shared" si="8"/>
        <v>1.2118795708598333</v>
      </c>
      <c r="V20" s="387">
        <f t="shared" si="9"/>
        <v>1.0280564659871896E-2</v>
      </c>
      <c r="W20" s="387">
        <f t="shared" si="47"/>
        <v>1.0280564659871896E-2</v>
      </c>
      <c r="X20" s="4">
        <f t="shared" si="10"/>
        <v>0.665461702331828</v>
      </c>
      <c r="Y20" s="387">
        <f t="shared" si="11"/>
        <v>8.8567855454074892E-4</v>
      </c>
      <c r="Z20" s="605">
        <f t="shared" si="48"/>
        <v>8.8567855454074892E-4</v>
      </c>
      <c r="AA20" s="387">
        <f t="shared" si="12"/>
        <v>1.0971117326154338</v>
      </c>
      <c r="AB20" s="387">
        <f t="shared" si="13"/>
        <v>6.8608286769019037E-3</v>
      </c>
      <c r="AC20" s="387">
        <f t="shared" si="14"/>
        <v>9.5351497274031548E-3</v>
      </c>
      <c r="AD20" s="387">
        <f t="shared" si="15"/>
        <v>1.2893771424880627E-2</v>
      </c>
      <c r="AE20" s="387">
        <f t="shared" si="16"/>
        <v>2.9329995443952737E-2</v>
      </c>
      <c r="AF20" s="387">
        <f t="shared" si="17"/>
        <v>0.83701728800842257</v>
      </c>
      <c r="AG20" s="387">
        <f t="shared" si="18"/>
        <v>3.9934082604223551E-3</v>
      </c>
      <c r="AH20" s="387">
        <f t="shared" si="19"/>
        <v>2.4720971424880632E-2</v>
      </c>
      <c r="AI20" s="387">
        <f t="shared" si="20"/>
        <v>2.8737331664833558E-2</v>
      </c>
      <c r="AJ20" s="387">
        <f t="shared" si="21"/>
        <v>0</v>
      </c>
      <c r="AK20" s="387">
        <f t="shared" si="22"/>
        <v>0</v>
      </c>
      <c r="AL20" s="387">
        <f t="shared" si="23"/>
        <v>0</v>
      </c>
      <c r="AM20" s="387">
        <f t="shared" si="24"/>
        <v>0</v>
      </c>
      <c r="AN20" s="387">
        <f t="shared" si="25"/>
        <v>0</v>
      </c>
      <c r="AO20" s="387">
        <f t="shared" si="49"/>
        <v>1.3799464099259122</v>
      </c>
      <c r="AP20" s="387">
        <f t="shared" si="26"/>
        <v>3.6180789791080861E-3</v>
      </c>
      <c r="AQ20" s="387">
        <f t="shared" si="27"/>
        <v>0</v>
      </c>
      <c r="AR20" s="387">
        <f t="shared" si="28"/>
        <v>3.6206989740776435E-3</v>
      </c>
      <c r="AS20" s="387">
        <f t="shared" si="29"/>
        <v>3.6180789791080861E-3</v>
      </c>
      <c r="AT20" s="387">
        <f t="shared" si="30"/>
        <v>0</v>
      </c>
      <c r="AU20" s="387">
        <f t="shared" si="31"/>
        <v>2.9488240172160004E-2</v>
      </c>
      <c r="AV20" s="387">
        <f t="shared" si="32"/>
        <v>5.6047835233997969E-3</v>
      </c>
      <c r="AW20" s="387">
        <f t="shared" si="33"/>
        <v>0</v>
      </c>
      <c r="AX20" s="387">
        <f t="shared" si="34"/>
        <v>3.6000000000000004E-2</v>
      </c>
      <c r="AY20" s="387">
        <f t="shared" si="35"/>
        <v>5.9136000000000001E-2</v>
      </c>
      <c r="AZ20" s="387">
        <f t="shared" si="36"/>
        <v>7.3471999999999996E-2</v>
      </c>
      <c r="BA20" s="387">
        <f t="shared" si="57"/>
        <v>9.5135999999999998E-2</v>
      </c>
      <c r="BB20" s="387">
        <f t="shared" si="58"/>
        <v>0.55958632555393562</v>
      </c>
      <c r="BC20">
        <f t="shared" si="37"/>
        <v>7.92</v>
      </c>
      <c r="BD20" s="606">
        <f t="shared" si="51"/>
        <v>0.93400782726067955</v>
      </c>
      <c r="BE20" s="616">
        <f t="shared" si="38"/>
        <v>2.4396116978789171</v>
      </c>
      <c r="BF20" s="616">
        <f t="shared" si="39"/>
        <v>1.923422546082318</v>
      </c>
      <c r="BG20" s="9"/>
      <c r="BH20" s="4">
        <f t="shared" si="52"/>
        <v>93.400782726067959</v>
      </c>
      <c r="BI20" s="387">
        <f t="shared" si="53"/>
        <v>0.35650303256109928</v>
      </c>
      <c r="BJ20" s="387">
        <f t="shared" si="54"/>
        <v>9.1176266255023938E-2</v>
      </c>
      <c r="BK20" s="387">
        <f t="shared" si="40"/>
        <v>4.879223395757834E-2</v>
      </c>
      <c r="BL20" s="387">
        <f t="shared" si="41"/>
        <v>3.8468450921646358E-2</v>
      </c>
      <c r="BM20" s="387">
        <f t="shared" si="55"/>
        <v>5.6047835233997969E-3</v>
      </c>
      <c r="BS20" s="18"/>
      <c r="BT20" s="19"/>
    </row>
    <row r="21" spans="1:83" x14ac:dyDescent="0.2">
      <c r="A21" s="25" t="s">
        <v>159</v>
      </c>
      <c r="B21" s="39">
        <f>ThetaCa</f>
        <v>20</v>
      </c>
      <c r="C21" s="484" t="s">
        <v>241</v>
      </c>
      <c r="D21" s="26" t="s">
        <v>160</v>
      </c>
      <c r="G21">
        <v>12</v>
      </c>
      <c r="H21" s="612">
        <f t="shared" si="0"/>
        <v>19</v>
      </c>
      <c r="I21" s="4" t="str">
        <f t="shared" si="1"/>
        <v>BUCK</v>
      </c>
      <c r="J21">
        <f t="shared" si="43"/>
        <v>1</v>
      </c>
      <c r="K21" s="387">
        <f t="shared" si="44"/>
        <v>0.72</v>
      </c>
      <c r="L21" s="4">
        <f t="shared" si="2"/>
        <v>0.47368421052631587</v>
      </c>
      <c r="M21" s="4">
        <f t="shared" si="56"/>
        <v>0.72</v>
      </c>
      <c r="N21" s="387">
        <f t="shared" si="3"/>
        <v>0.63213383732089645</v>
      </c>
      <c r="O21" s="387">
        <f t="shared" si="4"/>
        <v>0</v>
      </c>
      <c r="P21" s="4">
        <f t="shared" si="5"/>
        <v>4.1979595039900106</v>
      </c>
      <c r="Q21" s="4">
        <f t="shared" si="6"/>
        <v>1.4095999431617721</v>
      </c>
      <c r="R21" s="387">
        <f t="shared" si="7"/>
        <v>1.1933213259664812E-2</v>
      </c>
      <c r="S21" s="387">
        <f t="shared" si="45"/>
        <v>0.34504538811683411</v>
      </c>
      <c r="T21" s="387">
        <f t="shared" si="46"/>
        <v>0.35697860137649889</v>
      </c>
      <c r="U21" s="4">
        <f t="shared" si="8"/>
        <v>1.2118465248378902</v>
      </c>
      <c r="V21" s="387">
        <f t="shared" si="9"/>
        <v>1.02800039983317E-2</v>
      </c>
      <c r="W21" s="387">
        <f t="shared" si="47"/>
        <v>1.02800039983317E-2</v>
      </c>
      <c r="X21" s="4">
        <f t="shared" si="10"/>
        <v>0.67974389179945005</v>
      </c>
      <c r="Y21" s="387">
        <f t="shared" si="11"/>
        <v>9.2410351687732492E-4</v>
      </c>
      <c r="Z21" s="605">
        <f t="shared" si="48"/>
        <v>9.2410351687732492E-4</v>
      </c>
      <c r="AA21" s="387">
        <f t="shared" si="12"/>
        <v>1.1207284393904353</v>
      </c>
      <c r="AB21" s="387">
        <f t="shared" si="13"/>
        <v>7.1593837386935682E-3</v>
      </c>
      <c r="AC21" s="387">
        <f t="shared" si="14"/>
        <v>1.0401981520803441E-2</v>
      </c>
      <c r="AD21" s="387">
        <f t="shared" si="15"/>
        <v>1.2355658577875248E-2</v>
      </c>
      <c r="AE21" s="387">
        <f t="shared" si="16"/>
        <v>2.9959922754127941E-2</v>
      </c>
      <c r="AF21" s="387">
        <f t="shared" si="17"/>
        <v>0.85495015346109537</v>
      </c>
      <c r="AG21" s="387">
        <f t="shared" si="18"/>
        <v>4.1663566599479578E-3</v>
      </c>
      <c r="AH21" s="387">
        <f t="shared" si="19"/>
        <v>2.5258058577875251E-2</v>
      </c>
      <c r="AI21" s="387">
        <f t="shared" si="20"/>
        <v>2.9448954207121077E-2</v>
      </c>
      <c r="AJ21" s="387">
        <f t="shared" si="21"/>
        <v>0</v>
      </c>
      <c r="AK21" s="387">
        <f t="shared" si="22"/>
        <v>0</v>
      </c>
      <c r="AL21" s="387">
        <f t="shared" si="23"/>
        <v>0</v>
      </c>
      <c r="AM21" s="387">
        <f t="shared" si="24"/>
        <v>0</v>
      </c>
      <c r="AN21" s="387">
        <f t="shared" si="25"/>
        <v>0</v>
      </c>
      <c r="AO21" s="387">
        <f t="shared" si="49"/>
        <v>1.4095999431617721</v>
      </c>
      <c r="AP21" s="387">
        <f t="shared" si="26"/>
        <v>3.7752467995471749E-3</v>
      </c>
      <c r="AQ21" s="387">
        <f t="shared" si="27"/>
        <v>0</v>
      </c>
      <c r="AR21" s="387">
        <f t="shared" si="28"/>
        <v>3.778099451119417E-3</v>
      </c>
      <c r="AS21" s="387">
        <f t="shared" si="29"/>
        <v>3.7752467995471749E-3</v>
      </c>
      <c r="AT21" s="387">
        <f t="shared" si="30"/>
        <v>0</v>
      </c>
      <c r="AU21" s="387">
        <f t="shared" si="31"/>
        <v>3.2168410122239997E-2</v>
      </c>
      <c r="AV21" s="387">
        <f t="shared" si="32"/>
        <v>5.8475181192252038E-3</v>
      </c>
      <c r="AW21" s="387">
        <f t="shared" si="33"/>
        <v>0</v>
      </c>
      <c r="AX21" s="387">
        <f t="shared" si="34"/>
        <v>3.6000000000000004E-2</v>
      </c>
      <c r="AY21" s="387">
        <f t="shared" si="35"/>
        <v>5.9136000000000001E-2</v>
      </c>
      <c r="AZ21" s="387">
        <f t="shared" si="36"/>
        <v>7.3471999999999996E-2</v>
      </c>
      <c r="BA21" s="387">
        <f t="shared" si="57"/>
        <v>9.5135999999999998E-2</v>
      </c>
      <c r="BB21" s="387">
        <f t="shared" si="58"/>
        <v>0.56452161354554153</v>
      </c>
      <c r="BC21">
        <f t="shared" si="37"/>
        <v>8.64</v>
      </c>
      <c r="BD21" s="606">
        <f t="shared" si="51"/>
        <v>0.93866909794477749</v>
      </c>
      <c r="BE21" s="616">
        <f t="shared" si="38"/>
        <v>2.5595536717403169</v>
      </c>
      <c r="BF21" s="616">
        <f t="shared" si="39"/>
        <v>2.0032264773730137</v>
      </c>
      <c r="BG21" s="9"/>
      <c r="BH21" s="4">
        <f t="shared" si="52"/>
        <v>93.866909794477749</v>
      </c>
      <c r="BI21" s="387">
        <f t="shared" si="53"/>
        <v>0.35697860137649889</v>
      </c>
      <c r="BJ21" s="387">
        <f t="shared" si="54"/>
        <v>9.5355386534608427E-2</v>
      </c>
      <c r="BK21" s="387">
        <f t="shared" si="40"/>
        <v>5.119107343480634E-2</v>
      </c>
      <c r="BL21" s="387">
        <f t="shared" si="41"/>
        <v>4.0064529547460273E-2</v>
      </c>
      <c r="BM21" s="387">
        <f t="shared" si="55"/>
        <v>5.8475181192252038E-3</v>
      </c>
      <c r="BS21" s="18"/>
      <c r="BT21" s="19"/>
    </row>
    <row r="22" spans="1:83" x14ac:dyDescent="0.2">
      <c r="A22" s="36" t="s">
        <v>61</v>
      </c>
      <c r="B22" s="39">
        <f>Cin*1000000</f>
        <v>100</v>
      </c>
      <c r="C22" s="486" t="s">
        <v>679</v>
      </c>
      <c r="D22" s="483" t="s">
        <v>697</v>
      </c>
      <c r="G22">
        <v>13</v>
      </c>
      <c r="H22" s="612">
        <f t="shared" si="0"/>
        <v>19</v>
      </c>
      <c r="I22" s="446" t="str">
        <f t="shared" si="1"/>
        <v>BUCK</v>
      </c>
      <c r="J22">
        <f t="shared" si="43"/>
        <v>1</v>
      </c>
      <c r="K22" s="387">
        <f t="shared" si="44"/>
        <v>0.78</v>
      </c>
      <c r="L22" s="4">
        <f t="shared" si="2"/>
        <v>0.51315789473684215</v>
      </c>
      <c r="M22" s="4">
        <f t="shared" si="56"/>
        <v>0.78</v>
      </c>
      <c r="N22" s="387">
        <f t="shared" si="3"/>
        <v>0.63218006296879348</v>
      </c>
      <c r="O22" s="387">
        <f t="shared" si="4"/>
        <v>0</v>
      </c>
      <c r="P22" s="4">
        <f t="shared" si="5"/>
        <v>4.1978449520582277</v>
      </c>
      <c r="Q22" s="4">
        <f t="shared" si="6"/>
        <v>1.4411425514015128</v>
      </c>
      <c r="R22" s="387">
        <f t="shared" si="7"/>
        <v>1.2473786339270692E-2</v>
      </c>
      <c r="S22" s="387">
        <f t="shared" si="45"/>
        <v>0.34502369534004163</v>
      </c>
      <c r="T22" s="387">
        <f t="shared" si="46"/>
        <v>0.35749748167931233</v>
      </c>
      <c r="U22" s="4">
        <f t="shared" si="8"/>
        <v>1.2118134565435648</v>
      </c>
      <c r="V22" s="387">
        <f t="shared" si="9"/>
        <v>1.0279442974220435E-2</v>
      </c>
      <c r="W22" s="387">
        <f t="shared" si="47"/>
        <v>1.0279442974220435E-2</v>
      </c>
      <c r="X22" s="4">
        <f t="shared" si="10"/>
        <v>0.69493625890819033</v>
      </c>
      <c r="Y22" s="387">
        <f t="shared" si="11"/>
        <v>9.6587280789062267E-4</v>
      </c>
      <c r="Z22" s="605">
        <f t="shared" si="48"/>
        <v>9.6587280789062267E-4</v>
      </c>
      <c r="AA22" s="387">
        <f t="shared" si="12"/>
        <v>1.1458488655576511</v>
      </c>
      <c r="AB22" s="387">
        <f t="shared" si="13"/>
        <v>7.4839268493886099E-3</v>
      </c>
      <c r="AC22" s="387">
        <f t="shared" si="14"/>
        <v>1.1268813314203728E-2</v>
      </c>
      <c r="AD22" s="387">
        <f t="shared" si="15"/>
        <v>1.1817545385220859E-2</v>
      </c>
      <c r="AE22" s="387">
        <f t="shared" si="16"/>
        <v>3.0616111296284026E-2</v>
      </c>
      <c r="AF22" s="387">
        <f t="shared" si="17"/>
        <v>0.87402644740322699</v>
      </c>
      <c r="AG22" s="387">
        <f t="shared" si="18"/>
        <v>4.3543567153337438E-3</v>
      </c>
      <c r="AH22" s="387">
        <f t="shared" si="19"/>
        <v>2.5795145385220864E-2</v>
      </c>
      <c r="AI22" s="387">
        <f t="shared" si="20"/>
        <v>3.0175781323764122E-2</v>
      </c>
      <c r="AJ22" s="387">
        <f t="shared" si="21"/>
        <v>0</v>
      </c>
      <c r="AK22" s="387">
        <f t="shared" si="22"/>
        <v>0</v>
      </c>
      <c r="AL22" s="387">
        <f t="shared" si="23"/>
        <v>0</v>
      </c>
      <c r="AM22" s="387">
        <f t="shared" si="24"/>
        <v>0</v>
      </c>
      <c r="AN22" s="387">
        <f t="shared" si="25"/>
        <v>0</v>
      </c>
      <c r="AO22" s="387">
        <f t="shared" si="49"/>
        <v>1.4411425514015128</v>
      </c>
      <c r="AP22" s="387">
        <f t="shared" si="26"/>
        <v>3.9460945215741179E-3</v>
      </c>
      <c r="AQ22" s="387">
        <f t="shared" si="27"/>
        <v>0</v>
      </c>
      <c r="AR22" s="387">
        <f t="shared" si="28"/>
        <v>3.9492113138001033E-3</v>
      </c>
      <c r="AS22" s="387">
        <f t="shared" si="29"/>
        <v>3.9460945215741179E-3</v>
      </c>
      <c r="AT22" s="387">
        <f t="shared" si="30"/>
        <v>0</v>
      </c>
      <c r="AU22" s="387">
        <f t="shared" si="31"/>
        <v>3.4848483546239997E-2</v>
      </c>
      <c r="AV22" s="387">
        <f t="shared" si="32"/>
        <v>6.1113778460824475E-3</v>
      </c>
      <c r="AW22" s="387">
        <f t="shared" si="33"/>
        <v>0</v>
      </c>
      <c r="AX22" s="387">
        <f t="shared" si="34"/>
        <v>3.6000000000000004E-2</v>
      </c>
      <c r="AY22" s="387">
        <f t="shared" si="35"/>
        <v>5.9136000000000001E-2</v>
      </c>
      <c r="AZ22" s="387">
        <f t="shared" si="36"/>
        <v>7.3471999999999996E-2</v>
      </c>
      <c r="BA22" s="387">
        <f t="shared" si="57"/>
        <v>9.5135999999999998E-2</v>
      </c>
      <c r="BB22" s="387">
        <f t="shared" si="58"/>
        <v>0.56957976278759403</v>
      </c>
      <c r="BC22">
        <f t="shared" si="37"/>
        <v>9.36</v>
      </c>
      <c r="BD22" s="606">
        <f t="shared" si="51"/>
        <v>0.94263807971791824</v>
      </c>
      <c r="BE22" s="616">
        <f t="shared" si="38"/>
        <v>2.6808055218401212</v>
      </c>
      <c r="BF22" s="616">
        <f t="shared" si="39"/>
        <v>2.0837890447011662</v>
      </c>
      <c r="BG22" s="9"/>
      <c r="BH22" s="4">
        <f t="shared" si="52"/>
        <v>94.26380797179182</v>
      </c>
      <c r="BI22" s="387">
        <f t="shared" si="53"/>
        <v>0.35749748167931233</v>
      </c>
      <c r="BJ22" s="387">
        <f t="shared" si="54"/>
        <v>9.9589587480088254E-2</v>
      </c>
      <c r="BK22" s="387">
        <f t="shared" si="40"/>
        <v>5.3616110436802422E-2</v>
      </c>
      <c r="BL22" s="387">
        <f t="shared" si="41"/>
        <v>4.1675780894023323E-2</v>
      </c>
      <c r="BM22" s="387">
        <f t="shared" si="55"/>
        <v>6.1113778460824475E-3</v>
      </c>
      <c r="BS22" s="18"/>
      <c r="BT22" s="19"/>
    </row>
    <row r="23" spans="1:83" x14ac:dyDescent="0.2">
      <c r="A23" s="36" t="s">
        <v>90</v>
      </c>
      <c r="B23" s="39">
        <f>RCinEsr*1000</f>
        <v>2</v>
      </c>
      <c r="C23" s="485" t="s">
        <v>678</v>
      </c>
      <c r="D23" s="483" t="s">
        <v>693</v>
      </c>
      <c r="G23">
        <v>14</v>
      </c>
      <c r="H23" s="612">
        <f t="shared" si="0"/>
        <v>19</v>
      </c>
      <c r="I23" s="446" t="str">
        <f t="shared" si="1"/>
        <v>BUCK</v>
      </c>
      <c r="J23">
        <f t="shared" si="43"/>
        <v>1</v>
      </c>
      <c r="K23" s="387">
        <f t="shared" si="44"/>
        <v>0.84</v>
      </c>
      <c r="L23" s="4">
        <f t="shared" si="2"/>
        <v>0.55263157894736847</v>
      </c>
      <c r="M23" s="4">
        <f t="shared" si="56"/>
        <v>0.84</v>
      </c>
      <c r="N23" s="387">
        <f t="shared" si="3"/>
        <v>0.63222628628190447</v>
      </c>
      <c r="O23" s="387">
        <f t="shared" si="4"/>
        <v>0</v>
      </c>
      <c r="P23" s="4">
        <f t="shared" si="5"/>
        <v>4.1977303229784892</v>
      </c>
      <c r="Q23" s="4">
        <f t="shared" si="6"/>
        <v>1.4744530020896194</v>
      </c>
      <c r="R23" s="387">
        <f t="shared" si="7"/>
        <v>1.3057695972179737E-2</v>
      </c>
      <c r="S23" s="387">
        <f t="shared" si="45"/>
        <v>0.34500198872636861</v>
      </c>
      <c r="T23" s="387">
        <f t="shared" si="46"/>
        <v>0.35805968469854837</v>
      </c>
      <c r="U23" s="4">
        <f t="shared" si="8"/>
        <v>1.2117803659785429</v>
      </c>
      <c r="V23" s="387">
        <f t="shared" si="9"/>
        <v>1.0278881587597639E-2</v>
      </c>
      <c r="W23" s="387">
        <f t="shared" si="47"/>
        <v>1.0278881587597639E-2</v>
      </c>
      <c r="X23" s="4">
        <f t="shared" si="10"/>
        <v>0.7109802732133258</v>
      </c>
      <c r="Y23" s="387">
        <f t="shared" si="11"/>
        <v>1.0109858977969909E-3</v>
      </c>
      <c r="Z23" s="605">
        <f t="shared" si="48"/>
        <v>1.0109858977969909E-3</v>
      </c>
      <c r="AA23" s="387">
        <f t="shared" si="12"/>
        <v>1.1723767803947844</v>
      </c>
      <c r="AB23" s="387">
        <f t="shared" si="13"/>
        <v>7.8344636966903927E-3</v>
      </c>
      <c r="AC23" s="387">
        <f t="shared" si="14"/>
        <v>1.2135645107604015E-2</v>
      </c>
      <c r="AD23" s="387">
        <f t="shared" si="15"/>
        <v>1.1279431846943633E-2</v>
      </c>
      <c r="AE23" s="387">
        <f t="shared" si="16"/>
        <v>3.1298582172395548E-2</v>
      </c>
      <c r="AF23" s="387">
        <f t="shared" si="17"/>
        <v>0.89417243312587691</v>
      </c>
      <c r="AG23" s="387">
        <f t="shared" si="18"/>
        <v>4.5574027389248296E-3</v>
      </c>
      <c r="AH23" s="387">
        <f t="shared" si="19"/>
        <v>2.6332231846943634E-2</v>
      </c>
      <c r="AI23" s="387">
        <f t="shared" si="20"/>
        <v>3.0917815573343572E-2</v>
      </c>
      <c r="AJ23" s="387">
        <f t="shared" si="21"/>
        <v>0</v>
      </c>
      <c r="AK23" s="387">
        <f t="shared" si="22"/>
        <v>0</v>
      </c>
      <c r="AL23" s="387">
        <f t="shared" si="23"/>
        <v>0</v>
      </c>
      <c r="AM23" s="387">
        <f t="shared" si="24"/>
        <v>0</v>
      </c>
      <c r="AN23" s="387">
        <f t="shared" si="25"/>
        <v>0</v>
      </c>
      <c r="AO23" s="387">
        <f t="shared" si="49"/>
        <v>1.4744530020896194</v>
      </c>
      <c r="AP23" s="387">
        <f t="shared" si="26"/>
        <v>4.1306221452050733E-3</v>
      </c>
      <c r="AQ23" s="387">
        <f t="shared" si="27"/>
        <v>0</v>
      </c>
      <c r="AR23" s="387">
        <f t="shared" si="28"/>
        <v>4.1340373744706924E-3</v>
      </c>
      <c r="AS23" s="387">
        <f t="shared" si="29"/>
        <v>4.1306221452050733E-3</v>
      </c>
      <c r="AT23" s="387">
        <f t="shared" si="30"/>
        <v>0</v>
      </c>
      <c r="AU23" s="387">
        <f t="shared" si="31"/>
        <v>3.7528460444159993E-2</v>
      </c>
      <c r="AV23" s="387">
        <f t="shared" si="32"/>
        <v>6.3963547212980065E-3</v>
      </c>
      <c r="AW23" s="387">
        <f t="shared" si="33"/>
        <v>0</v>
      </c>
      <c r="AX23" s="387">
        <f t="shared" si="34"/>
        <v>3.6000000000000004E-2</v>
      </c>
      <c r="AY23" s="387">
        <f t="shared" si="35"/>
        <v>5.9136000000000001E-2</v>
      </c>
      <c r="AZ23" s="387">
        <f t="shared" si="36"/>
        <v>7.3471999999999996E-2</v>
      </c>
      <c r="BA23" s="387">
        <f t="shared" si="57"/>
        <v>9.5135999999999998E-2</v>
      </c>
      <c r="BB23" s="387">
        <f t="shared" si="58"/>
        <v>0.5747608024696107</v>
      </c>
      <c r="BC23">
        <f t="shared" si="37"/>
        <v>10.08</v>
      </c>
      <c r="BD23" s="606">
        <f t="shared" si="51"/>
        <v>0.94605596379635393</v>
      </c>
      <c r="BE23" s="616">
        <f t="shared" si="38"/>
        <v>2.8033683032770575</v>
      </c>
      <c r="BF23" s="616">
        <f t="shared" si="39"/>
        <v>2.1651103759958183</v>
      </c>
      <c r="BG23" s="9"/>
      <c r="BH23" s="4">
        <f t="shared" si="52"/>
        <v>94.605596379635386</v>
      </c>
      <c r="BI23" s="387">
        <f t="shared" si="53"/>
        <v>0.35805968469854837</v>
      </c>
      <c r="BJ23" s="387">
        <f t="shared" si="54"/>
        <v>0.1038788955643698</v>
      </c>
      <c r="BK23" s="387">
        <f t="shared" si="40"/>
        <v>5.6067366065541149E-2</v>
      </c>
      <c r="BL23" s="387">
        <f t="shared" si="41"/>
        <v>4.3302207519916369E-2</v>
      </c>
      <c r="BM23" s="387">
        <f t="shared" si="55"/>
        <v>6.3963547212980065E-3</v>
      </c>
      <c r="BS23" s="18"/>
      <c r="BT23" s="19"/>
    </row>
    <row r="24" spans="1:83" x14ac:dyDescent="0.2">
      <c r="A24" s="35" t="s">
        <v>27</v>
      </c>
      <c r="B24" s="39">
        <f>Cout*1000000</f>
        <v>272</v>
      </c>
      <c r="C24" s="484" t="s">
        <v>679</v>
      </c>
      <c r="D24" s="483" t="s">
        <v>696</v>
      </c>
      <c r="G24">
        <v>15</v>
      </c>
      <c r="H24" s="612">
        <f t="shared" si="0"/>
        <v>19</v>
      </c>
      <c r="I24" s="446" t="str">
        <f t="shared" si="1"/>
        <v>BUCK</v>
      </c>
      <c r="J24">
        <f t="shared" si="43"/>
        <v>1</v>
      </c>
      <c r="K24" s="387">
        <f t="shared" si="44"/>
        <v>0.9</v>
      </c>
      <c r="L24" s="4">
        <f t="shared" si="2"/>
        <v>0.5921052631578948</v>
      </c>
      <c r="M24" s="4">
        <f t="shared" si="56"/>
        <v>0.9</v>
      </c>
      <c r="N24" s="387">
        <f t="shared" si="3"/>
        <v>0.63227250726040651</v>
      </c>
      <c r="O24" s="387">
        <f t="shared" si="4"/>
        <v>0</v>
      </c>
      <c r="P24" s="4">
        <f t="shared" si="5"/>
        <v>4.1976156167566439</v>
      </c>
      <c r="Q24" s="4">
        <f t="shared" si="6"/>
        <v>1.5094142590764377</v>
      </c>
      <c r="R24" s="387">
        <f t="shared" si="7"/>
        <v>1.368495428636371E-2</v>
      </c>
      <c r="S24" s="387">
        <f t="shared" si="45"/>
        <v>0.34498026827847689</v>
      </c>
      <c r="T24" s="387">
        <f t="shared" si="46"/>
        <v>0.35866522256484057</v>
      </c>
      <c r="U24" s="4">
        <f t="shared" si="8"/>
        <v>1.2117472531445128</v>
      </c>
      <c r="V24" s="387">
        <f t="shared" si="9"/>
        <v>1.0278319838522905E-2</v>
      </c>
      <c r="W24" s="387">
        <f t="shared" si="47"/>
        <v>1.0278319838522905E-2</v>
      </c>
      <c r="X24" s="4">
        <f t="shared" si="10"/>
        <v>0.72781943382178904</v>
      </c>
      <c r="Y24" s="387">
        <f t="shared" si="11"/>
        <v>1.0594422564973391E-3</v>
      </c>
      <c r="Z24" s="605">
        <f t="shared" si="48"/>
        <v>1.0594422564973391E-3</v>
      </c>
      <c r="AA24" s="387">
        <f t="shared" si="12"/>
        <v>1.2002192758524084</v>
      </c>
      <c r="AB24" s="387">
        <f t="shared" si="13"/>
        <v>8.210999967727773E-3</v>
      </c>
      <c r="AC24" s="387">
        <f t="shared" si="14"/>
        <v>1.3002476901004303E-2</v>
      </c>
      <c r="AD24" s="387">
        <f t="shared" si="15"/>
        <v>1.0741317963069767E-2</v>
      </c>
      <c r="AE24" s="387">
        <f t="shared" si="16"/>
        <v>3.2007357313775936E-2</v>
      </c>
      <c r="AF24" s="387">
        <f t="shared" si="17"/>
        <v>0.91531693711828144</v>
      </c>
      <c r="AG24" s="387">
        <f t="shared" si="18"/>
        <v>4.7754890436408747E-3</v>
      </c>
      <c r="AH24" s="387">
        <f t="shared" si="19"/>
        <v>2.6869317963069766E-2</v>
      </c>
      <c r="AI24" s="387">
        <f t="shared" si="20"/>
        <v>3.167505978690445E-2</v>
      </c>
      <c r="AJ24" s="387">
        <f t="shared" si="21"/>
        <v>0</v>
      </c>
      <c r="AK24" s="387">
        <f t="shared" si="22"/>
        <v>0</v>
      </c>
      <c r="AL24" s="387">
        <f t="shared" si="23"/>
        <v>0</v>
      </c>
      <c r="AM24" s="387">
        <f t="shared" si="24"/>
        <v>0</v>
      </c>
      <c r="AN24" s="387">
        <f t="shared" si="25"/>
        <v>0</v>
      </c>
      <c r="AO24" s="387">
        <f t="shared" si="49"/>
        <v>1.5094142590764377</v>
      </c>
      <c r="AP24" s="387">
        <f t="shared" si="26"/>
        <v>4.3288296704562159E-3</v>
      </c>
      <c r="AQ24" s="387">
        <f t="shared" si="27"/>
        <v>0</v>
      </c>
      <c r="AR24" s="387">
        <f t="shared" si="28"/>
        <v>4.33258067120805E-3</v>
      </c>
      <c r="AS24" s="387">
        <f t="shared" si="29"/>
        <v>4.3288296704562159E-3</v>
      </c>
      <c r="AT24" s="387">
        <f t="shared" si="30"/>
        <v>0</v>
      </c>
      <c r="AU24" s="387">
        <f t="shared" si="31"/>
        <v>4.0208340815999992E-2</v>
      </c>
      <c r="AV24" s="387">
        <f t="shared" si="32"/>
        <v>6.7024407630047363E-3</v>
      </c>
      <c r="AW24" s="387">
        <f t="shared" si="33"/>
        <v>0</v>
      </c>
      <c r="AX24" s="387">
        <f t="shared" si="34"/>
        <v>3.6000000000000004E-2</v>
      </c>
      <c r="AY24" s="387">
        <f t="shared" si="35"/>
        <v>5.9136000000000001E-2</v>
      </c>
      <c r="AZ24" s="387">
        <f t="shared" si="36"/>
        <v>7.3471999999999996E-2</v>
      </c>
      <c r="BA24" s="387">
        <f t="shared" si="57"/>
        <v>9.5135999999999998E-2</v>
      </c>
      <c r="BB24" s="387">
        <f t="shared" si="58"/>
        <v>0.58006476401075391</v>
      </c>
      <c r="BC24">
        <f t="shared" si="37"/>
        <v>10.8</v>
      </c>
      <c r="BD24" s="606">
        <f t="shared" si="51"/>
        <v>0.94902799096142254</v>
      </c>
      <c r="BE24" s="616">
        <f t="shared" si="38"/>
        <v>2.9272431126167966</v>
      </c>
      <c r="BF24" s="616">
        <f t="shared" si="39"/>
        <v>2.2471906128092223</v>
      </c>
      <c r="BG24" s="9"/>
      <c r="BH24" s="4">
        <f t="shared" si="52"/>
        <v>94.90279909614226</v>
      </c>
      <c r="BI24" s="387">
        <f t="shared" si="53"/>
        <v>0.35866522256484057</v>
      </c>
      <c r="BJ24" s="387">
        <f t="shared" si="54"/>
        <v>0.10822333858788843</v>
      </c>
      <c r="BK24" s="387">
        <f t="shared" si="40"/>
        <v>5.8544862252335933E-2</v>
      </c>
      <c r="BL24" s="387">
        <f t="shared" si="41"/>
        <v>4.4943812256184448E-2</v>
      </c>
      <c r="BM24" s="387">
        <f t="shared" si="55"/>
        <v>6.7024407630047363E-3</v>
      </c>
      <c r="BS24" s="18"/>
      <c r="BT24" s="19"/>
    </row>
    <row r="25" spans="1:83" x14ac:dyDescent="0.2">
      <c r="A25" s="35" t="s">
        <v>89</v>
      </c>
      <c r="B25" s="40">
        <f>CoutEsr*1000</f>
        <v>7</v>
      </c>
      <c r="C25" s="485" t="s">
        <v>678</v>
      </c>
      <c r="D25" s="483" t="s">
        <v>695</v>
      </c>
      <c r="G25">
        <v>16</v>
      </c>
      <c r="H25" s="612">
        <f t="shared" si="0"/>
        <v>19</v>
      </c>
      <c r="I25" s="446" t="str">
        <f t="shared" si="1"/>
        <v>BUCK</v>
      </c>
      <c r="J25">
        <f t="shared" si="43"/>
        <v>1</v>
      </c>
      <c r="K25" s="387">
        <f t="shared" si="44"/>
        <v>0.96</v>
      </c>
      <c r="L25" s="4">
        <f t="shared" si="2"/>
        <v>0.63157894736842113</v>
      </c>
      <c r="M25" s="4">
        <f t="shared" si="56"/>
        <v>0.96</v>
      </c>
      <c r="N25" s="387">
        <f t="shared" si="3"/>
        <v>0.63231872590447646</v>
      </c>
      <c r="O25" s="387">
        <f t="shared" si="4"/>
        <v>0</v>
      </c>
      <c r="P25" s="4">
        <f t="shared" si="5"/>
        <v>4.197500833398534</v>
      </c>
      <c r="Q25" s="4">
        <f t="shared" si="6"/>
        <v>1.5459143261724162</v>
      </c>
      <c r="R25" s="387">
        <f t="shared" si="7"/>
        <v>1.4355574312046499E-2</v>
      </c>
      <c r="S25" s="387">
        <f t="shared" si="45"/>
        <v>0.34495853399902771</v>
      </c>
      <c r="T25" s="387">
        <f t="shared" si="46"/>
        <v>0.35931410831107419</v>
      </c>
      <c r="U25" s="4">
        <f t="shared" si="8"/>
        <v>1.2117141180431612</v>
      </c>
      <c r="V25" s="387">
        <f t="shared" si="9"/>
        <v>1.0277757727055812E-2</v>
      </c>
      <c r="W25" s="387">
        <f t="shared" si="47"/>
        <v>1.0277757727055812E-2</v>
      </c>
      <c r="X25" s="4">
        <f t="shared" si="10"/>
        <v>0.74539967587101197</v>
      </c>
      <c r="Y25" s="387">
        <f t="shared" si="11"/>
        <v>1.1112413535772194E-3</v>
      </c>
      <c r="Z25" s="605">
        <f t="shared" si="48"/>
        <v>1.1112413535772194E-3</v>
      </c>
      <c r="AA25" s="387">
        <f t="shared" si="12"/>
        <v>1.2292874379482597</v>
      </c>
      <c r="AB25" s="387">
        <f t="shared" si="13"/>
        <v>8.6135413490551604E-3</v>
      </c>
      <c r="AC25" s="387">
        <f t="shared" si="14"/>
        <v>1.3869308694404586E-2</v>
      </c>
      <c r="AD25" s="387">
        <f t="shared" si="15"/>
        <v>1.0203203733625432E-2</v>
      </c>
      <c r="AE25" s="387">
        <f t="shared" si="16"/>
        <v>3.2742459482810168E-2</v>
      </c>
      <c r="AF25" s="387">
        <f t="shared" si="17"/>
        <v>0.93739185977248551</v>
      </c>
      <c r="AG25" s="387">
        <f t="shared" si="18"/>
        <v>5.0086099429759992E-3</v>
      </c>
      <c r="AH25" s="387">
        <f t="shared" si="19"/>
        <v>2.7406403733625434E-2</v>
      </c>
      <c r="AI25" s="387">
        <f t="shared" si="20"/>
        <v>3.244751706792369E-2</v>
      </c>
      <c r="AJ25" s="387">
        <f t="shared" si="21"/>
        <v>0</v>
      </c>
      <c r="AK25" s="387">
        <f t="shared" si="22"/>
        <v>0</v>
      </c>
      <c r="AL25" s="387">
        <f t="shared" si="23"/>
        <v>0</v>
      </c>
      <c r="AM25" s="387">
        <f t="shared" si="24"/>
        <v>0</v>
      </c>
      <c r="AN25" s="387">
        <f t="shared" si="25"/>
        <v>0</v>
      </c>
      <c r="AO25" s="387">
        <f t="shared" si="49"/>
        <v>1.5459143261724162</v>
      </c>
      <c r="AP25" s="387">
        <f t="shared" si="26"/>
        <v>4.5407170973437196E-3</v>
      </c>
      <c r="AQ25" s="387">
        <f t="shared" si="27"/>
        <v>0</v>
      </c>
      <c r="AR25" s="387">
        <f t="shared" si="28"/>
        <v>4.5448444679397878E-3</v>
      </c>
      <c r="AS25" s="387">
        <f t="shared" si="29"/>
        <v>4.5407170973437196E-3</v>
      </c>
      <c r="AT25" s="387">
        <f t="shared" si="30"/>
        <v>0</v>
      </c>
      <c r="AU25" s="387">
        <f t="shared" si="31"/>
        <v>4.2888124661760001E-2</v>
      </c>
      <c r="AV25" s="387">
        <f t="shared" si="32"/>
        <v>7.0296279901417534E-3</v>
      </c>
      <c r="AW25" s="387">
        <f t="shared" si="33"/>
        <v>0</v>
      </c>
      <c r="AX25" s="387">
        <f t="shared" si="34"/>
        <v>3.6000000000000004E-2</v>
      </c>
      <c r="AY25" s="387">
        <f t="shared" si="35"/>
        <v>5.9136000000000001E-2</v>
      </c>
      <c r="AZ25" s="387">
        <f t="shared" si="36"/>
        <v>7.3471999999999996E-2</v>
      </c>
      <c r="BA25" s="387">
        <f t="shared" si="57"/>
        <v>9.5135999999999998E-2</v>
      </c>
      <c r="BB25" s="387">
        <f t="shared" si="58"/>
        <v>0.58549168106228267</v>
      </c>
      <c r="BC25">
        <f t="shared" si="37"/>
        <v>11.52</v>
      </c>
      <c r="BD25" s="606">
        <f t="shared" si="51"/>
        <v>0.95163420896168793</v>
      </c>
      <c r="BE25" s="616">
        <f t="shared" si="38"/>
        <v>3.0524310879785888</v>
      </c>
      <c r="BF25" s="616">
        <f t="shared" si="39"/>
        <v>2.3300299103152247</v>
      </c>
      <c r="BG25" s="9"/>
      <c r="BH25" s="4">
        <f t="shared" si="52"/>
        <v>95.163420896168788</v>
      </c>
      <c r="BI25" s="387">
        <f t="shared" si="53"/>
        <v>0.35931410831107419</v>
      </c>
      <c r="BJ25" s="387">
        <f t="shared" si="54"/>
        <v>0.11262294568043366</v>
      </c>
      <c r="BK25" s="387">
        <f t="shared" si="40"/>
        <v>6.1048621759571771E-2</v>
      </c>
      <c r="BL25" s="387">
        <f t="shared" si="41"/>
        <v>4.6600598206304494E-2</v>
      </c>
      <c r="BM25" s="387">
        <f t="shared" si="55"/>
        <v>7.0296279901417534E-3</v>
      </c>
      <c r="BQ25" t="s">
        <v>151</v>
      </c>
      <c r="BR25" t="s">
        <v>4</v>
      </c>
      <c r="BS25" t="s">
        <v>6</v>
      </c>
      <c r="BT25" t="s">
        <v>5</v>
      </c>
      <c r="BU25" t="s">
        <v>152</v>
      </c>
      <c r="BV25" t="s">
        <v>153</v>
      </c>
    </row>
    <row r="26" spans="1:83" x14ac:dyDescent="0.2">
      <c r="A26" s="24" t="s">
        <v>116</v>
      </c>
      <c r="B26" s="37" t="s">
        <v>115</v>
      </c>
      <c r="C26" s="24" t="s">
        <v>80</v>
      </c>
      <c r="D26" s="17" t="s">
        <v>111</v>
      </c>
      <c r="G26">
        <v>17</v>
      </c>
      <c r="H26" s="612">
        <f t="shared" si="0"/>
        <v>19</v>
      </c>
      <c r="I26" s="446" t="str">
        <f t="shared" si="1"/>
        <v>BUCK</v>
      </c>
      <c r="J26">
        <f t="shared" si="43"/>
        <v>1</v>
      </c>
      <c r="K26" s="387">
        <f t="shared" si="44"/>
        <v>1.02</v>
      </c>
      <c r="L26" s="4">
        <f t="shared" si="2"/>
        <v>0.67105263157894746</v>
      </c>
      <c r="M26" s="4">
        <f t="shared" si="56"/>
        <v>1.02</v>
      </c>
      <c r="N26" s="387">
        <f t="shared" si="3"/>
        <v>0.63236494221429118</v>
      </c>
      <c r="O26" s="387">
        <f t="shared" si="4"/>
        <v>0</v>
      </c>
      <c r="P26" s="4">
        <f t="shared" si="5"/>
        <v>4.1973859729100047</v>
      </c>
      <c r="Q26" s="4">
        <f t="shared" si="6"/>
        <v>1.5838468203917759</v>
      </c>
      <c r="R26" s="387">
        <f t="shared" si="7"/>
        <v>1.5069569982381178E-2</v>
      </c>
      <c r="S26" s="387">
        <f t="shared" si="45"/>
        <v>0.34493678589068355</v>
      </c>
      <c r="T26" s="387">
        <f t="shared" si="46"/>
        <v>0.36000635587306473</v>
      </c>
      <c r="U26" s="4">
        <f t="shared" si="8"/>
        <v>1.2116809606761754</v>
      </c>
      <c r="V26" s="387">
        <f t="shared" si="9"/>
        <v>1.0277195253255976E-2</v>
      </c>
      <c r="W26" s="387">
        <f t="shared" si="47"/>
        <v>1.0277195253255976E-2</v>
      </c>
      <c r="X26" s="4">
        <f t="shared" si="10"/>
        <v>0.76366964661000991</v>
      </c>
      <c r="Y26" s="387">
        <f t="shared" si="11"/>
        <v>1.1663826583069147E-3</v>
      </c>
      <c r="Z26" s="605">
        <f t="shared" si="48"/>
        <v>1.1663826583069147E-3</v>
      </c>
      <c r="AA26" s="387">
        <f t="shared" si="12"/>
        <v>1.2594968033537632</v>
      </c>
      <c r="AB26" s="387">
        <f t="shared" si="13"/>
        <v>9.0420935266525854E-3</v>
      </c>
      <c r="AC26" s="387">
        <f t="shared" si="14"/>
        <v>1.4736140487804875E-2</v>
      </c>
      <c r="AD26" s="387">
        <f t="shared" si="15"/>
        <v>9.6650891586368207E-3</v>
      </c>
      <c r="AE26" s="387">
        <f t="shared" si="16"/>
        <v>3.3503912274753696E-2</v>
      </c>
      <c r="AF26" s="387">
        <f t="shared" si="17"/>
        <v>0.96033252199787034</v>
      </c>
      <c r="AG26" s="387">
        <f t="shared" si="18"/>
        <v>5.2567597509987039E-3</v>
      </c>
      <c r="AH26" s="387">
        <f t="shared" si="19"/>
        <v>2.7943489158636824E-2</v>
      </c>
      <c r="AI26" s="387">
        <f t="shared" si="20"/>
        <v>3.3235190792290266E-2</v>
      </c>
      <c r="AJ26" s="387">
        <f t="shared" si="21"/>
        <v>0</v>
      </c>
      <c r="AK26" s="387">
        <f t="shared" si="22"/>
        <v>0</v>
      </c>
      <c r="AL26" s="387">
        <f t="shared" si="23"/>
        <v>0</v>
      </c>
      <c r="AM26" s="387">
        <f t="shared" si="24"/>
        <v>0</v>
      </c>
      <c r="AN26" s="387">
        <f t="shared" si="25"/>
        <v>0</v>
      </c>
      <c r="AO26" s="387">
        <f t="shared" si="49"/>
        <v>1.5838468203917759</v>
      </c>
      <c r="AP26" s="387">
        <f t="shared" si="26"/>
        <v>4.7662844258837631E-3</v>
      </c>
      <c r="AQ26" s="387">
        <f t="shared" si="27"/>
        <v>0</v>
      </c>
      <c r="AR26" s="387">
        <f t="shared" si="28"/>
        <v>4.7708322545784634E-3</v>
      </c>
      <c r="AS26" s="387">
        <f t="shared" si="29"/>
        <v>4.7662844258837631E-3</v>
      </c>
      <c r="AT26" s="387">
        <f t="shared" si="30"/>
        <v>0</v>
      </c>
      <c r="AU26" s="387">
        <f t="shared" si="31"/>
        <v>4.5567811981439998E-2</v>
      </c>
      <c r="AV26" s="387">
        <f t="shared" si="32"/>
        <v>7.3779084224543214E-3</v>
      </c>
      <c r="AW26" s="387">
        <f t="shared" si="33"/>
        <v>0</v>
      </c>
      <c r="AX26" s="387">
        <f t="shared" si="34"/>
        <v>3.6000000000000004E-2</v>
      </c>
      <c r="AY26" s="387">
        <f t="shared" si="35"/>
        <v>5.9136000000000001E-2</v>
      </c>
      <c r="AZ26" s="387">
        <f t="shared" si="36"/>
        <v>7.3471999999999996E-2</v>
      </c>
      <c r="BA26" s="387">
        <f t="shared" si="57"/>
        <v>9.5135999999999998E-2</v>
      </c>
      <c r="BB26" s="387">
        <f t="shared" si="58"/>
        <v>0.59104158951014441</v>
      </c>
      <c r="BC26">
        <f t="shared" si="37"/>
        <v>12.24</v>
      </c>
      <c r="BD26" s="606">
        <f t="shared" si="51"/>
        <v>0.95393658532029524</v>
      </c>
      <c r="BE26" s="616">
        <f t="shared" si="38"/>
        <v>3.1789334091252051</v>
      </c>
      <c r="BF26" s="616">
        <f t="shared" si="39"/>
        <v>2.4136284373082733</v>
      </c>
      <c r="BG26" s="9"/>
      <c r="BH26" s="4">
        <f t="shared" si="52"/>
        <v>95.393658532029519</v>
      </c>
      <c r="BI26" s="387">
        <f t="shared" si="53"/>
        <v>0.36000635587306473</v>
      </c>
      <c r="BJ26" s="387">
        <f t="shared" si="54"/>
        <v>0.11707774730306242</v>
      </c>
      <c r="BK26" s="387">
        <f t="shared" si="40"/>
        <v>6.35786681825041E-2</v>
      </c>
      <c r="BL26" s="387">
        <f t="shared" si="41"/>
        <v>4.8272568746165465E-2</v>
      </c>
      <c r="BM26" s="387">
        <f t="shared" si="55"/>
        <v>7.3779084224543214E-3</v>
      </c>
      <c r="BQ26" t="s">
        <v>154</v>
      </c>
      <c r="BR26">
        <v>9.9989640000000009</v>
      </c>
      <c r="BS26">
        <v>0.1027</v>
      </c>
      <c r="BT26">
        <v>5.1211359999999999</v>
      </c>
      <c r="BU26">
        <v>61.870683235325004</v>
      </c>
      <c r="BV26">
        <v>324.12365701136014</v>
      </c>
    </row>
    <row r="27" spans="1:83" x14ac:dyDescent="0.2">
      <c r="A27" s="22" t="s">
        <v>65</v>
      </c>
      <c r="B27" s="5">
        <f>RdsonDRT</f>
        <v>1.5</v>
      </c>
      <c r="C27" s="487" t="s">
        <v>120</v>
      </c>
      <c r="D27" s="483" t="s">
        <v>722</v>
      </c>
      <c r="G27">
        <v>18</v>
      </c>
      <c r="H27" s="612">
        <f t="shared" si="0"/>
        <v>19</v>
      </c>
      <c r="I27" s="446" t="str">
        <f t="shared" si="1"/>
        <v>BUCK</v>
      </c>
      <c r="J27">
        <f t="shared" si="43"/>
        <v>1</v>
      </c>
      <c r="K27" s="387">
        <f t="shared" si="44"/>
        <v>1.08</v>
      </c>
      <c r="L27" s="4">
        <f t="shared" si="2"/>
        <v>0.71052631578947378</v>
      </c>
      <c r="M27" s="4">
        <f t="shared" si="56"/>
        <v>1.08</v>
      </c>
      <c r="N27" s="387">
        <f t="shared" si="3"/>
        <v>0.6324111561900273</v>
      </c>
      <c r="O27" s="387">
        <f t="shared" si="4"/>
        <v>0</v>
      </c>
      <c r="P27" s="4">
        <f t="shared" si="5"/>
        <v>4.1972710352968976</v>
      </c>
      <c r="Q27" s="4">
        <f t="shared" si="6"/>
        <v>1.6231113163649182</v>
      </c>
      <c r="R27" s="387">
        <f t="shared" si="7"/>
        <v>1.5826956134174099E-2</v>
      </c>
      <c r="S27" s="387">
        <f t="shared" si="45"/>
        <v>0.34491502395610768</v>
      </c>
      <c r="T27" s="387">
        <f t="shared" si="46"/>
        <v>0.3607419800902818</v>
      </c>
      <c r="U27" s="4">
        <f t="shared" si="8"/>
        <v>1.2116477810452415</v>
      </c>
      <c r="V27" s="387">
        <f t="shared" si="9"/>
        <v>1.0276632417183003E-2</v>
      </c>
      <c r="W27" s="387">
        <f t="shared" si="47"/>
        <v>1.0276632417183003E-2</v>
      </c>
      <c r="X27" s="4">
        <f t="shared" si="10"/>
        <v>0.78258087110583152</v>
      </c>
      <c r="Y27" s="387">
        <f t="shared" si="11"/>
        <v>1.2248656396415243E-3</v>
      </c>
      <c r="Z27" s="605">
        <f t="shared" si="48"/>
        <v>1.2248656396415243E-3</v>
      </c>
      <c r="AA27" s="387">
        <f t="shared" si="12"/>
        <v>1.2907676341038832</v>
      </c>
      <c r="AB27" s="387">
        <f t="shared" si="13"/>
        <v>9.496662185925776E-3</v>
      </c>
      <c r="AC27" s="387">
        <f t="shared" si="14"/>
        <v>1.5602972281205165E-2</v>
      </c>
      <c r="AD27" s="387">
        <f t="shared" si="15"/>
        <v>9.1269742381301002E-3</v>
      </c>
      <c r="AE27" s="387">
        <f t="shared" si="16"/>
        <v>3.4291740119597722E-2</v>
      </c>
      <c r="AF27" s="387">
        <f t="shared" si="17"/>
        <v>0.98407787296622073</v>
      </c>
      <c r="AG27" s="387">
        <f t="shared" si="18"/>
        <v>5.5199327823518109E-3</v>
      </c>
      <c r="AH27" s="387">
        <f t="shared" si="19"/>
        <v>2.8480574238130104E-2</v>
      </c>
      <c r="AI27" s="387">
        <f t="shared" si="20"/>
        <v>3.4038084608297478E-2</v>
      </c>
      <c r="AJ27" s="387">
        <f t="shared" si="21"/>
        <v>0</v>
      </c>
      <c r="AK27" s="387">
        <f t="shared" si="22"/>
        <v>0</v>
      </c>
      <c r="AL27" s="387">
        <f t="shared" si="23"/>
        <v>0</v>
      </c>
      <c r="AM27" s="387">
        <f t="shared" si="24"/>
        <v>0</v>
      </c>
      <c r="AN27" s="387">
        <f t="shared" si="25"/>
        <v>0</v>
      </c>
      <c r="AO27" s="387">
        <f t="shared" si="49"/>
        <v>1.6231113163649182</v>
      </c>
      <c r="AP27" s="387">
        <f t="shared" si="26"/>
        <v>5.0055316560925298E-3</v>
      </c>
      <c r="AQ27" s="387">
        <f t="shared" si="27"/>
        <v>0</v>
      </c>
      <c r="AR27" s="387">
        <f t="shared" si="28"/>
        <v>5.0105477471650891E-3</v>
      </c>
      <c r="AS27" s="387">
        <f t="shared" si="29"/>
        <v>5.0055316560925298E-3</v>
      </c>
      <c r="AT27" s="387">
        <f t="shared" si="30"/>
        <v>0</v>
      </c>
      <c r="AU27" s="387">
        <f t="shared" si="31"/>
        <v>4.8247402775039992E-2</v>
      </c>
      <c r="AV27" s="387">
        <f t="shared" si="32"/>
        <v>7.7472740804937698E-3</v>
      </c>
      <c r="AW27" s="387">
        <f t="shared" si="33"/>
        <v>0</v>
      </c>
      <c r="AX27" s="387">
        <f t="shared" si="34"/>
        <v>3.6000000000000004E-2</v>
      </c>
      <c r="AY27" s="387">
        <f t="shared" si="35"/>
        <v>5.9136000000000001E-2</v>
      </c>
      <c r="AZ27" s="387">
        <f t="shared" si="36"/>
        <v>7.3471999999999996E-2</v>
      </c>
      <c r="BA27" s="387">
        <f t="shared" si="57"/>
        <v>9.5135999999999998E-2</v>
      </c>
      <c r="BB27" s="387">
        <f t="shared" si="58"/>
        <v>0.59671452747770037</v>
      </c>
      <c r="BC27">
        <f t="shared" si="37"/>
        <v>12.96</v>
      </c>
      <c r="BD27" s="606">
        <f t="shared" si="51"/>
        <v>0.95598383913239171</v>
      </c>
      <c r="BE27" s="616">
        <f t="shared" si="38"/>
        <v>3.3067512975562057</v>
      </c>
      <c r="BF27" s="616">
        <f t="shared" si="39"/>
        <v>2.4979863762030341</v>
      </c>
      <c r="BG27" s="9"/>
      <c r="BH27" s="4">
        <f t="shared" si="52"/>
        <v>95.598383913239175</v>
      </c>
      <c r="BI27" s="387">
        <f t="shared" si="53"/>
        <v>0.3607419800902818</v>
      </c>
      <c r="BJ27" s="387">
        <f t="shared" si="54"/>
        <v>0.12158777525010028</v>
      </c>
      <c r="BK27" s="387">
        <f t="shared" si="40"/>
        <v>6.613502595112411E-2</v>
      </c>
      <c r="BL27" s="387">
        <f t="shared" si="41"/>
        <v>4.9959727524060679E-2</v>
      </c>
      <c r="BM27" s="387">
        <f t="shared" si="55"/>
        <v>7.7472740804937698E-3</v>
      </c>
      <c r="BQ27" t="s">
        <v>155</v>
      </c>
      <c r="BR27">
        <v>9.9986669999999993</v>
      </c>
      <c r="BS27">
        <v>0.1166</v>
      </c>
      <c r="BT27">
        <v>5.1212980000000003</v>
      </c>
      <c r="BU27">
        <v>64.729420570558148</v>
      </c>
      <c r="BV27">
        <v>325.37886459483997</v>
      </c>
    </row>
    <row r="28" spans="1:83" x14ac:dyDescent="0.2">
      <c r="A28" s="22" t="s">
        <v>150</v>
      </c>
      <c r="B28" s="5">
        <f>RdsonDRT2</f>
        <v>1</v>
      </c>
      <c r="C28" s="487" t="s">
        <v>120</v>
      </c>
      <c r="D28" s="483" t="s">
        <v>721</v>
      </c>
      <c r="G28">
        <v>19</v>
      </c>
      <c r="H28" s="612">
        <f t="shared" si="0"/>
        <v>19</v>
      </c>
      <c r="I28" s="446" t="str">
        <f t="shared" si="1"/>
        <v>BUCK</v>
      </c>
      <c r="J28">
        <f t="shared" si="43"/>
        <v>1</v>
      </c>
      <c r="K28" s="387">
        <f t="shared" si="44"/>
        <v>1.1399999999999999</v>
      </c>
      <c r="L28" s="4">
        <f t="shared" si="2"/>
        <v>0.75</v>
      </c>
      <c r="M28" s="4">
        <f t="shared" si="56"/>
        <v>1.1399999999999999</v>
      </c>
      <c r="N28" s="387">
        <f t="shared" si="3"/>
        <v>0.63245736783186179</v>
      </c>
      <c r="O28" s="387">
        <f t="shared" si="4"/>
        <v>0</v>
      </c>
      <c r="P28" s="4">
        <f t="shared" si="5"/>
        <v>4.197156020565056</v>
      </c>
      <c r="Q28" s="4">
        <f t="shared" si="6"/>
        <v>1.6636135033155361</v>
      </c>
      <c r="R28" s="387">
        <f t="shared" si="7"/>
        <v>1.6627748508656164E-2</v>
      </c>
      <c r="S28" s="387">
        <f t="shared" si="45"/>
        <v>0.34489324819796319</v>
      </c>
      <c r="T28" s="387">
        <f t="shared" si="46"/>
        <v>0.36152099670661936</v>
      </c>
      <c r="U28" s="4">
        <f t="shared" si="8"/>
        <v>1.2116145791520467</v>
      </c>
      <c r="V28" s="387">
        <f t="shared" si="9"/>
        <v>1.027606921889654E-2</v>
      </c>
      <c r="W28" s="387">
        <f t="shared" si="47"/>
        <v>1.027606921889654E-2</v>
      </c>
      <c r="X28" s="4">
        <f t="shared" si="10"/>
        <v>0.80208782755414321</v>
      </c>
      <c r="Y28" s="387">
        <f t="shared" si="11"/>
        <v>1.2866897662210499E-3</v>
      </c>
      <c r="Z28" s="605">
        <f t="shared" si="48"/>
        <v>1.2866897662210499E-3</v>
      </c>
      <c r="AA28" s="387">
        <f t="shared" si="12"/>
        <v>1.3230250433047817</v>
      </c>
      <c r="AB28" s="387">
        <f t="shared" si="13"/>
        <v>9.9772530117062316E-3</v>
      </c>
      <c r="AC28" s="387">
        <f t="shared" si="14"/>
        <v>1.6469804074605444E-2</v>
      </c>
      <c r="AD28" s="387">
        <f t="shared" si="15"/>
        <v>8.5888589721314513E-3</v>
      </c>
      <c r="AE28" s="387">
        <f t="shared" si="16"/>
        <v>3.5105968284001213E-2</v>
      </c>
      <c r="AF28" s="387">
        <f t="shared" si="17"/>
        <v>1.0085705841447945</v>
      </c>
      <c r="AG28" s="387">
        <f t="shared" si="18"/>
        <v>5.7981233522523806E-3</v>
      </c>
      <c r="AH28" s="387">
        <f t="shared" si="19"/>
        <v>2.9017658972131453E-2</v>
      </c>
      <c r="AI28" s="387">
        <f t="shared" si="20"/>
        <v>3.4856202436647589E-2</v>
      </c>
      <c r="AJ28" s="387">
        <f t="shared" si="21"/>
        <v>0</v>
      </c>
      <c r="AK28" s="387">
        <f t="shared" si="22"/>
        <v>0</v>
      </c>
      <c r="AL28" s="387">
        <f t="shared" si="23"/>
        <v>0</v>
      </c>
      <c r="AM28" s="387">
        <f t="shared" si="24"/>
        <v>0</v>
      </c>
      <c r="AN28" s="387">
        <f t="shared" si="25"/>
        <v>0</v>
      </c>
      <c r="AO28" s="387">
        <f t="shared" si="49"/>
        <v>1.6636135033155361</v>
      </c>
      <c r="AP28" s="387">
        <f t="shared" si="26"/>
        <v>5.2584587879862029E-3</v>
      </c>
      <c r="AQ28" s="387">
        <f t="shared" si="27"/>
        <v>0</v>
      </c>
      <c r="AR28" s="387">
        <f t="shared" si="28"/>
        <v>5.2639948880219695E-3</v>
      </c>
      <c r="AS28" s="387">
        <f t="shared" si="29"/>
        <v>5.2584587879862029E-3</v>
      </c>
      <c r="AT28" s="387">
        <f t="shared" si="30"/>
        <v>0</v>
      </c>
      <c r="AU28" s="387">
        <f t="shared" si="31"/>
        <v>5.0926897042559996E-2</v>
      </c>
      <c r="AV28" s="387">
        <f t="shared" si="32"/>
        <v>8.1377169856173756E-3</v>
      </c>
      <c r="AW28" s="387">
        <f t="shared" si="33"/>
        <v>0</v>
      </c>
      <c r="AX28" s="387">
        <f t="shared" si="34"/>
        <v>3.6000000000000004E-2</v>
      </c>
      <c r="AY28" s="387">
        <f t="shared" si="35"/>
        <v>5.9136000000000001E-2</v>
      </c>
      <c r="AZ28" s="387">
        <f t="shared" si="36"/>
        <v>7.3471999999999996E-2</v>
      </c>
      <c r="BA28" s="387">
        <f t="shared" si="57"/>
        <v>9.5135999999999998E-2</v>
      </c>
      <c r="BB28" s="387">
        <f t="shared" si="58"/>
        <v>0.60251053532858512</v>
      </c>
      <c r="BC28">
        <f t="shared" si="37"/>
        <v>13.68</v>
      </c>
      <c r="BD28" s="606">
        <f t="shared" si="51"/>
        <v>0.95781480196788638</v>
      </c>
      <c r="BE28" s="616">
        <f t="shared" si="38"/>
        <v>3.4358860166045404</v>
      </c>
      <c r="BF28" s="616">
        <f t="shared" si="39"/>
        <v>2.5831039230346193</v>
      </c>
      <c r="BG28" s="9"/>
      <c r="BH28" s="4">
        <f t="shared" si="52"/>
        <v>95.781480196788635</v>
      </c>
      <c r="BI28" s="387">
        <f t="shared" si="53"/>
        <v>0.36152099670661936</v>
      </c>
      <c r="BJ28" s="387">
        <f t="shared" si="54"/>
        <v>0.12615306265123077</v>
      </c>
      <c r="BK28" s="387">
        <f t="shared" si="40"/>
        <v>6.8717720332090809E-2</v>
      </c>
      <c r="BL28" s="387">
        <f t="shared" si="41"/>
        <v>5.1662078460692387E-2</v>
      </c>
      <c r="BM28" s="387">
        <f t="shared" si="55"/>
        <v>8.1377169856173756E-3</v>
      </c>
      <c r="BQ28" t="s">
        <v>156</v>
      </c>
      <c r="BR28">
        <v>9.9987659999999998</v>
      </c>
      <c r="BS28">
        <v>0.14660000000000001</v>
      </c>
      <c r="BT28">
        <v>5.1213230000000003</v>
      </c>
      <c r="BU28">
        <v>69.885376918691776</v>
      </c>
      <c r="BV28">
        <v>323.52446193379996</v>
      </c>
    </row>
    <row r="29" spans="1:83" x14ac:dyDescent="0.2">
      <c r="A29" s="24" t="s">
        <v>117</v>
      </c>
      <c r="B29" s="15" t="s">
        <v>115</v>
      </c>
      <c r="C29" s="24" t="s">
        <v>80</v>
      </c>
      <c r="D29" s="17" t="s">
        <v>111</v>
      </c>
      <c r="G29">
        <v>20</v>
      </c>
      <c r="H29" s="612">
        <f t="shared" si="0"/>
        <v>19</v>
      </c>
      <c r="I29" s="446" t="str">
        <f t="shared" si="1"/>
        <v>BUCK</v>
      </c>
      <c r="J29">
        <f t="shared" si="43"/>
        <v>1</v>
      </c>
      <c r="K29" s="387">
        <f t="shared" si="44"/>
        <v>1.2</v>
      </c>
      <c r="L29" s="4">
        <f t="shared" si="2"/>
        <v>0.78947368421052633</v>
      </c>
      <c r="M29" s="4">
        <f t="shared" si="56"/>
        <v>1.2</v>
      </c>
      <c r="N29" s="387">
        <f t="shared" si="3"/>
        <v>0.63250357713997141</v>
      </c>
      <c r="O29" s="387">
        <f t="shared" si="4"/>
        <v>0</v>
      </c>
      <c r="P29" s="4">
        <f t="shared" si="5"/>
        <v>4.1970409287203205</v>
      </c>
      <c r="Q29" s="4">
        <f t="shared" si="6"/>
        <v>1.7052651933876621</v>
      </c>
      <c r="R29" s="387">
        <f t="shared" si="7"/>
        <v>1.7471963752301291E-2</v>
      </c>
      <c r="S29" s="387">
        <f t="shared" si="45"/>
        <v>0.34487145861891594</v>
      </c>
      <c r="T29" s="387">
        <f t="shared" si="46"/>
        <v>0.36234342237121725</v>
      </c>
      <c r="U29" s="4">
        <f t="shared" si="8"/>
        <v>1.211581354998277</v>
      </c>
      <c r="V29" s="387">
        <f t="shared" si="9"/>
        <v>1.0275505658456228E-2</v>
      </c>
      <c r="W29" s="387">
        <f t="shared" si="47"/>
        <v>1.0275505658456228E-2</v>
      </c>
      <c r="X29" s="4">
        <f t="shared" si="10"/>
        <v>0.82214795090983561</v>
      </c>
      <c r="Y29" s="387">
        <f t="shared" si="11"/>
        <v>1.3518545063704831E-3</v>
      </c>
      <c r="Z29" s="605">
        <f t="shared" si="48"/>
        <v>1.3518545063704831E-3</v>
      </c>
      <c r="AA29" s="387">
        <f t="shared" si="12"/>
        <v>1.3561990026470774</v>
      </c>
      <c r="AB29" s="387">
        <f t="shared" si="13"/>
        <v>1.0483871688251286E-2</v>
      </c>
      <c r="AC29" s="387">
        <f t="shared" si="14"/>
        <v>1.7336635868005736E-2</v>
      </c>
      <c r="AD29" s="387">
        <f t="shared" si="15"/>
        <v>8.050743360667037E-3</v>
      </c>
      <c r="AE29" s="387">
        <f t="shared" si="16"/>
        <v>3.5946622873289966E-2</v>
      </c>
      <c r="AF29" s="387">
        <f t="shared" si="17"/>
        <v>1.0337570531795821</v>
      </c>
      <c r="AG29" s="387">
        <f t="shared" si="18"/>
        <v>6.0913257764916399E-3</v>
      </c>
      <c r="AH29" s="387">
        <f t="shared" si="19"/>
        <v>2.9554743360667036E-2</v>
      </c>
      <c r="AI29" s="387">
        <f t="shared" si="20"/>
        <v>3.5689548470468575E-2</v>
      </c>
      <c r="AJ29" s="387">
        <f t="shared" si="21"/>
        <v>0</v>
      </c>
      <c r="AK29" s="387">
        <f t="shared" si="22"/>
        <v>0</v>
      </c>
      <c r="AL29" s="387">
        <f t="shared" si="23"/>
        <v>0</v>
      </c>
      <c r="AM29" s="387">
        <f t="shared" si="24"/>
        <v>0</v>
      </c>
      <c r="AN29" s="387">
        <f t="shared" si="25"/>
        <v>0</v>
      </c>
      <c r="AO29" s="387">
        <f t="shared" si="49"/>
        <v>1.7052651933876621</v>
      </c>
      <c r="AP29" s="387">
        <f t="shared" si="26"/>
        <v>5.5250658215809751E-3</v>
      </c>
      <c r="AQ29" s="387">
        <f t="shared" si="27"/>
        <v>0</v>
      </c>
      <c r="AR29" s="387">
        <f t="shared" si="28"/>
        <v>5.531177845914885E-3</v>
      </c>
      <c r="AS29" s="387">
        <f t="shared" si="29"/>
        <v>5.5250658215809751E-3</v>
      </c>
      <c r="AT29" s="387">
        <f t="shared" si="30"/>
        <v>0</v>
      </c>
      <c r="AU29" s="387">
        <f t="shared" si="31"/>
        <v>5.3606294783999996E-2</v>
      </c>
      <c r="AV29" s="387">
        <f t="shared" si="32"/>
        <v>8.5492291599882676E-3</v>
      </c>
      <c r="AW29" s="387">
        <f t="shared" si="33"/>
        <v>0</v>
      </c>
      <c r="AX29" s="387">
        <f t="shared" si="34"/>
        <v>3.6000000000000004E-2</v>
      </c>
      <c r="AY29" s="387">
        <f t="shared" si="35"/>
        <v>5.9136000000000001E-2</v>
      </c>
      <c r="AZ29" s="387">
        <f t="shared" si="36"/>
        <v>7.3471999999999996E-2</v>
      </c>
      <c r="BA29" s="387">
        <f t="shared" si="57"/>
        <v>9.5135999999999998E-2</v>
      </c>
      <c r="BB29" s="387">
        <f t="shared" si="58"/>
        <v>0.60842965566970564</v>
      </c>
      <c r="BC29">
        <f t="shared" si="37"/>
        <v>14.399999999999999</v>
      </c>
      <c r="BD29" s="606">
        <f t="shared" si="51"/>
        <v>0.95946080505232201</v>
      </c>
      <c r="BE29" s="616">
        <f t="shared" si="38"/>
        <v>3.5663388715364981</v>
      </c>
      <c r="BF29" s="616">
        <f t="shared" si="39"/>
        <v>2.6689812874594288</v>
      </c>
      <c r="BG29" s="9"/>
      <c r="BH29" s="4">
        <f t="shared" si="52"/>
        <v>95.946080505232203</v>
      </c>
      <c r="BI29" s="387">
        <f t="shared" si="53"/>
        <v>0.36234342237121725</v>
      </c>
      <c r="BJ29" s="387">
        <f t="shared" si="54"/>
        <v>0.13077364397367344</v>
      </c>
      <c r="BK29" s="387">
        <f t="shared" si="40"/>
        <v>7.132677743072996E-2</v>
      </c>
      <c r="BL29" s="387">
        <f t="shared" si="41"/>
        <v>5.3379625749188572E-2</v>
      </c>
      <c r="BM29" s="387">
        <f t="shared" si="55"/>
        <v>8.5492291599882676E-3</v>
      </c>
      <c r="BQ29" t="s">
        <v>157</v>
      </c>
      <c r="BR29">
        <v>9.9987899999999996</v>
      </c>
      <c r="BS29">
        <v>0.1958</v>
      </c>
      <c r="BT29">
        <v>5.1217600000000001</v>
      </c>
      <c r="BU29">
        <v>75.662516566515876</v>
      </c>
      <c r="BV29">
        <v>322.57199766699983</v>
      </c>
    </row>
    <row r="30" spans="1:83" x14ac:dyDescent="0.2">
      <c r="A30" s="22" t="s">
        <v>64</v>
      </c>
      <c r="B30" s="27">
        <f>RdsonDRB</f>
        <v>1.5</v>
      </c>
      <c r="C30" s="487" t="s">
        <v>120</v>
      </c>
      <c r="D30" s="483" t="s">
        <v>720</v>
      </c>
      <c r="G30">
        <v>21</v>
      </c>
      <c r="H30" s="612">
        <f t="shared" si="0"/>
        <v>19</v>
      </c>
      <c r="I30" s="446" t="str">
        <f t="shared" si="1"/>
        <v>BUCK</v>
      </c>
      <c r="J30">
        <f t="shared" si="43"/>
        <v>1</v>
      </c>
      <c r="K30" s="387">
        <f t="shared" si="44"/>
        <v>1.26</v>
      </c>
      <c r="L30" s="4">
        <f t="shared" si="2"/>
        <v>0.82894736842105277</v>
      </c>
      <c r="M30" s="4">
        <f t="shared" si="56"/>
        <v>1.26</v>
      </c>
      <c r="N30" s="387">
        <f t="shared" si="3"/>
        <v>0.632549784114533</v>
      </c>
      <c r="O30" s="387">
        <f t="shared" si="4"/>
        <v>0</v>
      </c>
      <c r="P30" s="4">
        <f t="shared" si="5"/>
        <v>4.1969257597685372</v>
      </c>
      <c r="Q30" s="4">
        <f t="shared" si="6"/>
        <v>1.7479842160092272</v>
      </c>
      <c r="R30" s="387">
        <f t="shared" si="7"/>
        <v>1.8359619417692229E-2</v>
      </c>
      <c r="S30" s="387">
        <f t="shared" si="45"/>
        <v>0.34484965522163191</v>
      </c>
      <c r="T30" s="387">
        <f t="shared" si="46"/>
        <v>0.36320927463932412</v>
      </c>
      <c r="U30" s="4">
        <f t="shared" si="8"/>
        <v>1.2115481085856199</v>
      </c>
      <c r="V30" s="387">
        <f t="shared" si="9"/>
        <v>1.0274941735921752E-2</v>
      </c>
      <c r="W30" s="387">
        <f t="shared" si="47"/>
        <v>1.0274941735921752E-2</v>
      </c>
      <c r="X30" s="4">
        <f t="shared" si="10"/>
        <v>0.84272158157362165</v>
      </c>
      <c r="Y30" s="387">
        <f t="shared" si="11"/>
        <v>1.4203593280998925E-3</v>
      </c>
      <c r="Z30" s="605">
        <f t="shared" si="48"/>
        <v>1.4203593280998925E-3</v>
      </c>
      <c r="AA30" s="387">
        <f t="shared" si="12"/>
        <v>1.3902242592817449</v>
      </c>
      <c r="AB30" s="387">
        <f t="shared" si="13"/>
        <v>1.1016523899244216E-2</v>
      </c>
      <c r="AC30" s="387">
        <f t="shared" si="14"/>
        <v>1.8203467661406021E-2</v>
      </c>
      <c r="AD30" s="387">
        <f t="shared" si="15"/>
        <v>7.5126274037630465E-3</v>
      </c>
      <c r="AE30" s="387">
        <f t="shared" si="16"/>
        <v>3.6813730833522851E-2</v>
      </c>
      <c r="AF30" s="387">
        <f t="shared" si="17"/>
        <v>1.0595873386946053</v>
      </c>
      <c r="AG30" s="387">
        <f t="shared" si="18"/>
        <v>6.3995343714349229E-3</v>
      </c>
      <c r="AH30" s="387">
        <f t="shared" si="19"/>
        <v>3.0091827403763052E-2</v>
      </c>
      <c r="AI30" s="387">
        <f t="shared" si="20"/>
        <v>3.6538127175343271E-2</v>
      </c>
      <c r="AJ30" s="387">
        <f t="shared" si="21"/>
        <v>0</v>
      </c>
      <c r="AK30" s="387">
        <f t="shared" si="22"/>
        <v>0</v>
      </c>
      <c r="AL30" s="387">
        <f t="shared" si="23"/>
        <v>0</v>
      </c>
      <c r="AM30" s="387">
        <f t="shared" si="24"/>
        <v>0</v>
      </c>
      <c r="AN30" s="387">
        <f t="shared" si="25"/>
        <v>0</v>
      </c>
      <c r="AO30" s="387">
        <f t="shared" si="49"/>
        <v>1.7479842160092272</v>
      </c>
      <c r="AP30" s="387">
        <f t="shared" si="26"/>
        <v>5.8053527568930454E-3</v>
      </c>
      <c r="AQ30" s="387">
        <f t="shared" si="27"/>
        <v>0</v>
      </c>
      <c r="AR30" s="387">
        <f t="shared" si="28"/>
        <v>5.8121010162246215E-3</v>
      </c>
      <c r="AS30" s="387">
        <f t="shared" si="29"/>
        <v>5.8053527568930454E-3</v>
      </c>
      <c r="AT30" s="387">
        <f t="shared" si="30"/>
        <v>0</v>
      </c>
      <c r="AU30" s="387">
        <f t="shared" si="31"/>
        <v>5.6285595999359998E-2</v>
      </c>
      <c r="AV30" s="387">
        <f t="shared" si="32"/>
        <v>8.9818026265753304E-3</v>
      </c>
      <c r="AW30" s="387">
        <f t="shared" si="33"/>
        <v>0</v>
      </c>
      <c r="AX30" s="387">
        <f t="shared" si="34"/>
        <v>3.6000000000000004E-2</v>
      </c>
      <c r="AY30" s="387">
        <f t="shared" si="35"/>
        <v>5.9136000000000001E-2</v>
      </c>
      <c r="AZ30" s="387">
        <f t="shared" si="36"/>
        <v>7.3471999999999996E-2</v>
      </c>
      <c r="BA30" s="387">
        <f t="shared" si="57"/>
        <v>9.5135999999999998E-2</v>
      </c>
      <c r="BB30" s="387">
        <f t="shared" si="58"/>
        <v>0.61447193335437189</v>
      </c>
      <c r="BC30">
        <f t="shared" si="37"/>
        <v>15.120000000000001</v>
      </c>
      <c r="BD30" s="606">
        <f t="shared" si="51"/>
        <v>0.96094740669041478</v>
      </c>
      <c r="BE30" s="616">
        <f t="shared" si="38"/>
        <v>3.6981112096550222</v>
      </c>
      <c r="BF30" s="616">
        <f t="shared" si="39"/>
        <v>2.7556186927566033</v>
      </c>
      <c r="BG30" s="9"/>
      <c r="BH30" s="4">
        <f t="shared" si="52"/>
        <v>96.094740669041485</v>
      </c>
      <c r="BI30" s="387">
        <f t="shared" si="53"/>
        <v>0.36320927463932412</v>
      </c>
      <c r="BJ30" s="387">
        <f t="shared" si="54"/>
        <v>0.13544955502445075</v>
      </c>
      <c r="BK30" s="387">
        <f t="shared" si="40"/>
        <v>7.3962224193100445E-2</v>
      </c>
      <c r="BL30" s="387">
        <f t="shared" si="41"/>
        <v>5.5112373855132069E-2</v>
      </c>
      <c r="BM30" s="387">
        <f t="shared" si="55"/>
        <v>8.9818026265753304E-3</v>
      </c>
      <c r="BR30">
        <v>9.9987659999999998</v>
      </c>
      <c r="BS30">
        <v>0.2681</v>
      </c>
      <c r="BT30">
        <v>5.1224080000000001</v>
      </c>
      <c r="BU30">
        <v>80.957553445887683</v>
      </c>
      <c r="BV30">
        <v>323.02506068319997</v>
      </c>
    </row>
    <row r="31" spans="1:83" x14ac:dyDescent="0.2">
      <c r="A31" s="22" t="s">
        <v>149</v>
      </c>
      <c r="B31" s="27">
        <v>1</v>
      </c>
      <c r="C31" s="487" t="s">
        <v>120</v>
      </c>
      <c r="D31" s="483" t="s">
        <v>719</v>
      </c>
      <c r="G31">
        <v>22</v>
      </c>
      <c r="H31" s="612">
        <f t="shared" si="0"/>
        <v>19</v>
      </c>
      <c r="I31" s="446" t="str">
        <f t="shared" si="1"/>
        <v>BUCK</v>
      </c>
      <c r="J31">
        <f t="shared" si="43"/>
        <v>1</v>
      </c>
      <c r="K31" s="387">
        <f t="shared" si="44"/>
        <v>1.32</v>
      </c>
      <c r="L31" s="4">
        <f t="shared" si="2"/>
        <v>0.86842105263157898</v>
      </c>
      <c r="M31" s="4">
        <f t="shared" si="56"/>
        <v>1.32</v>
      </c>
      <c r="N31" s="387">
        <f t="shared" si="3"/>
        <v>0.63259598875572309</v>
      </c>
      <c r="O31" s="387">
        <f t="shared" si="4"/>
        <v>0</v>
      </c>
      <c r="P31" s="4">
        <f t="shared" si="5"/>
        <v>4.1968105137155387</v>
      </c>
      <c r="Q31" s="4">
        <f t="shared" si="6"/>
        <v>1.7916942281918828</v>
      </c>
      <c r="R31" s="387">
        <f t="shared" si="7"/>
        <v>1.9290733964433669E-2</v>
      </c>
      <c r="S31" s="387">
        <f t="shared" si="45"/>
        <v>0.34482783800877514</v>
      </c>
      <c r="T31" s="387">
        <f t="shared" si="46"/>
        <v>0.36411857197320879</v>
      </c>
      <c r="U31" s="4">
        <f t="shared" si="8"/>
        <v>1.2115148399157589</v>
      </c>
      <c r="V31" s="387">
        <f t="shared" si="9"/>
        <v>1.0274377451352748E-2</v>
      </c>
      <c r="W31" s="387">
        <f t="shared" si="47"/>
        <v>1.0274377451352748E-2</v>
      </c>
      <c r="X31" s="4">
        <f t="shared" si="10"/>
        <v>0.86377187355936325</v>
      </c>
      <c r="Y31" s="387">
        <f t="shared" si="11"/>
        <v>1.4922036991045051E-3</v>
      </c>
      <c r="Z31" s="605">
        <f t="shared" si="48"/>
        <v>1.4922036991045051E-3</v>
      </c>
      <c r="AA31" s="387">
        <f t="shared" si="12"/>
        <v>1.4250401858165163</v>
      </c>
      <c r="AB31" s="387">
        <f t="shared" si="13"/>
        <v>1.1575215327794238E-2</v>
      </c>
      <c r="AC31" s="387">
        <f t="shared" si="14"/>
        <v>1.907029945480631E-2</v>
      </c>
      <c r="AD31" s="387">
        <f t="shared" si="15"/>
        <v>6.9745111014456124E-3</v>
      </c>
      <c r="AE31" s="387">
        <f t="shared" si="16"/>
        <v>3.7707319953625605E-2</v>
      </c>
      <c r="AF31" s="387">
        <f t="shared" si="17"/>
        <v>1.0860150441610537</v>
      </c>
      <c r="AG31" s="387">
        <f t="shared" si="18"/>
        <v>6.722743454021571E-3</v>
      </c>
      <c r="AH31" s="387">
        <f t="shared" si="19"/>
        <v>3.0628911101445618E-2</v>
      </c>
      <c r="AI31" s="387">
        <f t="shared" si="20"/>
        <v>3.7401943289350426E-2</v>
      </c>
      <c r="AJ31" s="387">
        <f t="shared" si="21"/>
        <v>0</v>
      </c>
      <c r="AK31" s="387">
        <f t="shared" si="22"/>
        <v>0</v>
      </c>
      <c r="AL31" s="387">
        <f t="shared" si="23"/>
        <v>0</v>
      </c>
      <c r="AM31" s="387">
        <f t="shared" si="24"/>
        <v>0</v>
      </c>
      <c r="AN31" s="387">
        <f t="shared" si="25"/>
        <v>0</v>
      </c>
      <c r="AO31" s="387">
        <f t="shared" si="49"/>
        <v>1.7916942281918828</v>
      </c>
      <c r="AP31" s="387">
        <f t="shared" si="26"/>
        <v>6.0993195939386029E-3</v>
      </c>
      <c r="AQ31" s="387">
        <f t="shared" si="27"/>
        <v>0</v>
      </c>
      <c r="AR31" s="387">
        <f t="shared" si="28"/>
        <v>6.1067690211278475E-3</v>
      </c>
      <c r="AS31" s="387">
        <f t="shared" si="29"/>
        <v>6.0993195939386029E-3</v>
      </c>
      <c r="AT31" s="387">
        <f t="shared" si="30"/>
        <v>0</v>
      </c>
      <c r="AU31" s="387">
        <f t="shared" si="31"/>
        <v>5.8964800688640004E-2</v>
      </c>
      <c r="AV31" s="387">
        <f t="shared" si="32"/>
        <v>9.4354294091530816E-3</v>
      </c>
      <c r="AW31" s="387">
        <f t="shared" si="33"/>
        <v>0</v>
      </c>
      <c r="AX31" s="387">
        <f t="shared" si="34"/>
        <v>3.6000000000000004E-2</v>
      </c>
      <c r="AY31" s="387">
        <f t="shared" si="35"/>
        <v>5.9136000000000001E-2</v>
      </c>
      <c r="AZ31" s="387">
        <f t="shared" si="36"/>
        <v>7.3471999999999996E-2</v>
      </c>
      <c r="BA31" s="387">
        <f t="shared" si="57"/>
        <v>9.5135999999999998E-2</v>
      </c>
      <c r="BB31" s="387">
        <f t="shared" si="58"/>
        <v>0.62063741548556295</v>
      </c>
      <c r="BC31">
        <f t="shared" si="37"/>
        <v>15.84</v>
      </c>
      <c r="BD31" s="606">
        <f t="shared" si="51"/>
        <v>0.96229566329541461</v>
      </c>
      <c r="BE31" s="616">
        <f t="shared" si="38"/>
        <v>3.8312044204064004</v>
      </c>
      <c r="BF31" s="616">
        <f t="shared" si="39"/>
        <v>2.8430163758300813</v>
      </c>
      <c r="BG31" s="9"/>
      <c r="BH31" s="4">
        <f t="shared" si="52"/>
        <v>96.229566329541456</v>
      </c>
      <c r="BI31" s="387">
        <f t="shared" si="53"/>
        <v>0.36411857197320879</v>
      </c>
      <c r="BJ31" s="387">
        <f t="shared" si="54"/>
        <v>0.14018083295274389</v>
      </c>
      <c r="BK31" s="387">
        <f t="shared" si="40"/>
        <v>7.662408840812801E-2</v>
      </c>
      <c r="BL31" s="387">
        <f t="shared" si="41"/>
        <v>5.6860327516601625E-2</v>
      </c>
      <c r="BM31" s="387">
        <f t="shared" si="55"/>
        <v>9.4354294091530816E-3</v>
      </c>
      <c r="BR31">
        <v>9.998704</v>
      </c>
      <c r="BS31">
        <v>0.36549999999999999</v>
      </c>
      <c r="BT31">
        <v>5.123094</v>
      </c>
      <c r="BU31">
        <v>85.419022273213088</v>
      </c>
      <c r="BV31">
        <v>319.63300692320018</v>
      </c>
    </row>
    <row r="32" spans="1:83" x14ac:dyDescent="0.2">
      <c r="A32" s="24" t="s">
        <v>66</v>
      </c>
      <c r="B32" s="15" t="s">
        <v>115</v>
      </c>
      <c r="C32" s="24" t="s">
        <v>80</v>
      </c>
      <c r="D32" s="17" t="s">
        <v>111</v>
      </c>
      <c r="G32">
        <v>23</v>
      </c>
      <c r="H32" s="612">
        <f t="shared" si="0"/>
        <v>19</v>
      </c>
      <c r="I32" s="446" t="str">
        <f t="shared" si="1"/>
        <v>BUCK</v>
      </c>
      <c r="J32">
        <f t="shared" si="43"/>
        <v>1</v>
      </c>
      <c r="K32" s="387">
        <f t="shared" si="44"/>
        <v>1.38</v>
      </c>
      <c r="L32" s="4">
        <f t="shared" si="2"/>
        <v>0.90789473684210531</v>
      </c>
      <c r="M32" s="4">
        <f t="shared" si="56"/>
        <v>1.38</v>
      </c>
      <c r="N32" s="387">
        <f t="shared" si="3"/>
        <v>0.63264219106371877</v>
      </c>
      <c r="O32" s="387">
        <f t="shared" si="4"/>
        <v>0</v>
      </c>
      <c r="P32" s="4">
        <f t="shared" si="5"/>
        <v>4.196695190567171</v>
      </c>
      <c r="Q32" s="4">
        <f t="shared" si="6"/>
        <v>1.8363244657587436</v>
      </c>
      <c r="R32" s="387">
        <f t="shared" si="7"/>
        <v>2.0265326760112952E-2</v>
      </c>
      <c r="S32" s="387">
        <f t="shared" si="45"/>
        <v>0.3448060069830145</v>
      </c>
      <c r="T32" s="387">
        <f t="shared" si="46"/>
        <v>0.36507133374312745</v>
      </c>
      <c r="U32" s="4">
        <f t="shared" si="8"/>
        <v>1.2114815489903821</v>
      </c>
      <c r="V32" s="387">
        <f t="shared" si="9"/>
        <v>1.0273812804808949E-2</v>
      </c>
      <c r="W32" s="387">
        <f t="shared" si="47"/>
        <v>1.0273812804808949E-2</v>
      </c>
      <c r="X32" s="4">
        <f t="shared" si="10"/>
        <v>0.88526467419772281</v>
      </c>
      <c r="Y32" s="387">
        <f t="shared" si="11"/>
        <v>1.5673870867648006E-3</v>
      </c>
      <c r="Z32" s="605">
        <f t="shared" si="48"/>
        <v>1.5673870867648006E-3</v>
      </c>
      <c r="AA32" s="387">
        <f t="shared" si="12"/>
        <v>1.46059058329377</v>
      </c>
      <c r="AB32" s="387">
        <f t="shared" si="13"/>
        <v>1.2159951656436681E-2</v>
      </c>
      <c r="AC32" s="387">
        <f t="shared" si="14"/>
        <v>1.9937131248206594E-2</v>
      </c>
      <c r="AD32" s="387">
        <f t="shared" si="15"/>
        <v>6.4363944537409266E-3</v>
      </c>
      <c r="AE32" s="387">
        <f t="shared" si="16"/>
        <v>3.8627418867592779E-2</v>
      </c>
      <c r="AF32" s="387">
        <f t="shared" si="17"/>
        <v>1.1129971660061406</v>
      </c>
      <c r="AG32" s="387">
        <f t="shared" si="18"/>
        <v>7.0609473417648939E-3</v>
      </c>
      <c r="AH32" s="387">
        <f t="shared" si="19"/>
        <v>3.1165994453740929E-2</v>
      </c>
      <c r="AI32" s="387">
        <f t="shared" si="20"/>
        <v>3.828100182311843E-2</v>
      </c>
      <c r="AJ32" s="387">
        <f t="shared" si="21"/>
        <v>0</v>
      </c>
      <c r="AK32" s="387">
        <f t="shared" si="22"/>
        <v>0</v>
      </c>
      <c r="AL32" s="387">
        <f t="shared" si="23"/>
        <v>0</v>
      </c>
      <c r="AM32" s="387">
        <f t="shared" si="24"/>
        <v>0</v>
      </c>
      <c r="AN32" s="387">
        <f t="shared" si="25"/>
        <v>0</v>
      </c>
      <c r="AO32" s="387">
        <f t="shared" si="49"/>
        <v>1.8363244657587436</v>
      </c>
      <c r="AP32" s="387">
        <f t="shared" si="26"/>
        <v>6.406966332733857E-3</v>
      </c>
      <c r="AQ32" s="387">
        <f t="shared" si="27"/>
        <v>0</v>
      </c>
      <c r="AR32" s="387">
        <f t="shared" si="28"/>
        <v>6.4151867097874187E-3</v>
      </c>
      <c r="AS32" s="387">
        <f t="shared" si="29"/>
        <v>6.406966332733857E-3</v>
      </c>
      <c r="AT32" s="387">
        <f t="shared" si="30"/>
        <v>0</v>
      </c>
      <c r="AU32" s="387">
        <f t="shared" si="31"/>
        <v>6.1643908851839992E-2</v>
      </c>
      <c r="AV32" s="387">
        <f t="shared" si="32"/>
        <v>9.9101015323016049E-3</v>
      </c>
      <c r="AW32" s="387">
        <f t="shared" si="33"/>
        <v>0</v>
      </c>
      <c r="AX32" s="387">
        <f t="shared" si="34"/>
        <v>3.6000000000000004E-2</v>
      </c>
      <c r="AY32" s="387">
        <f t="shared" si="35"/>
        <v>5.9136000000000001E-2</v>
      </c>
      <c r="AZ32" s="387">
        <f t="shared" si="36"/>
        <v>7.3471999999999996E-2</v>
      </c>
      <c r="BA32" s="387">
        <f t="shared" si="57"/>
        <v>9.5135999999999998E-2</v>
      </c>
      <c r="BB32" s="387">
        <f t="shared" si="58"/>
        <v>0.62692615141934149</v>
      </c>
      <c r="BC32">
        <f t="shared" si="37"/>
        <v>16.559999999999999</v>
      </c>
      <c r="BD32" s="606">
        <f t="shared" si="51"/>
        <v>0.96352307876952348</v>
      </c>
      <c r="BE32" s="616">
        <f t="shared" si="38"/>
        <v>3.9656199354903587</v>
      </c>
      <c r="BF32" s="616">
        <f t="shared" si="39"/>
        <v>2.9311745872112813</v>
      </c>
      <c r="BG32" s="9"/>
      <c r="BH32" s="4">
        <f t="shared" si="52"/>
        <v>96.352307876952352</v>
      </c>
      <c r="BI32" s="387">
        <f t="shared" si="53"/>
        <v>0.36507133374312745</v>
      </c>
      <c r="BJ32" s="387">
        <f t="shared" si="54"/>
        <v>0.14496751625233861</v>
      </c>
      <c r="BK32" s="387">
        <f t="shared" si="40"/>
        <v>7.9312398709807178E-2</v>
      </c>
      <c r="BL32" s="387">
        <f t="shared" si="41"/>
        <v>5.8623491744225625E-2</v>
      </c>
      <c r="BM32" s="387">
        <f t="shared" si="55"/>
        <v>9.9101015323016049E-3</v>
      </c>
      <c r="BR32">
        <v>9.9987290000000009</v>
      </c>
      <c r="BS32">
        <v>0.49059999999999998</v>
      </c>
      <c r="BT32">
        <v>5.1238169999999998</v>
      </c>
      <c r="BU32">
        <v>88.551850267052174</v>
      </c>
      <c r="BV32">
        <v>324.98153184230057</v>
      </c>
    </row>
    <row r="33" spans="1:74" x14ac:dyDescent="0.2">
      <c r="A33" s="22" t="s">
        <v>66</v>
      </c>
      <c r="B33" s="5">
        <f>Deadtime*1000000000</f>
        <v>50</v>
      </c>
      <c r="C33" s="483" t="s">
        <v>79</v>
      </c>
      <c r="D33" s="21" t="s">
        <v>102</v>
      </c>
      <c r="G33">
        <v>24</v>
      </c>
      <c r="H33" s="612">
        <f t="shared" si="0"/>
        <v>19</v>
      </c>
      <c r="I33" s="446" t="str">
        <f t="shared" si="1"/>
        <v>BUCK</v>
      </c>
      <c r="J33">
        <f t="shared" si="43"/>
        <v>1</v>
      </c>
      <c r="K33" s="387">
        <f t="shared" si="44"/>
        <v>1.44</v>
      </c>
      <c r="L33" s="4">
        <f t="shared" si="2"/>
        <v>0.94736842105263175</v>
      </c>
      <c r="M33" s="4">
        <f t="shared" si="56"/>
        <v>1.44</v>
      </c>
      <c r="N33" s="387">
        <f t="shared" si="3"/>
        <v>0.63268839103869656</v>
      </c>
      <c r="O33" s="387">
        <f t="shared" si="4"/>
        <v>0</v>
      </c>
      <c r="P33" s="4">
        <f t="shared" si="5"/>
        <v>4.1965797903292712</v>
      </c>
      <c r="Q33" s="4">
        <f t="shared" si="6"/>
        <v>1.8818094558296823</v>
      </c>
      <c r="R33" s="387">
        <f t="shared" si="7"/>
        <v>2.1283418081308243E-2</v>
      </c>
      <c r="S33" s="387">
        <f t="shared" si="45"/>
        <v>0.34478416214701668</v>
      </c>
      <c r="T33" s="387">
        <f t="shared" si="46"/>
        <v>0.36606758022832492</v>
      </c>
      <c r="U33" s="4">
        <f t="shared" si="8"/>
        <v>1.211448235811174</v>
      </c>
      <c r="V33" s="387">
        <f t="shared" si="9"/>
        <v>1.0273247796350041E-2</v>
      </c>
      <c r="W33" s="387">
        <f t="shared" si="47"/>
        <v>1.0273247796350041E-2</v>
      </c>
      <c r="X33" s="4">
        <f t="shared" si="10"/>
        <v>0.9071683851817669</v>
      </c>
      <c r="Y33" s="387">
        <f t="shared" si="11"/>
        <v>1.6459089581465892E-3</v>
      </c>
      <c r="Z33" s="605">
        <f t="shared" si="48"/>
        <v>1.6459089581465892E-3</v>
      </c>
      <c r="AA33" s="387">
        <f t="shared" si="12"/>
        <v>1.4968234533084399</v>
      </c>
      <c r="AB33" s="387">
        <f t="shared" si="13"/>
        <v>1.2770738567132961E-2</v>
      </c>
      <c r="AC33" s="387">
        <f t="shared" si="14"/>
        <v>2.0803963041606883E-2</v>
      </c>
      <c r="AD33" s="387">
        <f t="shared" si="15"/>
        <v>5.8982774606751356E-3</v>
      </c>
      <c r="AE33" s="387">
        <f t="shared" si="16"/>
        <v>3.9574057056757511E-2</v>
      </c>
      <c r="AF33" s="387">
        <f t="shared" si="17"/>
        <v>1.1404939182984717</v>
      </c>
      <c r="AG33" s="387">
        <f t="shared" si="18"/>
        <v>7.414140352752065E-3</v>
      </c>
      <c r="AH33" s="387">
        <f t="shared" si="19"/>
        <v>3.170307746067514E-2</v>
      </c>
      <c r="AI33" s="387">
        <f t="shared" si="20"/>
        <v>3.9175308059890869E-2</v>
      </c>
      <c r="AJ33" s="387">
        <f t="shared" si="21"/>
        <v>0</v>
      </c>
      <c r="AK33" s="387">
        <f t="shared" si="22"/>
        <v>0</v>
      </c>
      <c r="AL33" s="387">
        <f t="shared" si="23"/>
        <v>0</v>
      </c>
      <c r="AM33" s="387">
        <f t="shared" si="24"/>
        <v>0</v>
      </c>
      <c r="AN33" s="387">
        <f t="shared" si="25"/>
        <v>0</v>
      </c>
      <c r="AO33" s="387">
        <f t="shared" si="49"/>
        <v>1.8818094558296823</v>
      </c>
      <c r="AP33" s="387">
        <f t="shared" si="26"/>
        <v>6.7282929732950091E-3</v>
      </c>
      <c r="AQ33" s="387">
        <f t="shared" si="27"/>
        <v>0</v>
      </c>
      <c r="AR33" s="387">
        <f t="shared" si="28"/>
        <v>6.7373591585520188E-3</v>
      </c>
      <c r="AS33" s="387">
        <f t="shared" si="29"/>
        <v>6.7282929732950091E-3</v>
      </c>
      <c r="AT33" s="387">
        <f t="shared" si="30"/>
        <v>0</v>
      </c>
      <c r="AU33" s="387">
        <f t="shared" si="31"/>
        <v>6.4322920488959989E-2</v>
      </c>
      <c r="AV33" s="387">
        <f t="shared" si="32"/>
        <v>1.0405811021406407E-2</v>
      </c>
      <c r="AW33" s="387">
        <f t="shared" si="33"/>
        <v>0</v>
      </c>
      <c r="AX33" s="387">
        <f t="shared" si="34"/>
        <v>3.6000000000000004E-2</v>
      </c>
      <c r="AY33" s="387">
        <f t="shared" si="35"/>
        <v>5.9136000000000001E-2</v>
      </c>
      <c r="AZ33" s="387">
        <f t="shared" si="36"/>
        <v>7.3471999999999996E-2</v>
      </c>
      <c r="BA33" s="387">
        <f t="shared" si="57"/>
        <v>9.5135999999999998E-2</v>
      </c>
      <c r="BB33" s="387">
        <f t="shared" si="58"/>
        <v>0.63333819276838832</v>
      </c>
      <c r="BC33">
        <f t="shared" si="37"/>
        <v>17.28</v>
      </c>
      <c r="BD33" s="606">
        <f t="shared" si="51"/>
        <v>0.9646443233554276</v>
      </c>
      <c r="BE33" s="616">
        <f t="shared" si="38"/>
        <v>4.1013592289735552</v>
      </c>
      <c r="BF33" s="616">
        <f t="shared" si="39"/>
        <v>3.0200935910623832</v>
      </c>
      <c r="BG33" s="9"/>
      <c r="BH33" s="4">
        <f t="shared" si="52"/>
        <v>96.464432335542767</v>
      </c>
      <c r="BI33" s="387">
        <f t="shared" si="53"/>
        <v>0.36606758022832492</v>
      </c>
      <c r="BJ33" s="387">
        <f t="shared" si="54"/>
        <v>0.14980964476416037</v>
      </c>
      <c r="BK33" s="387">
        <f t="shared" si="40"/>
        <v>8.2027184579471113E-2</v>
      </c>
      <c r="BL33" s="387">
        <f t="shared" si="41"/>
        <v>6.0401871821247663E-2</v>
      </c>
      <c r="BM33" s="387">
        <f t="shared" si="55"/>
        <v>1.0405811021406407E-2</v>
      </c>
      <c r="BR33">
        <v>9.9986420000000003</v>
      </c>
      <c r="BS33">
        <v>0.64549999999999996</v>
      </c>
      <c r="BT33">
        <v>5.1237300000000001</v>
      </c>
      <c r="BU33">
        <v>90.41893857119905</v>
      </c>
      <c r="BV33">
        <v>350.45848473660021</v>
      </c>
    </row>
    <row r="34" spans="1:74" x14ac:dyDescent="0.2">
      <c r="A34" s="24" t="s">
        <v>56</v>
      </c>
      <c r="B34" s="15" t="s">
        <v>115</v>
      </c>
      <c r="C34" s="24" t="s">
        <v>80</v>
      </c>
      <c r="D34" s="17" t="s">
        <v>111</v>
      </c>
      <c r="G34">
        <v>25</v>
      </c>
      <c r="H34" s="612">
        <f t="shared" si="0"/>
        <v>19</v>
      </c>
      <c r="I34" s="4" t="str">
        <f t="shared" si="1"/>
        <v>BUCK</v>
      </c>
      <c r="J34">
        <f t="shared" si="43"/>
        <v>1</v>
      </c>
      <c r="K34" s="387">
        <f t="shared" si="44"/>
        <v>1.5</v>
      </c>
      <c r="L34" s="4">
        <f t="shared" si="2"/>
        <v>0.98684210526315796</v>
      </c>
      <c r="M34" s="4">
        <f t="shared" si="56"/>
        <v>1.5</v>
      </c>
      <c r="N34" s="387">
        <f t="shared" si="3"/>
        <v>0.63273458868083321</v>
      </c>
      <c r="O34" s="387">
        <f t="shared" si="4"/>
        <v>0</v>
      </c>
      <c r="P34" s="4">
        <f t="shared" si="5"/>
        <v>4.1964643130076791</v>
      </c>
      <c r="Q34" s="4">
        <f t="shared" si="6"/>
        <v>1.928088706689153</v>
      </c>
      <c r="R34" s="387">
        <f t="shared" si="7"/>
        <v>2.2345029114644425E-2</v>
      </c>
      <c r="S34" s="387">
        <f t="shared" si="45"/>
        <v>0.3447623035034505</v>
      </c>
      <c r="T34" s="387">
        <f t="shared" si="46"/>
        <v>0.36710733261809492</v>
      </c>
      <c r="U34" s="4">
        <f t="shared" si="8"/>
        <v>1.2114149003798209</v>
      </c>
      <c r="V34" s="387">
        <f t="shared" si="9"/>
        <v>1.027268242603576E-2</v>
      </c>
      <c r="W34" s="387">
        <f t="shared" si="47"/>
        <v>1.027268242603576E-2</v>
      </c>
      <c r="X34" s="4">
        <f t="shared" si="10"/>
        <v>0.92945381273119332</v>
      </c>
      <c r="Y34" s="387">
        <f t="shared" si="11"/>
        <v>1.7277687800011045E-3</v>
      </c>
      <c r="Z34" s="605">
        <f t="shared" si="48"/>
        <v>1.7277687800011045E-3</v>
      </c>
      <c r="AA34" s="387">
        <f t="shared" si="12"/>
        <v>1.5336907520846417</v>
      </c>
      <c r="AB34" s="387">
        <f t="shared" si="13"/>
        <v>1.3407581741270738E-2</v>
      </c>
      <c r="AC34" s="387">
        <f t="shared" si="14"/>
        <v>2.1670794835007171E-2</v>
      </c>
      <c r="AD34" s="387">
        <f t="shared" si="15"/>
        <v>5.3601601222744016E-3</v>
      </c>
      <c r="AE34" s="387">
        <f t="shared" si="16"/>
        <v>4.0547264852130289E-2</v>
      </c>
      <c r="AF34" s="387">
        <f t="shared" si="17"/>
        <v>1.168468543792385</v>
      </c>
      <c r="AG34" s="387">
        <f t="shared" si="18"/>
        <v>7.7823168056440914E-3</v>
      </c>
      <c r="AH34" s="387">
        <f t="shared" si="19"/>
        <v>3.2240160122274403E-2</v>
      </c>
      <c r="AI34" s="387">
        <f t="shared" si="20"/>
        <v>4.0084867555604489E-2</v>
      </c>
      <c r="AJ34" s="387">
        <f t="shared" si="21"/>
        <v>0</v>
      </c>
      <c r="AK34" s="387">
        <f t="shared" si="22"/>
        <v>0</v>
      </c>
      <c r="AL34" s="387">
        <f t="shared" si="23"/>
        <v>0</v>
      </c>
      <c r="AM34" s="387">
        <f t="shared" si="24"/>
        <v>0</v>
      </c>
      <c r="AN34" s="387">
        <f t="shared" si="25"/>
        <v>0</v>
      </c>
      <c r="AO34" s="387">
        <f t="shared" si="49"/>
        <v>1.928088706689153</v>
      </c>
      <c r="AP34" s="387">
        <f t="shared" si="26"/>
        <v>7.0632995156382763E-3</v>
      </c>
      <c r="AQ34" s="387">
        <f t="shared" si="27"/>
        <v>0</v>
      </c>
      <c r="AR34" s="387">
        <f t="shared" si="28"/>
        <v>7.0732916711652586E-3</v>
      </c>
      <c r="AS34" s="387">
        <f t="shared" si="29"/>
        <v>7.0632995156382763E-3</v>
      </c>
      <c r="AT34" s="387">
        <f t="shared" si="30"/>
        <v>0</v>
      </c>
      <c r="AU34" s="387">
        <f t="shared" si="31"/>
        <v>6.7001835600000004E-2</v>
      </c>
      <c r="AV34" s="387">
        <f t="shared" si="32"/>
        <v>1.0922549902658374E-2</v>
      </c>
      <c r="AW34" s="387">
        <f t="shared" si="33"/>
        <v>0</v>
      </c>
      <c r="AX34" s="387">
        <f t="shared" si="34"/>
        <v>3.6000000000000004E-2</v>
      </c>
      <c r="AY34" s="387">
        <f t="shared" si="35"/>
        <v>5.9136000000000001E-2</v>
      </c>
      <c r="AZ34" s="387">
        <f t="shared" si="36"/>
        <v>7.3471999999999996E-2</v>
      </c>
      <c r="BA34" s="387">
        <f t="shared" si="57"/>
        <v>9.5135999999999998E-2</v>
      </c>
      <c r="BB34" s="387">
        <f t="shared" si="58"/>
        <v>0.63987359340569017</v>
      </c>
      <c r="BC34">
        <f t="shared" si="37"/>
        <v>18</v>
      </c>
      <c r="BD34" s="606">
        <f t="shared" si="51"/>
        <v>0.96567178472540394</v>
      </c>
      <c r="BE34" s="616">
        <f t="shared" si="38"/>
        <v>4.2384238174065141</v>
      </c>
      <c r="BF34" s="616">
        <f t="shared" si="39"/>
        <v>3.1097736651802244</v>
      </c>
      <c r="BG34" s="9"/>
      <c r="BH34" s="4">
        <f t="shared" si="52"/>
        <v>96.567178472540391</v>
      </c>
      <c r="BI34" s="387">
        <f t="shared" si="53"/>
        <v>0.36710733261809492</v>
      </c>
      <c r="BJ34" s="387">
        <f t="shared" si="54"/>
        <v>0.15470725967890003</v>
      </c>
      <c r="BK34" s="387">
        <f t="shared" si="40"/>
        <v>8.4768476348130284E-2</v>
      </c>
      <c r="BL34" s="387">
        <f t="shared" si="41"/>
        <v>6.219547330360449E-2</v>
      </c>
      <c r="BM34" s="387">
        <f t="shared" si="55"/>
        <v>1.0922549902658374E-2</v>
      </c>
      <c r="BR34">
        <v>9.9986049999999995</v>
      </c>
      <c r="BS34">
        <v>0.83240000000000003</v>
      </c>
      <c r="BT34">
        <v>5.1231559999999998</v>
      </c>
      <c r="BU34">
        <v>91.678946361105133</v>
      </c>
      <c r="BV34">
        <v>387.05996035199956</v>
      </c>
    </row>
    <row r="35" spans="1:74" x14ac:dyDescent="0.2">
      <c r="A35" s="22" t="s">
        <v>158</v>
      </c>
      <c r="B35" s="5">
        <f>Iq*1000</f>
        <v>3</v>
      </c>
      <c r="C35" s="483" t="s">
        <v>68</v>
      </c>
      <c r="D35" s="21" t="s">
        <v>161</v>
      </c>
      <c r="G35">
        <v>26</v>
      </c>
      <c r="H35" s="612">
        <f t="shared" si="0"/>
        <v>19</v>
      </c>
      <c r="I35" s="4" t="str">
        <f t="shared" si="1"/>
        <v>BUCK</v>
      </c>
      <c r="J35">
        <f t="shared" si="43"/>
        <v>1</v>
      </c>
      <c r="K35" s="387">
        <f t="shared" si="44"/>
        <v>1.56</v>
      </c>
      <c r="L35" s="4">
        <f t="shared" si="2"/>
        <v>1.0263157894736843</v>
      </c>
      <c r="M35" s="4">
        <f t="shared" si="56"/>
        <v>1.56</v>
      </c>
      <c r="N35" s="387">
        <f t="shared" si="3"/>
        <v>0.63278078399030535</v>
      </c>
      <c r="O35" s="387">
        <f t="shared" si="4"/>
        <v>0</v>
      </c>
      <c r="P35" s="4">
        <f t="shared" si="5"/>
        <v>4.1963487586082318</v>
      </c>
      <c r="Q35" s="4">
        <f t="shared" si="6"/>
        <v>1.9751063875116712</v>
      </c>
      <c r="R35" s="387">
        <f t="shared" si="7"/>
        <v>2.3450181957896731E-2</v>
      </c>
      <c r="S35" s="387">
        <f t="shared" si="45"/>
        <v>0.34474043105498514</v>
      </c>
      <c r="T35" s="387">
        <f t="shared" si="46"/>
        <v>0.36819061301288186</v>
      </c>
      <c r="U35" s="4">
        <f t="shared" si="8"/>
        <v>1.2113815426980072</v>
      </c>
      <c r="V35" s="387">
        <f t="shared" si="9"/>
        <v>1.0272116693925828E-2</v>
      </c>
      <c r="W35" s="387">
        <f t="shared" si="47"/>
        <v>1.0272116693925828E-2</v>
      </c>
      <c r="X35" s="4">
        <f t="shared" si="10"/>
        <v>0.95209401289081907</v>
      </c>
      <c r="Y35" s="387">
        <f t="shared" si="11"/>
        <v>1.8129660187650863E-3</v>
      </c>
      <c r="Z35" s="605">
        <f t="shared" si="48"/>
        <v>1.8129660187650863E-3</v>
      </c>
      <c r="AA35" s="387">
        <f t="shared" si="12"/>
        <v>1.5711481364300777</v>
      </c>
      <c r="AB35" s="387">
        <f t="shared" si="13"/>
        <v>1.4070486859663923E-2</v>
      </c>
      <c r="AC35" s="387">
        <f t="shared" si="14"/>
        <v>2.2537626628407456E-2</v>
      </c>
      <c r="AD35" s="387">
        <f t="shared" si="15"/>
        <v>4.8220424385648775E-3</v>
      </c>
      <c r="AE35" s="387">
        <f t="shared" si="16"/>
        <v>4.1547073436806276E-2</v>
      </c>
      <c r="AF35" s="387">
        <f t="shared" si="17"/>
        <v>1.1968871188970573</v>
      </c>
      <c r="AG35" s="387">
        <f t="shared" si="18"/>
        <v>8.1654710196756835E-3</v>
      </c>
      <c r="AH35" s="387">
        <f t="shared" si="19"/>
        <v>3.2777242438564884E-2</v>
      </c>
      <c r="AI35" s="387">
        <f t="shared" si="20"/>
        <v>4.1009686138979332E-2</v>
      </c>
      <c r="AJ35" s="387">
        <f t="shared" si="21"/>
        <v>0</v>
      </c>
      <c r="AK35" s="387">
        <f t="shared" si="22"/>
        <v>0</v>
      </c>
      <c r="AL35" s="387">
        <f t="shared" si="23"/>
        <v>0</v>
      </c>
      <c r="AM35" s="387">
        <f t="shared" si="24"/>
        <v>0</v>
      </c>
      <c r="AN35" s="387">
        <f t="shared" si="25"/>
        <v>0</v>
      </c>
      <c r="AO35" s="387">
        <f t="shared" si="49"/>
        <v>1.9751063875116712</v>
      </c>
      <c r="AP35" s="387">
        <f t="shared" si="26"/>
        <v>7.4119859597798678E-3</v>
      </c>
      <c r="AQ35" s="387">
        <f t="shared" si="27"/>
        <v>0</v>
      </c>
      <c r="AR35" s="387">
        <f t="shared" si="28"/>
        <v>7.422989778984152E-3</v>
      </c>
      <c r="AS35" s="387">
        <f t="shared" si="29"/>
        <v>7.4119859597798678E-3</v>
      </c>
      <c r="AT35" s="387">
        <f t="shared" si="30"/>
        <v>0</v>
      </c>
      <c r="AU35" s="387">
        <f t="shared" si="31"/>
        <v>6.968065418496E-2</v>
      </c>
      <c r="AV35" s="387">
        <f t="shared" si="32"/>
        <v>1.1460310203053589E-2</v>
      </c>
      <c r="AW35" s="387">
        <f t="shared" si="33"/>
        <v>0</v>
      </c>
      <c r="AX35" s="387">
        <f t="shared" si="34"/>
        <v>3.6000000000000004E-2</v>
      </c>
      <c r="AY35" s="387">
        <f t="shared" si="35"/>
        <v>5.9136000000000001E-2</v>
      </c>
      <c r="AZ35" s="387">
        <f t="shared" si="36"/>
        <v>7.3471999999999996E-2</v>
      </c>
      <c r="BA35" s="387">
        <f t="shared" si="57"/>
        <v>9.5135999999999998E-2</v>
      </c>
      <c r="BB35" s="387">
        <f t="shared" si="58"/>
        <v>0.64653240946835611</v>
      </c>
      <c r="BC35">
        <f t="shared" si="37"/>
        <v>18.72</v>
      </c>
      <c r="BD35" s="606">
        <f t="shared" si="51"/>
        <v>0.9666159952748038</v>
      </c>
      <c r="BE35" s="616">
        <f t="shared" si="38"/>
        <v>4.376815259943994</v>
      </c>
      <c r="BF35" s="616">
        <f t="shared" si="39"/>
        <v>3.2002151010008069</v>
      </c>
      <c r="BG35" s="9"/>
      <c r="BH35" s="4">
        <f t="shared" si="52"/>
        <v>96.661599527480377</v>
      </c>
      <c r="BI35" s="387">
        <f t="shared" si="53"/>
        <v>0.36819061301288186</v>
      </c>
      <c r="BJ35" s="387">
        <f t="shared" si="54"/>
        <v>0.15966040353972977</v>
      </c>
      <c r="BK35" s="387">
        <f t="shared" si="40"/>
        <v>8.753630519887988E-2</v>
      </c>
      <c r="BL35" s="387">
        <f t="shared" si="41"/>
        <v>6.4004302020016141E-2</v>
      </c>
      <c r="BM35" s="387">
        <f t="shared" si="55"/>
        <v>1.1460310203053589E-2</v>
      </c>
      <c r="BR35">
        <v>9.9986049999999995</v>
      </c>
      <c r="BS35">
        <v>1.0528999999999999</v>
      </c>
      <c r="BT35">
        <v>5.1218219999999999</v>
      </c>
      <c r="BU35">
        <v>92.889938966292178</v>
      </c>
      <c r="BV35">
        <v>412.77762981700039</v>
      </c>
    </row>
    <row r="36" spans="1:74" x14ac:dyDescent="0.2">
      <c r="A36" s="24" t="s">
        <v>772</v>
      </c>
      <c r="B36" s="15" t="s">
        <v>115</v>
      </c>
      <c r="C36" s="24" t="s">
        <v>80</v>
      </c>
      <c r="D36" s="17" t="s">
        <v>111</v>
      </c>
      <c r="G36">
        <v>27</v>
      </c>
      <c r="H36" s="612">
        <f t="shared" si="0"/>
        <v>19</v>
      </c>
      <c r="I36" s="4" t="str">
        <f t="shared" si="1"/>
        <v>BUCK</v>
      </c>
      <c r="J36">
        <f t="shared" si="43"/>
        <v>1</v>
      </c>
      <c r="K36" s="387">
        <f t="shared" si="44"/>
        <v>1.62</v>
      </c>
      <c r="L36" s="4">
        <f t="shared" si="2"/>
        <v>1.0657894736842106</v>
      </c>
      <c r="M36" s="4">
        <f t="shared" si="56"/>
        <v>1.62</v>
      </c>
      <c r="N36" s="387">
        <f t="shared" si="3"/>
        <v>0.63282697696728973</v>
      </c>
      <c r="O36" s="387">
        <f t="shared" si="4"/>
        <v>0</v>
      </c>
      <c r="P36" s="4">
        <f t="shared" si="5"/>
        <v>4.1962331271367681</v>
      </c>
      <c r="Q36" s="4">
        <f t="shared" si="6"/>
        <v>2.022811007345966</v>
      </c>
      <c r="R36" s="387">
        <f t="shared" si="7"/>
        <v>2.4598899621142294E-2</v>
      </c>
      <c r="S36" s="387">
        <f t="shared" si="45"/>
        <v>0.34471854480429076</v>
      </c>
      <c r="T36" s="387">
        <f t="shared" si="46"/>
        <v>0.36931744442543307</v>
      </c>
      <c r="U36" s="4">
        <f t="shared" si="8"/>
        <v>1.2113481627674192</v>
      </c>
      <c r="V36" s="387">
        <f t="shared" si="9"/>
        <v>1.0271550600080014E-2</v>
      </c>
      <c r="W36" s="387">
        <f t="shared" si="47"/>
        <v>1.0271550600080014E-2</v>
      </c>
      <c r="X36" s="4">
        <f t="shared" si="10"/>
        <v>0.97506413649586821</v>
      </c>
      <c r="Y36" s="387">
        <f t="shared" si="11"/>
        <v>1.9015001405608663E-3</v>
      </c>
      <c r="Z36" s="605">
        <f t="shared" si="48"/>
        <v>1.9015001405608663E-3</v>
      </c>
      <c r="AA36" s="387">
        <f t="shared" si="12"/>
        <v>1.6091547090447329</v>
      </c>
      <c r="AB36" s="387">
        <f t="shared" si="13"/>
        <v>1.4759459602552783E-2</v>
      </c>
      <c r="AC36" s="387">
        <f t="shared" si="14"/>
        <v>2.3404458421807744E-2</v>
      </c>
      <c r="AD36" s="387">
        <f t="shared" si="15"/>
        <v>4.2839244095727209E-3</v>
      </c>
      <c r="AE36" s="387">
        <f t="shared" si="16"/>
        <v>4.2573514848442101E-2</v>
      </c>
      <c r="AF36" s="387">
        <f t="shared" si="17"/>
        <v>1.2257183582696161</v>
      </c>
      <c r="AG36" s="387">
        <f t="shared" si="18"/>
        <v>8.5635973146552299E-3</v>
      </c>
      <c r="AH36" s="387">
        <f t="shared" si="19"/>
        <v>3.3314324409572722E-2</v>
      </c>
      <c r="AI36" s="387">
        <f t="shared" si="20"/>
        <v>4.1949769911621068E-2</v>
      </c>
      <c r="AJ36" s="387">
        <f t="shared" si="21"/>
        <v>0</v>
      </c>
      <c r="AK36" s="387">
        <f t="shared" si="22"/>
        <v>0</v>
      </c>
      <c r="AL36" s="387">
        <f t="shared" si="23"/>
        <v>0</v>
      </c>
      <c r="AM36" s="387">
        <f t="shared" si="24"/>
        <v>0</v>
      </c>
      <c r="AN36" s="387">
        <f t="shared" si="25"/>
        <v>0</v>
      </c>
      <c r="AO36" s="387">
        <f t="shared" si="49"/>
        <v>2.022811007345966</v>
      </c>
      <c r="AP36" s="387">
        <f t="shared" si="26"/>
        <v>7.7743523057360034E-3</v>
      </c>
      <c r="AQ36" s="387">
        <f t="shared" si="27"/>
        <v>0</v>
      </c>
      <c r="AR36" s="387">
        <f t="shared" si="28"/>
        <v>7.7864592412070829E-3</v>
      </c>
      <c r="AS36" s="387">
        <f t="shared" si="29"/>
        <v>7.7743523057360034E-3</v>
      </c>
      <c r="AT36" s="387">
        <f t="shared" si="30"/>
        <v>0</v>
      </c>
      <c r="AU36" s="387">
        <f t="shared" si="31"/>
        <v>7.2359376243840007E-2</v>
      </c>
      <c r="AV36" s="387">
        <f t="shared" si="32"/>
        <v>1.2019083950393304E-2</v>
      </c>
      <c r="AW36" s="387">
        <f t="shared" si="33"/>
        <v>0</v>
      </c>
      <c r="AX36" s="387">
        <f t="shared" si="34"/>
        <v>3.6000000000000004E-2</v>
      </c>
      <c r="AY36" s="387">
        <f t="shared" si="35"/>
        <v>5.9136000000000001E-2</v>
      </c>
      <c r="AZ36" s="387">
        <f t="shared" si="36"/>
        <v>7.3471999999999996E-2</v>
      </c>
      <c r="BA36" s="387">
        <f t="shared" si="57"/>
        <v>9.5135999999999998E-2</v>
      </c>
      <c r="BB36" s="387">
        <f t="shared" si="58"/>
        <v>0.65331469936157749</v>
      </c>
      <c r="BC36">
        <f t="shared" si="37"/>
        <v>19.440000000000001</v>
      </c>
      <c r="BD36" s="606">
        <f t="shared" si="51"/>
        <v>0.96748596689314115</v>
      </c>
      <c r="BE36" s="616">
        <f t="shared" si="38"/>
        <v>4.5165351584688258</v>
      </c>
      <c r="BF36" s="616">
        <f t="shared" si="39"/>
        <v>3.291418203604414</v>
      </c>
      <c r="BG36" s="9"/>
      <c r="BH36" s="4">
        <f t="shared" si="52"/>
        <v>96.748596689314112</v>
      </c>
      <c r="BI36" s="387">
        <f t="shared" si="53"/>
        <v>0.36931744442543307</v>
      </c>
      <c r="BJ36" s="387">
        <f t="shared" si="54"/>
        <v>0.16466912024511027</v>
      </c>
      <c r="BK36" s="387">
        <f t="shared" si="40"/>
        <v>9.0330703169376511E-2</v>
      </c>
      <c r="BL36" s="387">
        <f t="shared" si="41"/>
        <v>6.582836407208828E-2</v>
      </c>
      <c r="BM36" s="387">
        <f t="shared" si="55"/>
        <v>1.2019083950393304E-2</v>
      </c>
      <c r="BR36">
        <v>9.9986669999999993</v>
      </c>
      <c r="BS36">
        <v>1.3092999999999999</v>
      </c>
      <c r="BT36">
        <v>5.1195649999999997</v>
      </c>
      <c r="BU36">
        <v>93.690364214923264</v>
      </c>
      <c r="BV36">
        <v>451.42072788069993</v>
      </c>
    </row>
    <row r="37" spans="1:74" x14ac:dyDescent="0.2">
      <c r="A37" s="23" t="s">
        <v>75</v>
      </c>
      <c r="B37" s="5">
        <f>Rdson1*1000</f>
        <v>5.7</v>
      </c>
      <c r="C37" s="485" t="s">
        <v>678</v>
      </c>
      <c r="D37" s="483" t="s">
        <v>775</v>
      </c>
      <c r="G37">
        <v>28</v>
      </c>
      <c r="H37" s="612">
        <f t="shared" si="0"/>
        <v>19</v>
      </c>
      <c r="I37" s="4" t="str">
        <f t="shared" si="1"/>
        <v>BUCK</v>
      </c>
      <c r="J37">
        <f t="shared" si="43"/>
        <v>1</v>
      </c>
      <c r="K37" s="387">
        <f t="shared" si="44"/>
        <v>1.68</v>
      </c>
      <c r="L37" s="4">
        <f t="shared" si="2"/>
        <v>1.1052631578947369</v>
      </c>
      <c r="M37" s="4">
        <f t="shared" si="56"/>
        <v>1.68</v>
      </c>
      <c r="N37" s="387">
        <f t="shared" si="3"/>
        <v>0.63287316761196299</v>
      </c>
      <c r="O37" s="387">
        <f t="shared" si="4"/>
        <v>0</v>
      </c>
      <c r="P37" s="4">
        <f t="shared" si="5"/>
        <v>4.1961174185991261</v>
      </c>
      <c r="Q37" s="4">
        <f t="shared" si="6"/>
        <v>2.0711551002333417</v>
      </c>
      <c r="R37" s="387">
        <f t="shared" si="7"/>
        <v>2.5791206027959646E-2</v>
      </c>
      <c r="S37" s="387">
        <f t="shared" si="45"/>
        <v>0.34469664475403788</v>
      </c>
      <c r="T37" s="387">
        <f t="shared" si="46"/>
        <v>0.37048785078199753</v>
      </c>
      <c r="U37" s="4">
        <f t="shared" si="8"/>
        <v>1.2113147605897416</v>
      </c>
      <c r="V37" s="387">
        <f t="shared" si="9"/>
        <v>1.0270984144558081E-2</v>
      </c>
      <c r="W37" s="387">
        <f t="shared" si="47"/>
        <v>1.0270984144558081E-2</v>
      </c>
      <c r="X37" s="4">
        <f t="shared" si="10"/>
        <v>0.99834127711831533</v>
      </c>
      <c r="Y37" s="387">
        <f t="shared" si="11"/>
        <v>1.993370611196458E-3</v>
      </c>
      <c r="Z37" s="605">
        <f t="shared" si="48"/>
        <v>1.993370611196458E-3</v>
      </c>
      <c r="AA37" s="387">
        <f t="shared" si="12"/>
        <v>1.6476727686534447</v>
      </c>
      <c r="AB37" s="387">
        <f t="shared" si="13"/>
        <v>1.5474505649604016E-2</v>
      </c>
      <c r="AC37" s="387">
        <f t="shared" si="14"/>
        <v>2.4271290215208029E-2</v>
      </c>
      <c r="AD37" s="387">
        <f t="shared" si="15"/>
        <v>3.7458060353240861E-3</v>
      </c>
      <c r="AE37" s="387">
        <f t="shared" si="16"/>
        <v>4.3626621981802241E-2</v>
      </c>
      <c r="AF37" s="387">
        <f t="shared" si="17"/>
        <v>1.2549334231984086</v>
      </c>
      <c r="AG37" s="387">
        <f t="shared" si="18"/>
        <v>8.9766900109647142E-3</v>
      </c>
      <c r="AH37" s="387">
        <f t="shared" si="19"/>
        <v>3.3851406035324084E-2</v>
      </c>
      <c r="AI37" s="387">
        <f t="shared" si="20"/>
        <v>4.2905125248135625E-2</v>
      </c>
      <c r="AJ37" s="387">
        <f t="shared" si="21"/>
        <v>0</v>
      </c>
      <c r="AK37" s="387">
        <f t="shared" si="22"/>
        <v>0</v>
      </c>
      <c r="AL37" s="387">
        <f t="shared" si="23"/>
        <v>0</v>
      </c>
      <c r="AM37" s="387">
        <f t="shared" si="24"/>
        <v>0</v>
      </c>
      <c r="AN37" s="387">
        <f t="shared" si="25"/>
        <v>0</v>
      </c>
      <c r="AO37" s="387">
        <f t="shared" si="49"/>
        <v>2.0711551002333417</v>
      </c>
      <c r="AP37" s="387">
        <f t="shared" si="26"/>
        <v>8.1503985535229095E-3</v>
      </c>
      <c r="AQ37" s="387">
        <f t="shared" si="27"/>
        <v>0</v>
      </c>
      <c r="AR37" s="387">
        <f t="shared" si="28"/>
        <v>8.163706045111201E-3</v>
      </c>
      <c r="AS37" s="387">
        <f t="shared" si="29"/>
        <v>8.1503985535229095E-3</v>
      </c>
      <c r="AT37" s="387">
        <f t="shared" si="30"/>
        <v>0</v>
      </c>
      <c r="AU37" s="387">
        <f t="shared" si="31"/>
        <v>7.5038001776639995E-2</v>
      </c>
      <c r="AV37" s="387">
        <f t="shared" si="32"/>
        <v>1.2598863173283809E-2</v>
      </c>
      <c r="AW37" s="387">
        <f t="shared" si="33"/>
        <v>0</v>
      </c>
      <c r="AX37" s="387">
        <f t="shared" si="34"/>
        <v>3.6000000000000004E-2</v>
      </c>
      <c r="AY37" s="387">
        <f t="shared" si="35"/>
        <v>5.9136000000000001E-2</v>
      </c>
      <c r="AZ37" s="387">
        <f t="shared" si="36"/>
        <v>7.3471999999999996E-2</v>
      </c>
      <c r="BA37" s="387">
        <f t="shared" si="57"/>
        <v>9.5135999999999998E-2</v>
      </c>
      <c r="BB37" s="387">
        <f t="shared" si="58"/>
        <v>0.66022052376272489</v>
      </c>
      <c r="BC37">
        <f t="shared" si="37"/>
        <v>20.16</v>
      </c>
      <c r="BD37" s="606">
        <f t="shared" si="51"/>
        <v>0.9682894557716526</v>
      </c>
      <c r="BE37" s="616">
        <f t="shared" si="38"/>
        <v>4.6575851577192324</v>
      </c>
      <c r="BF37" s="616">
        <f t="shared" si="39"/>
        <v>3.3833832917213411</v>
      </c>
      <c r="BG37" s="9"/>
      <c r="BH37" s="4">
        <f t="shared" si="52"/>
        <v>96.828945577165257</v>
      </c>
      <c r="BI37" s="387">
        <f t="shared" si="53"/>
        <v>0.37048785078199753</v>
      </c>
      <c r="BJ37" s="387">
        <f t="shared" si="54"/>
        <v>0.16973345505168907</v>
      </c>
      <c r="BK37" s="387">
        <f t="shared" si="40"/>
        <v>9.3151703154384646E-2</v>
      </c>
      <c r="BL37" s="387">
        <f t="shared" si="41"/>
        <v>6.7667665834426821E-2</v>
      </c>
      <c r="BM37" s="387">
        <f t="shared" si="55"/>
        <v>1.2598863173283809E-2</v>
      </c>
      <c r="BR37">
        <v>9.9985429999999997</v>
      </c>
      <c r="BS37">
        <v>1.6020000000000001</v>
      </c>
      <c r="BT37">
        <v>5.1182809999999996</v>
      </c>
      <c r="BU37">
        <v>93.864473327748414</v>
      </c>
      <c r="BV37">
        <v>535.96589716749952</v>
      </c>
    </row>
    <row r="38" spans="1:74" x14ac:dyDescent="0.2">
      <c r="A38" s="22" t="s">
        <v>83</v>
      </c>
      <c r="B38" s="5">
        <f>RdsonTopTc*1000000</f>
        <v>4000</v>
      </c>
      <c r="C38" s="483" t="s">
        <v>85</v>
      </c>
      <c r="D38" s="21" t="s">
        <v>113</v>
      </c>
      <c r="G38">
        <v>29</v>
      </c>
      <c r="H38" s="612">
        <f t="shared" si="0"/>
        <v>19</v>
      </c>
      <c r="I38" s="4" t="str">
        <f t="shared" si="1"/>
        <v>BUCK</v>
      </c>
      <c r="J38">
        <f t="shared" si="43"/>
        <v>1</v>
      </c>
      <c r="K38" s="387">
        <f t="shared" si="44"/>
        <v>1.74</v>
      </c>
      <c r="L38" s="4">
        <f t="shared" si="2"/>
        <v>1.1447368421052633</v>
      </c>
      <c r="M38" s="4">
        <f t="shared" si="56"/>
        <v>1.74</v>
      </c>
      <c r="N38" s="387">
        <f t="shared" si="3"/>
        <v>0.63291935592450166</v>
      </c>
      <c r="O38" s="387">
        <f t="shared" si="4"/>
        <v>0</v>
      </c>
      <c r="P38" s="4">
        <f t="shared" si="5"/>
        <v>4.1960016330011394</v>
      </c>
      <c r="Q38" s="4">
        <f t="shared" si="6"/>
        <v>2.1200949213055735</v>
      </c>
      <c r="R38" s="387">
        <f t="shared" si="7"/>
        <v>2.7027126016676315E-2</v>
      </c>
      <c r="S38" s="387">
        <f t="shared" si="45"/>
        <v>0.3446747309068976</v>
      </c>
      <c r="T38" s="387">
        <f t="shared" si="46"/>
        <v>0.37170185692357394</v>
      </c>
      <c r="U38" s="4">
        <f t="shared" si="8"/>
        <v>1.2112813361666586</v>
      </c>
      <c r="V38" s="387">
        <f t="shared" si="9"/>
        <v>1.02704173274198E-2</v>
      </c>
      <c r="W38" s="387">
        <f t="shared" si="47"/>
        <v>1.02704173274198E-2</v>
      </c>
      <c r="X38" s="4">
        <f t="shared" si="10"/>
        <v>1.0219043243292487</v>
      </c>
      <c r="Y38" s="387">
        <f t="shared" si="11"/>
        <v>2.0885768961656365E-3</v>
      </c>
      <c r="Z38" s="605">
        <f t="shared" si="48"/>
        <v>2.0885768961656365E-3</v>
      </c>
      <c r="AA38" s="387">
        <f t="shared" si="12"/>
        <v>1.686667568818363</v>
      </c>
      <c r="AB38" s="387">
        <f t="shared" si="13"/>
        <v>1.6215630679910789E-2</v>
      </c>
      <c r="AC38" s="387">
        <f t="shared" si="14"/>
        <v>2.5138122008608321E-2</v>
      </c>
      <c r="AD38" s="387">
        <f t="shared" si="15"/>
        <v>3.2076873158451047E-3</v>
      </c>
      <c r="AE38" s="387">
        <f t="shared" si="16"/>
        <v>4.4706428591375323E-2</v>
      </c>
      <c r="AF38" s="387">
        <f t="shared" si="17"/>
        <v>1.2845057367104433</v>
      </c>
      <c r="AG38" s="387">
        <f t="shared" si="18"/>
        <v>9.4047434295596206E-3</v>
      </c>
      <c r="AH38" s="387">
        <f t="shared" si="19"/>
        <v>3.4388487315845109E-2</v>
      </c>
      <c r="AI38" s="387">
        <f t="shared" si="20"/>
        <v>4.387575879625593E-2</v>
      </c>
      <c r="AJ38" s="387">
        <f t="shared" si="21"/>
        <v>0</v>
      </c>
      <c r="AK38" s="387">
        <f t="shared" si="22"/>
        <v>0</v>
      </c>
      <c r="AL38" s="387">
        <f t="shared" si="23"/>
        <v>0</v>
      </c>
      <c r="AM38" s="387">
        <f t="shared" si="24"/>
        <v>0</v>
      </c>
      <c r="AN38" s="387">
        <f t="shared" si="25"/>
        <v>0</v>
      </c>
      <c r="AO38" s="387">
        <f t="shared" si="49"/>
        <v>2.1200949213055735</v>
      </c>
      <c r="AP38" s="387">
        <f t="shared" si="26"/>
        <v>8.5401247031568032E-3</v>
      </c>
      <c r="AQ38" s="387">
        <f t="shared" si="27"/>
        <v>0</v>
      </c>
      <c r="AR38" s="387">
        <f t="shared" si="28"/>
        <v>8.5547364062992896E-3</v>
      </c>
      <c r="AS38" s="387">
        <f t="shared" si="29"/>
        <v>8.5401247031568032E-3</v>
      </c>
      <c r="AT38" s="387">
        <f t="shared" si="30"/>
        <v>0</v>
      </c>
      <c r="AU38" s="387">
        <f t="shared" si="31"/>
        <v>7.771653078335998E-2</v>
      </c>
      <c r="AV38" s="387">
        <f t="shared" si="32"/>
        <v>1.3199639901136311E-2</v>
      </c>
      <c r="AW38" s="387">
        <f t="shared" si="33"/>
        <v>0</v>
      </c>
      <c r="AX38" s="387">
        <f t="shared" si="34"/>
        <v>3.6000000000000004E-2</v>
      </c>
      <c r="AY38" s="387">
        <f t="shared" si="35"/>
        <v>5.9136000000000001E-2</v>
      </c>
      <c r="AZ38" s="387">
        <f t="shared" si="36"/>
        <v>7.3471999999999996E-2</v>
      </c>
      <c r="BA38" s="387">
        <f t="shared" si="57"/>
        <v>9.5135999999999998E-2</v>
      </c>
      <c r="BB38" s="387">
        <f t="shared" si="58"/>
        <v>0.66724994562558615</v>
      </c>
      <c r="BC38">
        <f t="shared" si="37"/>
        <v>20.88</v>
      </c>
      <c r="BD38" s="606">
        <f t="shared" si="51"/>
        <v>0.96903317373171105</v>
      </c>
      <c r="BE38" s="616">
        <f t="shared" si="38"/>
        <v>4.7999669454196452</v>
      </c>
      <c r="BF38" s="616">
        <f t="shared" si="39"/>
        <v>3.4761106977382363</v>
      </c>
      <c r="BG38" s="9"/>
      <c r="BH38" s="4">
        <f t="shared" si="52"/>
        <v>96.903317373171106</v>
      </c>
      <c r="BI38" s="387">
        <f t="shared" si="53"/>
        <v>0.37170185692357394</v>
      </c>
      <c r="BJ38" s="387">
        <f t="shared" si="54"/>
        <v>0.17485345457729051</v>
      </c>
      <c r="BK38" s="387">
        <f t="shared" si="40"/>
        <v>9.5999338908392906E-2</v>
      </c>
      <c r="BL38" s="387">
        <f t="shared" si="41"/>
        <v>6.9522213954764725E-2</v>
      </c>
      <c r="BM38" s="387">
        <f t="shared" si="55"/>
        <v>1.3199639901136311E-2</v>
      </c>
      <c r="BR38">
        <v>9.9985429999999997</v>
      </c>
      <c r="BS38">
        <v>1.9350000000000001</v>
      </c>
      <c r="BT38">
        <v>5.117146</v>
      </c>
      <c r="BU38">
        <v>94.224527198076927</v>
      </c>
      <c r="BV38">
        <v>606.92116405899924</v>
      </c>
    </row>
    <row r="39" spans="1:74" x14ac:dyDescent="0.2">
      <c r="A39" s="23" t="s">
        <v>74</v>
      </c>
      <c r="B39" s="5">
        <f>Qg_Q1*1000000000</f>
        <v>11</v>
      </c>
      <c r="C39" s="483" t="s">
        <v>69</v>
      </c>
      <c r="D39" s="21" t="s">
        <v>103</v>
      </c>
      <c r="G39">
        <v>30</v>
      </c>
      <c r="H39" s="612">
        <f t="shared" si="0"/>
        <v>19</v>
      </c>
      <c r="I39" s="4" t="str">
        <f t="shared" si="1"/>
        <v>BUCK</v>
      </c>
      <c r="J39">
        <f t="shared" si="43"/>
        <v>1</v>
      </c>
      <c r="K39" s="387">
        <f t="shared" si="44"/>
        <v>1.8</v>
      </c>
      <c r="L39" s="4">
        <f t="shared" si="2"/>
        <v>1.1842105263157896</v>
      </c>
      <c r="M39" s="4">
        <f t="shared" si="56"/>
        <v>1.8</v>
      </c>
      <c r="N39" s="387">
        <f t="shared" si="3"/>
        <v>0.63296554190508258</v>
      </c>
      <c r="O39" s="387">
        <f t="shared" si="4"/>
        <v>0</v>
      </c>
      <c r="P39" s="4">
        <f t="shared" si="5"/>
        <v>4.1958857703486494</v>
      </c>
      <c r="Q39" s="4">
        <f t="shared" si="6"/>
        <v>2.1695901571075256</v>
      </c>
      <c r="R39" s="387">
        <f t="shared" si="7"/>
        <v>2.8306685341664743E-2</v>
      </c>
      <c r="S39" s="387">
        <f t="shared" si="45"/>
        <v>0.34465280326554354</v>
      </c>
      <c r="T39" s="387">
        <f t="shared" si="46"/>
        <v>0.37295948860720829</v>
      </c>
      <c r="U39" s="4">
        <f t="shared" si="8"/>
        <v>1.2112478894998566</v>
      </c>
      <c r="V39" s="387">
        <f t="shared" si="9"/>
        <v>1.0269850148724998E-2</v>
      </c>
      <c r="W39" s="387">
        <f t="shared" si="47"/>
        <v>1.0269850148724998E-2</v>
      </c>
      <c r="X39" s="4">
        <f t="shared" si="10"/>
        <v>1.0457338238404728</v>
      </c>
      <c r="Y39" s="387">
        <f t="shared" si="11"/>
        <v>2.1871184606480341E-3</v>
      </c>
      <c r="Z39" s="605">
        <f t="shared" si="48"/>
        <v>2.1871184606480341E-3</v>
      </c>
      <c r="AA39" s="387">
        <f t="shared" si="12"/>
        <v>1.7261070880153984</v>
      </c>
      <c r="AB39" s="387">
        <f t="shared" si="13"/>
        <v>1.698284037199289E-2</v>
      </c>
      <c r="AC39" s="387">
        <f t="shared" si="14"/>
        <v>2.6004953802008606E-2</v>
      </c>
      <c r="AD39" s="387">
        <f t="shared" si="15"/>
        <v>2.6695682511619491E-3</v>
      </c>
      <c r="AE39" s="387">
        <f t="shared" si="16"/>
        <v>4.5812969294061055E-2</v>
      </c>
      <c r="AF39" s="387">
        <f t="shared" si="17"/>
        <v>1.3144108073661216</v>
      </c>
      <c r="AG39" s="387">
        <f t="shared" si="18"/>
        <v>9.8477518919688999E-3</v>
      </c>
      <c r="AH39" s="387">
        <f t="shared" si="19"/>
        <v>3.4925568251161949E-2</v>
      </c>
      <c r="AI39" s="387">
        <f t="shared" si="20"/>
        <v>4.4861677476981013E-2</v>
      </c>
      <c r="AJ39" s="387">
        <f t="shared" si="21"/>
        <v>0</v>
      </c>
      <c r="AK39" s="387">
        <f t="shared" si="22"/>
        <v>0</v>
      </c>
      <c r="AL39" s="387">
        <f t="shared" si="23"/>
        <v>0</v>
      </c>
      <c r="AM39" s="387">
        <f t="shared" si="24"/>
        <v>0</v>
      </c>
      <c r="AN39" s="387">
        <f t="shared" si="25"/>
        <v>0</v>
      </c>
      <c r="AO39" s="387">
        <f t="shared" si="49"/>
        <v>2.1695901571075256</v>
      </c>
      <c r="AP39" s="387">
        <f t="shared" si="26"/>
        <v>8.9435307546539295E-3</v>
      </c>
      <c r="AQ39" s="387">
        <f t="shared" si="27"/>
        <v>0</v>
      </c>
      <c r="AR39" s="387">
        <f t="shared" si="28"/>
        <v>8.9595567689561752E-3</v>
      </c>
      <c r="AS39" s="387">
        <f t="shared" si="29"/>
        <v>8.9435307546539295E-3</v>
      </c>
      <c r="AT39" s="387">
        <f t="shared" si="30"/>
        <v>0</v>
      </c>
      <c r="AU39" s="387">
        <f t="shared" si="31"/>
        <v>8.0394963264000002E-2</v>
      </c>
      <c r="AV39" s="387">
        <f t="shared" si="32"/>
        <v>1.3821406164166878E-2</v>
      </c>
      <c r="AW39" s="387">
        <f t="shared" si="33"/>
        <v>0</v>
      </c>
      <c r="AX39" s="387">
        <f t="shared" si="34"/>
        <v>3.6000000000000004E-2</v>
      </c>
      <c r="AY39" s="387">
        <f t="shared" si="35"/>
        <v>5.9136000000000001E-2</v>
      </c>
      <c r="AZ39" s="387">
        <f t="shared" si="36"/>
        <v>7.3471999999999996E-2</v>
      </c>
      <c r="BA39" s="387">
        <f t="shared" si="57"/>
        <v>9.5135999999999998E-2</v>
      </c>
      <c r="BB39" s="387">
        <f t="shared" si="58"/>
        <v>0.67440303018474634</v>
      </c>
      <c r="BC39">
        <f t="shared" si="37"/>
        <v>21.6</v>
      </c>
      <c r="BD39" s="606">
        <f t="shared" si="51"/>
        <v>0.9697229582642084</v>
      </c>
      <c r="BE39" s="616">
        <f t="shared" si="38"/>
        <v>4.9436822524150532</v>
      </c>
      <c r="BF39" s="616">
        <f t="shared" si="39"/>
        <v>3.569600767705051</v>
      </c>
      <c r="BG39" s="9"/>
      <c r="BH39" s="4">
        <f t="shared" si="52"/>
        <v>96.972295826420833</v>
      </c>
      <c r="BI39" s="387">
        <f t="shared" si="53"/>
        <v>0.37295948860720829</v>
      </c>
      <c r="BJ39" s="387">
        <f t="shared" si="54"/>
        <v>0.18002916680399822</v>
      </c>
      <c r="BK39" s="387">
        <f t="shared" si="40"/>
        <v>9.8873645048301068E-2</v>
      </c>
      <c r="BL39" s="387">
        <f t="shared" si="41"/>
        <v>7.1392015354101016E-2</v>
      </c>
      <c r="BM39" s="387">
        <f t="shared" si="55"/>
        <v>1.3821406164166878E-2</v>
      </c>
      <c r="BR39">
        <v>9.9985060000000008</v>
      </c>
      <c r="BS39">
        <v>2.31</v>
      </c>
      <c r="BT39">
        <v>5.1166349999999996</v>
      </c>
      <c r="BU39">
        <v>94.492663502717292</v>
      </c>
      <c r="BV39">
        <v>688.87413060200208</v>
      </c>
    </row>
    <row r="40" spans="1:74" x14ac:dyDescent="0.2">
      <c r="A40" s="23" t="s">
        <v>130</v>
      </c>
      <c r="B40" s="5">
        <f>Qgd_Q1*1000000000</f>
        <v>2.9</v>
      </c>
      <c r="C40" s="483" t="s">
        <v>69</v>
      </c>
      <c r="D40" s="21" t="s">
        <v>131</v>
      </c>
      <c r="G40">
        <v>31</v>
      </c>
      <c r="H40" s="612">
        <f t="shared" si="0"/>
        <v>19</v>
      </c>
      <c r="I40" s="4" t="str">
        <f t="shared" si="1"/>
        <v>BUCK</v>
      </c>
      <c r="J40">
        <f t="shared" si="43"/>
        <v>1</v>
      </c>
      <c r="K40" s="387">
        <f t="shared" si="44"/>
        <v>1.86</v>
      </c>
      <c r="L40" s="4">
        <f t="shared" si="2"/>
        <v>1.2236842105263159</v>
      </c>
      <c r="M40" s="4">
        <f t="shared" si="56"/>
        <v>1.86</v>
      </c>
      <c r="N40" s="387">
        <f t="shared" si="3"/>
        <v>0.63301172555388197</v>
      </c>
      <c r="O40" s="387">
        <f t="shared" si="4"/>
        <v>0</v>
      </c>
      <c r="P40" s="4">
        <f t="shared" si="5"/>
        <v>4.1957698306474835</v>
      </c>
      <c r="Q40" s="4">
        <f t="shared" si="6"/>
        <v>2.2196036521522564</v>
      </c>
      <c r="R40" s="387">
        <f t="shared" si="7"/>
        <v>2.9629910674686386E-2</v>
      </c>
      <c r="S40" s="387">
        <f t="shared" si="45"/>
        <v>0.34463086183264657</v>
      </c>
      <c r="T40" s="387">
        <f t="shared" si="46"/>
        <v>0.37426077250733297</v>
      </c>
      <c r="U40" s="4">
        <f t="shared" si="8"/>
        <v>1.2112144205910176</v>
      </c>
      <c r="V40" s="387">
        <f t="shared" si="9"/>
        <v>1.0269282608533442E-2</v>
      </c>
      <c r="W40" s="387">
        <f t="shared" si="47"/>
        <v>1.0269282608533442E-2</v>
      </c>
      <c r="X40" s="4">
        <f t="shared" si="10"/>
        <v>1.0698118454918166</v>
      </c>
      <c r="Y40" s="387">
        <f t="shared" si="11"/>
        <v>2.2889947695092132E-3</v>
      </c>
      <c r="Z40" s="605">
        <f t="shared" si="48"/>
        <v>2.2889947695092132E-3</v>
      </c>
      <c r="AA40" s="387">
        <f t="shared" si="12"/>
        <v>1.7659618125749774</v>
      </c>
      <c r="AB40" s="387">
        <f t="shared" si="13"/>
        <v>1.7776140403796669E-2</v>
      </c>
      <c r="AC40" s="387">
        <f t="shared" si="14"/>
        <v>2.6871785595408895E-2</v>
      </c>
      <c r="AD40" s="387">
        <f t="shared" si="15"/>
        <v>2.1314488413007255E-3</v>
      </c>
      <c r="AE40" s="387">
        <f t="shared" si="16"/>
        <v>4.6946279571927582E-2</v>
      </c>
      <c r="AF40" s="387">
        <f t="shared" si="17"/>
        <v>1.3446260629537625</v>
      </c>
      <c r="AG40" s="387">
        <f t="shared" si="18"/>
        <v>1.0305709720294855E-2</v>
      </c>
      <c r="AH40" s="387">
        <f t="shared" si="19"/>
        <v>3.546264884130073E-2</v>
      </c>
      <c r="AI40" s="387">
        <f t="shared" si="20"/>
        <v>4.5862888484727152E-2</v>
      </c>
      <c r="AJ40" s="387">
        <f t="shared" si="21"/>
        <v>0</v>
      </c>
      <c r="AK40" s="387">
        <f t="shared" si="22"/>
        <v>0</v>
      </c>
      <c r="AL40" s="387">
        <f t="shared" si="23"/>
        <v>0</v>
      </c>
      <c r="AM40" s="387">
        <f t="shared" si="24"/>
        <v>0</v>
      </c>
      <c r="AN40" s="387">
        <f t="shared" si="25"/>
        <v>0</v>
      </c>
      <c r="AO40" s="387">
        <f t="shared" si="49"/>
        <v>2.2196036521522564</v>
      </c>
      <c r="AP40" s="387">
        <f t="shared" si="26"/>
        <v>9.3606167080305079E-3</v>
      </c>
      <c r="AQ40" s="387">
        <f t="shared" si="27"/>
        <v>0</v>
      </c>
      <c r="AR40" s="387">
        <f t="shared" si="28"/>
        <v>9.3781738061145745E-3</v>
      </c>
      <c r="AS40" s="387">
        <f t="shared" si="29"/>
        <v>9.3606167080305079E-3</v>
      </c>
      <c r="AT40" s="387">
        <f t="shared" si="30"/>
        <v>0</v>
      </c>
      <c r="AU40" s="387">
        <f t="shared" si="31"/>
        <v>8.3073299218560007E-2</v>
      </c>
      <c r="AV40" s="387">
        <f t="shared" si="32"/>
        <v>1.4464153993396286E-2</v>
      </c>
      <c r="AW40" s="387">
        <f t="shared" si="33"/>
        <v>0</v>
      </c>
      <c r="AX40" s="387">
        <f t="shared" si="34"/>
        <v>3.6000000000000004E-2</v>
      </c>
      <c r="AY40" s="387">
        <f t="shared" si="35"/>
        <v>5.9136000000000001E-2</v>
      </c>
      <c r="AZ40" s="387">
        <f t="shared" si="36"/>
        <v>7.3471999999999996E-2</v>
      </c>
      <c r="BA40" s="387">
        <f t="shared" si="57"/>
        <v>9.5135999999999998E-2</v>
      </c>
      <c r="BB40" s="387">
        <f t="shared" si="58"/>
        <v>0.68167984496010126</v>
      </c>
      <c r="BC40">
        <f t="shared" si="37"/>
        <v>22.32</v>
      </c>
      <c r="BD40" s="606">
        <f t="shared" si="51"/>
        <v>0.97036391039459391</v>
      </c>
      <c r="BE40" s="616">
        <f t="shared" si="38"/>
        <v>5.0887328528088593</v>
      </c>
      <c r="BF40" s="616">
        <f t="shared" si="39"/>
        <v>3.6638538613425977</v>
      </c>
      <c r="BG40" s="9"/>
      <c r="BH40" s="4">
        <f t="shared" si="52"/>
        <v>97.036391039459389</v>
      </c>
      <c r="BI40" s="387">
        <f t="shared" si="53"/>
        <v>0.37426077250733297</v>
      </c>
      <c r="BJ40" s="387">
        <f t="shared" si="54"/>
        <v>0.18526064108132934</v>
      </c>
      <c r="BK40" s="387">
        <f t="shared" si="40"/>
        <v>0.10177465705617719</v>
      </c>
      <c r="BL40" s="387">
        <f t="shared" si="41"/>
        <v>7.327707722685195E-2</v>
      </c>
      <c r="BM40" s="387">
        <f t="shared" si="55"/>
        <v>1.4464153993396286E-2</v>
      </c>
      <c r="BR40">
        <v>9.9984319999999993</v>
      </c>
      <c r="BS40">
        <v>2.7269999999999999</v>
      </c>
      <c r="BT40">
        <v>5.115812</v>
      </c>
      <c r="BU40">
        <v>94.558770424517263</v>
      </c>
      <c r="BV40">
        <v>802.77694931200062</v>
      </c>
    </row>
    <row r="41" spans="1:74" x14ac:dyDescent="0.2">
      <c r="A41" s="23" t="s">
        <v>148</v>
      </c>
      <c r="B41" s="5">
        <f>Qgs_Q1*1000000000</f>
        <v>3.3</v>
      </c>
      <c r="C41" s="483" t="s">
        <v>69</v>
      </c>
      <c r="D41" s="21"/>
      <c r="G41">
        <v>32</v>
      </c>
      <c r="H41" s="612">
        <f t="shared" ref="H41:H72" si="59">Vin</f>
        <v>19</v>
      </c>
      <c r="I41" s="4" t="str">
        <f t="shared" ref="I41:I72" si="60">IF(H41&gt;VIN_BB_to_buck, "BUCK", IF(H41&lt;VIN_boost_to_BB,"BOOST","BUCK-BST"))</f>
        <v>BUCK</v>
      </c>
      <c r="J41">
        <f t="shared" si="43"/>
        <v>1</v>
      </c>
      <c r="K41" s="387">
        <f t="shared" si="44"/>
        <v>1.92</v>
      </c>
      <c r="L41" s="4">
        <f t="shared" ref="L41:L72" si="61">Vout*K41/(Vin*Efficiency)</f>
        <v>1.2631578947368423</v>
      </c>
      <c r="M41" s="4">
        <f t="shared" si="56"/>
        <v>1.92</v>
      </c>
      <c r="N41" s="387">
        <f t="shared" ref="N41:N72" si="62">CHOOSE(J41,(Vout+(Rdson2+Rs+Rdcr)*K41)/(Vin+(Rs+Rdson2-Rdson1)*K41), 1, IF(Vin&lt;Vout, D_max_buck_BB, Vout/Vin*(1-D_min_boost_exitBB_to_buck)))</f>
        <v>0.63305790687107688</v>
      </c>
      <c r="O41" s="387">
        <f t="shared" ref="O41:O72" si="63">CHOOSE(J41,0,(Vout+(Rdson3+Rdcr)*L41-Vin)/(Vout+(Rdson3-Rdson4-Rs)*L41), IF(Vin&gt;Vout,D_min_boost_exitBB_to_buck, (Vout-Vin*D_max_buck_BB)/Vout))</f>
        <v>0</v>
      </c>
      <c r="P41" s="4">
        <f t="shared" ref="P41:P72" si="64">MAX(0, CHOOSE(J41, (Vin-(Rdson1+Rdcr)*K41-Vout)*N41/(Fsw*Lf), (Vin-(Rdson4+Rdcr+Rs)*L41)*O41/(Fsw*Lf), IF(Vin&lt;Vout, (Vin-(Rdson4+Rdcr+Rs)*L41)*O41/(0.5*Fsw*Lf),(Vin-(Rdson1+Rdcr)*K41-Vout)*N41/(0.5*Fsw*Lf))))</f>
        <v>4.1956538139034834</v>
      </c>
      <c r="Q41" s="4">
        <f t="shared" ref="Q41:Q72" si="65">CHOOSE(J41, SQRT(K41^2+(P41^2)/12), SQRT(L41^2+(P41^2)/12), SQRT(M41^2+(P41^2)/12))</f>
        <v>2.2701011527779045</v>
      </c>
      <c r="R41" s="387">
        <f t="shared" si="7"/>
        <v>3.0996829606284495E-2</v>
      </c>
      <c r="S41" s="387">
        <f t="shared" si="45"/>
        <v>0.34460890661088206</v>
      </c>
      <c r="T41" s="387">
        <f t="shared" si="46"/>
        <v>0.37560573621716653</v>
      </c>
      <c r="U41" s="4">
        <f t="shared" ref="U41:U72" si="66">IF(Vin&gt;Vout, P41/SQRT(12), SQRT(O41/(1-O41))*SQRT(K41^2+(P41^2)/12))</f>
        <v>1.2111809294418281</v>
      </c>
      <c r="V41" s="387">
        <f t="shared" si="9"/>
        <v>1.0268714706904995E-2</v>
      </c>
      <c r="W41" s="387">
        <f t="shared" si="47"/>
        <v>1.0268714706904995E-2</v>
      </c>
      <c r="X41" s="4">
        <f t="shared" ref="X41:X72" si="67">IF(Vin&gt;Vout, SQRT(N41*(1-N41))*SQRT(K41^2+(P41^2)/12), P41/SQRT(12))</f>
        <v>1.0941218595980908</v>
      </c>
      <c r="Y41" s="387">
        <f t="shared" si="11"/>
        <v>2.3942052873007691E-3</v>
      </c>
      <c r="Z41" s="605">
        <f t="shared" si="48"/>
        <v>2.3942052873007691E-3</v>
      </c>
      <c r="AA41" s="387">
        <f t="shared" ref="AA41:AA72" si="68">CHOOSE(J41, SQRT(N41)*SQRT(K41^2+(P41^2)/12), SQRT(L41^2+(P41^2)/12), SQRT(N41)*SQRT(M41^2+(P41^2)/12))</f>
        <v>1.8062045333412067</v>
      </c>
      <c r="AB41" s="387">
        <f t="shared" ref="AB41:AB72" si="69">Rdson1*AA41^2</f>
        <v>1.8595536452695259E-2</v>
      </c>
      <c r="AC41" s="387">
        <f t="shared" ref="AC41:AC72" si="70">CHOOSE(J41, (Vin*K41/2)*(Fsw)*(Tr_buck+Tf_buck), 0, (Vin*K41/2)*(Fsw/2)*(Tr_buck+Tf_buck))</f>
        <v>2.7738617388809172E-2</v>
      </c>
      <c r="AD41" s="387">
        <f t="shared" ref="AD41:AD72" si="71">CHOOSE(J41, IF(K41&gt;P41/2,0,ABS(K41-P41/2)*Vsd_Q1*Deadtime*Fsw),0, IF(K41&gt;P41/2,0,ABS(K41-P41/2)*Vsd_Q1*Deadtime*Fsw/2))</f>
        <v>1.5933290862876061E-3</v>
      </c>
      <c r="AE41" s="387">
        <f t="shared" ref="AE41:AE72" si="72">(AD41+AC41+AB41*(1+RdsonTopTc*Ta-RdsonTopTc*25))/(1-AB41*RdsonTopTc*ThetaJA_Q1)</f>
        <v>4.8106395775040549E-2</v>
      </c>
      <c r="AF41" s="387">
        <f t="shared" ref="AF41:AF72" si="73">CHOOSE(J41, SQRT((1-N41))*SQRT(K41^2+(P41^2)/12), 0, SQRT((1-N41))*SQRT(M41^2+(P41^2)/12))</f>
        <v>1.375130694727321</v>
      </c>
      <c r="AG41" s="387">
        <f t="shared" ref="AG41:AG72" si="74">Rdson2*AF41^2</f>
        <v>1.0778611237213093E-2</v>
      </c>
      <c r="AH41" s="387">
        <f t="shared" ref="AH41:AH72" si="75">CHOOSE(J41, IF(K41&lt;P41/2,Deadtime*Fsw*IF(VfdSky_Q2&gt;0,0,Vsd_Q2)*(K41+P41/2),2*Deadtime*Fsw*IF(VfdSky_Q2&gt;0,0,Vsd_Q2)*K41),0, IF(K41&lt;P41/2,Deadtime*Fsw/2*IF(VfdSky_Q2&gt;0,0,Vsd_Q2)*(K41+P41/2),2*Deadtime*Fsw/2*IF(VfdSky_Q2&gt;0,0,Vsd_Q2)*K41))</f>
        <v>3.599972908628761E-2</v>
      </c>
      <c r="AI41" s="387">
        <f t="shared" ref="AI41:AI72" si="76">(AH41+AG41*(1+RdsonBotTc*Ta-RdsonBotTc*25))/(1-AG41*RdsonBotTc*ThetaJA_Q2)</f>
        <v>4.6879399287491491E-2</v>
      </c>
      <c r="AJ41" s="387">
        <f t="shared" ref="AJ41:AJ72" si="77">CHOOSE(J41, 0, SQRT(O41)*SQRT(L41^2+(P41^2)/12), SQRT(O41)*SQRT(M41^2+(P41^2)/12))</f>
        <v>0</v>
      </c>
      <c r="AK41" s="387">
        <f t="shared" ref="AK41:AK72" si="78">Rdson4*AJ41^2</f>
        <v>0</v>
      </c>
      <c r="AL41" s="387">
        <f t="shared" ref="AL41:AL72" si="79">CHOOSE(J41, 0, (Vout*L41/2)*(Fsw)*(Tr_boost+Tf_boost), (Vout*Iout/2)*(Fsw/2)*(Tr_boost+Tf_boost))</f>
        <v>0</v>
      </c>
      <c r="AM41" s="387">
        <f t="shared" ref="AM41:AM72" si="80">IF(H41&gt;Vout, 0, IF(L41&gt;P41/2,0,ABS(L41-P41/2)*Vsd_Q4*Deadtime*Fsw))</f>
        <v>0</v>
      </c>
      <c r="AN41" s="387">
        <f t="shared" ref="AN41:AN72" si="81">(AM41+AL41+AK41*(1+RdsonTopTc*Ta-RdsonTopTc*25))/(1-AK41*RdsonTopTc*ThetaJA_Q4)</f>
        <v>0</v>
      </c>
      <c r="AO41" s="387">
        <f t="shared" si="49"/>
        <v>2.2701011527779045</v>
      </c>
      <c r="AP41" s="387">
        <f t="shared" ref="AP41:AP72" si="82">Rdson3*AO41^2</f>
        <v>9.7913825633027859E-3</v>
      </c>
      <c r="AQ41" s="387">
        <f t="shared" ref="AQ41:AQ72" si="83">CHOOSE(J41, 0, IF(L41&lt;P41/2,Deadtime*Fsw*IF(VfdSky_Q3&gt;0,0,Vsd_Q3)*(L41+P41/2), 2*Deadtime*Fsw*IF(VfdSky_Q3&gt;0,0,Vsd_Q3)*L41), IF(L41&lt;P41/2,Deadtime*Fsw/2*IF(VfdSky_Q3&gt;0,0,Vsd_Q3)*(L41+P41/2), 2*Deadtime*Fsw/2*IF(VfdSky_Q3&gt;0,0,Vsd_Q3)*L41))</f>
        <v>0</v>
      </c>
      <c r="AR41" s="387">
        <f t="shared" ref="AR41:AR72" si="84">(AQ41+AP41*(1+RdsonBotTc*Ta-RdsonBotTc*25))/(1-AP41*RdsonBotTc*ThetaJA_Q3)</f>
        <v>9.8105944199305753E-3</v>
      </c>
      <c r="AS41" s="387">
        <f t="shared" ref="AS41:AS72" si="85">CHOOSE(J41, Rdson3*Q41^2, Rdson1*Q41^2, 0)</f>
        <v>9.7913825633027859E-3</v>
      </c>
      <c r="AT41" s="387">
        <f t="shared" ref="AT41:AT72" si="86">CHOOSE(J41, 2*Deadtime*Fsw*IF(VfdSky_Q2&gt;0,VfdSky_Q2,0)*K41, 2*Deadtime*Fsw*IF(VfdSky_Q3&gt;0,VfdSky_Q3,0)*L41, 2*Deadtime*Fsw/2*IF(VfdSky_Q2&gt;0,VfdSky_Q2,0)*K41+2*Deadtime*Fsw/2*IF(VfdSky_Q3&gt;0,VfdSky_Q3,0)*L41)</f>
        <v>0</v>
      </c>
      <c r="AU41" s="387">
        <f t="shared" ref="AU41:AU72" si="87">CHOOSE(J41, IF(QrrSky_Q2&gt;0,QrrSky_Q2,Qrr_Q2*K41/Iout)*Fsw*(Vin-K41*Rdson1), IF(QrrSky_Q3&gt;0,QrrSky_Q3,Qrr_Q3)*Fsw*Vout,  IF(QrrSky_Q2&gt;0,QrrSky_Q2,Qrr_Q2*K41/Iout)*Fsw/2*(Vin-K41*Rdson1)+IF(QrrSky_Q3&gt;0,QrrSky_Q3,Qrr_Q3)*Fsw/2*Vout)</f>
        <v>8.5751538647040007E-2</v>
      </c>
      <c r="AV41" s="387">
        <f t="shared" ref="AV41:AV72" si="88">CHOOSE(J41, Rs*AF41^2, Rs*AJ41^2, Rs*(AF41^2+AJ41^2))</f>
        <v>1.5127875420649955E-2</v>
      </c>
      <c r="AW41" s="387">
        <f t="shared" si="33"/>
        <v>0</v>
      </c>
      <c r="AX41" s="387">
        <f t="shared" ref="AX41:AX72" si="89">IF(Vout&gt;8, Iq*Vout, Iq*Vin)</f>
        <v>3.6000000000000004E-2</v>
      </c>
      <c r="AY41" s="387">
        <f t="shared" ref="AY41:AY72" si="90">CHOOSE(J41, (Qg_Q1+Qg_Q2)*Fsw, (Qg_Q3+Qg_Q4)*Fsw, (Qg_Q1+Qg_Q2+Qg_Q3+Qg_Q4)*Fsw/2)*IF(Vout&gt;8, Vout, Vin)</f>
        <v>5.9136000000000001E-2</v>
      </c>
      <c r="AZ41" s="387">
        <f t="shared" si="36"/>
        <v>7.3471999999999996E-2</v>
      </c>
      <c r="BA41" s="387">
        <f t="shared" si="57"/>
        <v>9.5135999999999998E-2</v>
      </c>
      <c r="BB41" s="387">
        <f t="shared" si="58"/>
        <v>0.68908045976152488</v>
      </c>
      <c r="BC41">
        <f t="shared" ref="BC41:BC72" si="91">Vout*K41</f>
        <v>23.04</v>
      </c>
      <c r="BD41" s="606">
        <f t="shared" si="51"/>
        <v>0.97096050725901373</v>
      </c>
      <c r="BE41" s="616">
        <f t="shared" ref="BE41:BE72" si="92">IF(Vin&gt;Vout,ThetaJA_Q1*BK41,ThetaJA_Q4*BK41)</f>
        <v>5.2351205641043483</v>
      </c>
      <c r="BF41" s="616">
        <f t="shared" ref="BF41:BF72" si="93">IF(Vin&gt;Vout, ThetaJA_Q2*BL41, ThetaJA_Q3*BL41)</f>
        <v>3.7588703520507347</v>
      </c>
      <c r="BG41" s="9"/>
      <c r="BH41" s="4">
        <f t="shared" si="52"/>
        <v>97.096050725901378</v>
      </c>
      <c r="BI41" s="387">
        <f t="shared" si="53"/>
        <v>0.37560573621716653</v>
      </c>
      <c r="BJ41" s="387">
        <f t="shared" si="54"/>
        <v>0.19054792812950261</v>
      </c>
      <c r="BK41" s="387">
        <f t="shared" ref="BK41:BK72" si="94">IF(Vin&gt;Vout, AE41+AU41*0.66, AN41+AU41*0.66)</f>
        <v>0.10470241128208696</v>
      </c>
      <c r="BL41" s="387">
        <f t="shared" ref="BL41:BL72" si="95">IF(Vin&gt;Vout, AI41+AU41*0.33, AR41+AU41*0.33)</f>
        <v>7.5177407041014693E-2</v>
      </c>
      <c r="BM41" s="387">
        <f t="shared" si="55"/>
        <v>1.5127875420649955E-2</v>
      </c>
      <c r="BR41">
        <v>9.9985180000000007</v>
      </c>
      <c r="BS41">
        <v>3.1859999999999999</v>
      </c>
      <c r="BT41">
        <v>5.1148889999999998</v>
      </c>
      <c r="BU41">
        <v>94.58411932633652</v>
      </c>
      <c r="BV41">
        <v>933.10990806000302</v>
      </c>
    </row>
    <row r="42" spans="1:74" x14ac:dyDescent="0.2">
      <c r="A42" s="23" t="s">
        <v>94</v>
      </c>
      <c r="B42" s="5">
        <f>Rgate1</f>
        <v>1.5</v>
      </c>
      <c r="C42" s="487" t="s">
        <v>120</v>
      </c>
      <c r="D42" s="21" t="s">
        <v>104</v>
      </c>
      <c r="G42">
        <v>33</v>
      </c>
      <c r="H42" s="612">
        <f t="shared" si="59"/>
        <v>19</v>
      </c>
      <c r="I42" s="4" t="str">
        <f t="shared" si="60"/>
        <v>BUCK</v>
      </c>
      <c r="J42">
        <f t="shared" si="43"/>
        <v>1</v>
      </c>
      <c r="K42" s="387">
        <f t="shared" ref="K42:K73" si="96">Iout*G42/100</f>
        <v>1.98</v>
      </c>
      <c r="L42" s="4">
        <f t="shared" si="61"/>
        <v>1.3026315789473684</v>
      </c>
      <c r="M42" s="4">
        <f t="shared" si="56"/>
        <v>1.98</v>
      </c>
      <c r="N42" s="387">
        <f t="shared" si="62"/>
        <v>0.63310408585684352</v>
      </c>
      <c r="O42" s="387">
        <f t="shared" si="63"/>
        <v>0</v>
      </c>
      <c r="P42" s="4">
        <f t="shared" si="64"/>
        <v>4.1955377201224788</v>
      </c>
      <c r="Q42" s="4">
        <f t="shared" si="65"/>
        <v>2.3210510686786301</v>
      </c>
      <c r="R42" s="387">
        <f t="shared" si="7"/>
        <v>3.2407470647225364E-2</v>
      </c>
      <c r="S42" s="387">
        <f t="shared" si="45"/>
        <v>0.34458693760292347</v>
      </c>
      <c r="T42" s="387">
        <f t="shared" si="46"/>
        <v>0.37699440825014885</v>
      </c>
      <c r="U42" s="4">
        <f t="shared" si="66"/>
        <v>1.211147416053971</v>
      </c>
      <c r="V42" s="387">
        <f t="shared" si="9"/>
        <v>1.0268146443899477E-2</v>
      </c>
      <c r="W42" s="387">
        <f t="shared" si="47"/>
        <v>1.0268146443899477E-2</v>
      </c>
      <c r="X42" s="4">
        <f t="shared" si="67"/>
        <v>1.1186486218335936</v>
      </c>
      <c r="Y42" s="387">
        <f t="shared" si="11"/>
        <v>2.5027494782603969E-3</v>
      </c>
      <c r="Z42" s="605">
        <f t="shared" si="48"/>
        <v>2.5027494782603969E-3</v>
      </c>
      <c r="AA42" s="387">
        <f t="shared" si="68"/>
        <v>1.8468101563491794</v>
      </c>
      <c r="AB42" s="387">
        <f t="shared" si="69"/>
        <v>1.9441034195488541E-2</v>
      </c>
      <c r="AC42" s="387">
        <f t="shared" si="70"/>
        <v>2.8605449182209464E-2</v>
      </c>
      <c r="AD42" s="387">
        <f t="shared" si="71"/>
        <v>1.0552089861487054E-3</v>
      </c>
      <c r="AE42" s="387">
        <f t="shared" si="72"/>
        <v>4.9293355124363336E-2</v>
      </c>
      <c r="AF42" s="387">
        <f t="shared" si="73"/>
        <v>1.4059055124081883</v>
      </c>
      <c r="AG42" s="387">
        <f t="shared" si="74"/>
        <v>1.1266450765972463E-2</v>
      </c>
      <c r="AH42" s="387">
        <f t="shared" si="75"/>
        <v>3.6536808986148708E-2</v>
      </c>
      <c r="AI42" s="387">
        <f t="shared" si="76"/>
        <v>4.7911217627027713E-2</v>
      </c>
      <c r="AJ42" s="387">
        <f t="shared" si="77"/>
        <v>0</v>
      </c>
      <c r="AK42" s="387">
        <f t="shared" si="78"/>
        <v>0</v>
      </c>
      <c r="AL42" s="387">
        <f t="shared" si="79"/>
        <v>0</v>
      </c>
      <c r="AM42" s="387">
        <f t="shared" si="80"/>
        <v>0</v>
      </c>
      <c r="AN42" s="387">
        <f t="shared" si="81"/>
        <v>0</v>
      </c>
      <c r="AO42" s="387">
        <f t="shared" si="49"/>
        <v>2.3210510686786301</v>
      </c>
      <c r="AP42" s="387">
        <f t="shared" si="82"/>
        <v>1.0235828320487E-2</v>
      </c>
      <c r="AQ42" s="387">
        <f t="shared" si="83"/>
        <v>0</v>
      </c>
      <c r="AR42" s="387">
        <f t="shared" si="84"/>
        <v>1.0256825741968588E-2</v>
      </c>
      <c r="AS42" s="387">
        <f t="shared" si="85"/>
        <v>1.0235828320487E-2</v>
      </c>
      <c r="AT42" s="387">
        <f t="shared" si="86"/>
        <v>0</v>
      </c>
      <c r="AU42" s="387">
        <f t="shared" si="87"/>
        <v>8.8429681549440003E-2</v>
      </c>
      <c r="AV42" s="387">
        <f t="shared" si="88"/>
        <v>1.5812562478557845E-2</v>
      </c>
      <c r="AW42" s="387">
        <f t="shared" si="33"/>
        <v>0</v>
      </c>
      <c r="AX42" s="387">
        <f t="shared" si="89"/>
        <v>3.6000000000000004E-2</v>
      </c>
      <c r="AY42" s="387">
        <f t="shared" si="90"/>
        <v>5.9136000000000001E-2</v>
      </c>
      <c r="AZ42" s="387">
        <f t="shared" si="36"/>
        <v>7.3471999999999996E-2</v>
      </c>
      <c r="BA42" s="387">
        <f t="shared" si="57"/>
        <v>9.5135999999999998E-2</v>
      </c>
      <c r="BB42" s="387">
        <f t="shared" si="58"/>
        <v>0.69660494669366624</v>
      </c>
      <c r="BC42">
        <f t="shared" si="91"/>
        <v>23.759999999999998</v>
      </c>
      <c r="BD42" s="606">
        <f t="shared" si="51"/>
        <v>0.97151669464293977</v>
      </c>
      <c r="BE42" s="616">
        <f t="shared" si="92"/>
        <v>5.3828472473496873</v>
      </c>
      <c r="BF42" s="616">
        <f t="shared" si="93"/>
        <v>3.8546506269171457</v>
      </c>
      <c r="BG42" s="9"/>
      <c r="BH42" s="4">
        <f t="shared" si="52"/>
        <v>97.151669464293974</v>
      </c>
      <c r="BI42" s="387">
        <f t="shared" si="53"/>
        <v>0.37699440825014885</v>
      </c>
      <c r="BJ42" s="387">
        <f t="shared" si="54"/>
        <v>0.19589108004279965</v>
      </c>
      <c r="BK42" s="387">
        <f t="shared" si="94"/>
        <v>0.10765694494699374</v>
      </c>
      <c r="BL42" s="387">
        <f t="shared" si="95"/>
        <v>7.7093012538342914E-2</v>
      </c>
      <c r="BM42" s="387">
        <f t="shared" si="55"/>
        <v>1.5812562478557845E-2</v>
      </c>
      <c r="BR42">
        <v>9.9984190000000002</v>
      </c>
      <c r="BS42">
        <v>3.6920000000000002</v>
      </c>
      <c r="BT42">
        <v>5.1137540000000001</v>
      </c>
      <c r="BU42">
        <v>94.441363374789603</v>
      </c>
      <c r="BV42">
        <v>1111.2391205219994</v>
      </c>
    </row>
    <row r="43" spans="1:74" x14ac:dyDescent="0.2">
      <c r="A43" s="23" t="s">
        <v>73</v>
      </c>
      <c r="B43" s="5">
        <f>Gfs_Q1</f>
        <v>60</v>
      </c>
      <c r="C43" s="483" t="s">
        <v>70</v>
      </c>
      <c r="D43" s="21" t="s">
        <v>105</v>
      </c>
      <c r="G43">
        <v>34</v>
      </c>
      <c r="H43" s="612">
        <f t="shared" si="59"/>
        <v>19</v>
      </c>
      <c r="I43" s="4" t="str">
        <f t="shared" si="60"/>
        <v>BUCK</v>
      </c>
      <c r="J43">
        <f t="shared" si="43"/>
        <v>1</v>
      </c>
      <c r="K43" s="387">
        <f t="shared" si="96"/>
        <v>2.04</v>
      </c>
      <c r="L43" s="4">
        <f t="shared" si="61"/>
        <v>1.3421052631578949</v>
      </c>
      <c r="M43" s="4">
        <f t="shared" si="56"/>
        <v>2.04</v>
      </c>
      <c r="N43" s="387">
        <f t="shared" si="62"/>
        <v>0.63315026251135864</v>
      </c>
      <c r="O43" s="387">
        <f t="shared" si="63"/>
        <v>0</v>
      </c>
      <c r="P43" s="4">
        <f t="shared" si="64"/>
        <v>4.1954215493103053</v>
      </c>
      <c r="Q43" s="4">
        <f t="shared" si="65"/>
        <v>2.3724242519768901</v>
      </c>
      <c r="R43" s="387">
        <f t="shared" si="7"/>
        <v>3.3861863229988423E-2</v>
      </c>
      <c r="S43" s="387">
        <f t="shared" si="45"/>
        <v>0.34456495481144639</v>
      </c>
      <c r="T43" s="387">
        <f t="shared" si="46"/>
        <v>0.3784268180414348</v>
      </c>
      <c r="U43" s="4">
        <f t="shared" si="66"/>
        <v>1.2111138804291308</v>
      </c>
      <c r="V43" s="387">
        <f t="shared" si="9"/>
        <v>1.0267577819576748E-2</v>
      </c>
      <c r="W43" s="387">
        <f t="shared" si="47"/>
        <v>1.0267577819576748E-2</v>
      </c>
      <c r="X43" s="4">
        <f t="shared" si="67"/>
        <v>1.1433780665886495</v>
      </c>
      <c r="Y43" s="387">
        <f t="shared" si="11"/>
        <v>2.6146268063119964E-3</v>
      </c>
      <c r="Z43" s="605">
        <f t="shared" si="48"/>
        <v>2.6146268063119964E-3</v>
      </c>
      <c r="AA43" s="387">
        <f t="shared" si="68"/>
        <v>1.887755527418425</v>
      </c>
      <c r="AB43" s="387">
        <f t="shared" si="69"/>
        <v>2.0312639308403251E-2</v>
      </c>
      <c r="AC43" s="387">
        <f t="shared" si="70"/>
        <v>2.9472280975609749E-2</v>
      </c>
      <c r="AD43" s="387">
        <f t="shared" si="71"/>
        <v>5.1708854091016743E-4</v>
      </c>
      <c r="AE43" s="387">
        <f t="shared" si="72"/>
        <v>5.0507195714729614E-2</v>
      </c>
      <c r="AF43" s="387">
        <f t="shared" si="73"/>
        <v>1.4369328098659628</v>
      </c>
      <c r="AG43" s="387">
        <f t="shared" si="74"/>
        <v>1.176922263039496E-2</v>
      </c>
      <c r="AH43" s="387">
        <f t="shared" si="75"/>
        <v>3.707388854091017E-2</v>
      </c>
      <c r="AI43" s="387">
        <f t="shared" si="76"/>
        <v>4.8958351519034063E-2</v>
      </c>
      <c r="AJ43" s="387">
        <f t="shared" si="77"/>
        <v>0</v>
      </c>
      <c r="AK43" s="387">
        <f t="shared" si="78"/>
        <v>0</v>
      </c>
      <c r="AL43" s="387">
        <f t="shared" si="79"/>
        <v>0</v>
      </c>
      <c r="AM43" s="387">
        <f t="shared" si="80"/>
        <v>0</v>
      </c>
      <c r="AN43" s="387">
        <f t="shared" si="81"/>
        <v>0</v>
      </c>
      <c r="AO43" s="387">
        <f t="shared" si="49"/>
        <v>2.3724242519768901</v>
      </c>
      <c r="AP43" s="387">
        <f t="shared" si="82"/>
        <v>1.0693953979599402E-2</v>
      </c>
      <c r="AQ43" s="387">
        <f t="shared" si="83"/>
        <v>0</v>
      </c>
      <c r="AR43" s="387">
        <f t="shared" si="84"/>
        <v>1.0716875133495946E-2</v>
      </c>
      <c r="AS43" s="387">
        <f t="shared" si="85"/>
        <v>1.0693953979599402E-2</v>
      </c>
      <c r="AT43" s="387">
        <f t="shared" si="86"/>
        <v>0</v>
      </c>
      <c r="AU43" s="387">
        <f t="shared" si="87"/>
        <v>9.1107727925759982E-2</v>
      </c>
      <c r="AV43" s="387">
        <f t="shared" si="88"/>
        <v>1.651820720055433E-2</v>
      </c>
      <c r="AW43" s="387">
        <f t="shared" si="33"/>
        <v>0</v>
      </c>
      <c r="AX43" s="387">
        <f t="shared" si="89"/>
        <v>3.6000000000000004E-2</v>
      </c>
      <c r="AY43" s="387">
        <f t="shared" si="90"/>
        <v>5.9136000000000001E-2</v>
      </c>
      <c r="AZ43" s="387">
        <f t="shared" si="36"/>
        <v>7.3471999999999996E-2</v>
      </c>
      <c r="BA43" s="387">
        <f t="shared" si="57"/>
        <v>9.5135999999999998E-2</v>
      </c>
      <c r="BB43" s="387">
        <f t="shared" si="58"/>
        <v>0.70425338016089734</v>
      </c>
      <c r="BC43">
        <f t="shared" si="91"/>
        <v>24.48</v>
      </c>
      <c r="BD43" s="606">
        <f t="shared" si="51"/>
        <v>0.97203596352331501</v>
      </c>
      <c r="BE43" s="616">
        <f t="shared" si="92"/>
        <v>5.5319148072865598</v>
      </c>
      <c r="BF43" s="616">
        <f t="shared" si="93"/>
        <v>3.9511950867267429</v>
      </c>
      <c r="BG43" s="9"/>
      <c r="BH43" s="4">
        <f t="shared" si="52"/>
        <v>97.203596352331502</v>
      </c>
      <c r="BI43" s="387">
        <f t="shared" si="53"/>
        <v>0.3784268180414348</v>
      </c>
      <c r="BJ43" s="387">
        <f t="shared" si="54"/>
        <v>0.20129015029301961</v>
      </c>
      <c r="BK43" s="387">
        <f t="shared" si="94"/>
        <v>0.1106382961457312</v>
      </c>
      <c r="BL43" s="387">
        <f t="shared" si="95"/>
        <v>7.9023901734534857E-2</v>
      </c>
      <c r="BM43" s="387">
        <f t="shared" si="55"/>
        <v>1.651820720055433E-2</v>
      </c>
      <c r="BR43">
        <v>9.998246</v>
      </c>
      <c r="BS43">
        <v>4.2430000000000003</v>
      </c>
      <c r="BT43">
        <v>5.1120590000000004</v>
      </c>
      <c r="BU43">
        <v>94.267178615859891</v>
      </c>
      <c r="BV43">
        <v>1319.0970775599953</v>
      </c>
    </row>
    <row r="44" spans="1:74" x14ac:dyDescent="0.2">
      <c r="A44" s="23" t="s">
        <v>96</v>
      </c>
      <c r="B44" s="5">
        <f>Vth_Q1</f>
        <v>4</v>
      </c>
      <c r="C44" s="483" t="s">
        <v>0</v>
      </c>
      <c r="D44" s="21" t="s">
        <v>106</v>
      </c>
      <c r="G44">
        <v>35</v>
      </c>
      <c r="H44" s="612">
        <f t="shared" si="59"/>
        <v>19</v>
      </c>
      <c r="I44" s="4" t="str">
        <f t="shared" si="60"/>
        <v>BUCK</v>
      </c>
      <c r="J44">
        <f t="shared" si="43"/>
        <v>1</v>
      </c>
      <c r="K44" s="387">
        <f t="shared" si="96"/>
        <v>2.1</v>
      </c>
      <c r="L44" s="4">
        <f t="shared" si="61"/>
        <v>1.3815789473684212</v>
      </c>
      <c r="M44" s="4">
        <f t="shared" si="56"/>
        <v>2.1</v>
      </c>
      <c r="N44" s="387">
        <f t="shared" si="62"/>
        <v>0.63319643683479876</v>
      </c>
      <c r="O44" s="387">
        <f t="shared" si="63"/>
        <v>0</v>
      </c>
      <c r="P44" s="4">
        <f t="shared" si="64"/>
        <v>4.1953053014727963</v>
      </c>
      <c r="Q44" s="4">
        <f t="shared" si="65"/>
        <v>2.4241937933494122</v>
      </c>
      <c r="R44" s="387">
        <f t="shared" si="7"/>
        <v>3.5360037710305228E-2</v>
      </c>
      <c r="S44" s="387">
        <f t="shared" si="45"/>
        <v>0.34454295823912762</v>
      </c>
      <c r="T44" s="387">
        <f t="shared" si="46"/>
        <v>0.37990299594943283</v>
      </c>
      <c r="U44" s="4">
        <f t="shared" si="66"/>
        <v>1.2110803225689917</v>
      </c>
      <c r="V44" s="387">
        <f t="shared" si="9"/>
        <v>1.026700883399669E-2</v>
      </c>
      <c r="W44" s="387">
        <f t="shared" si="47"/>
        <v>1.026700883399669E-2</v>
      </c>
      <c r="X44" s="4">
        <f t="shared" si="67"/>
        <v>1.1682972085616197</v>
      </c>
      <c r="Y44" s="387">
        <f t="shared" si="11"/>
        <v>2.7298367350657455E-3</v>
      </c>
      <c r="Z44" s="605">
        <f t="shared" si="48"/>
        <v>2.7298367350657455E-3</v>
      </c>
      <c r="AA44" s="387">
        <f t="shared" si="68"/>
        <v>1.9290192702780471</v>
      </c>
      <c r="AB44" s="387">
        <f t="shared" si="69"/>
        <v>2.1210357467093082E-2</v>
      </c>
      <c r="AC44" s="387">
        <f t="shared" si="70"/>
        <v>3.0339112769010038E-2</v>
      </c>
      <c r="AD44" s="387">
        <f t="shared" si="71"/>
        <v>0</v>
      </c>
      <c r="AE44" s="387">
        <f t="shared" si="72"/>
        <v>5.1769078367687245E-2</v>
      </c>
      <c r="AF44" s="387">
        <f t="shared" si="73"/>
        <v>1.4681962411781893</v>
      </c>
      <c r="AG44" s="387">
        <f t="shared" si="74"/>
        <v>1.2286921154875655E-2</v>
      </c>
      <c r="AH44" s="387">
        <f t="shared" si="75"/>
        <v>3.7632000000000006E-2</v>
      </c>
      <c r="AI44" s="387">
        <f t="shared" si="76"/>
        <v>5.0041893314394591E-2</v>
      </c>
      <c r="AJ44" s="387">
        <f t="shared" si="77"/>
        <v>0</v>
      </c>
      <c r="AK44" s="387">
        <f t="shared" si="78"/>
        <v>0</v>
      </c>
      <c r="AL44" s="387">
        <f t="shared" si="79"/>
        <v>0</v>
      </c>
      <c r="AM44" s="387">
        <f t="shared" si="80"/>
        <v>0</v>
      </c>
      <c r="AN44" s="387">
        <f t="shared" si="81"/>
        <v>0</v>
      </c>
      <c r="AO44" s="387">
        <f t="shared" si="49"/>
        <v>2.4241937933494122</v>
      </c>
      <c r="AP44" s="387">
        <f t="shared" si="82"/>
        <v>1.1165759540656245E-2</v>
      </c>
      <c r="AQ44" s="387">
        <f t="shared" si="83"/>
        <v>0</v>
      </c>
      <c r="AR44" s="387">
        <f t="shared" si="84"/>
        <v>1.1190750185787055E-2</v>
      </c>
      <c r="AS44" s="387">
        <f t="shared" si="85"/>
        <v>1.1165759540656245E-2</v>
      </c>
      <c r="AT44" s="387">
        <f t="shared" si="86"/>
        <v>0</v>
      </c>
      <c r="AU44" s="387">
        <f t="shared" si="87"/>
        <v>9.3785677775999984E-2</v>
      </c>
      <c r="AV44" s="387">
        <f t="shared" si="88"/>
        <v>1.724480162087811E-2</v>
      </c>
      <c r="AW44" s="387">
        <f t="shared" si="33"/>
        <v>0</v>
      </c>
      <c r="AX44" s="387">
        <f t="shared" si="89"/>
        <v>3.6000000000000004E-2</v>
      </c>
      <c r="AY44" s="387">
        <f t="shared" si="90"/>
        <v>5.9136000000000001E-2</v>
      </c>
      <c r="AZ44" s="387">
        <f t="shared" si="36"/>
        <v>7.3471999999999996E-2</v>
      </c>
      <c r="BA44" s="387">
        <f t="shared" si="57"/>
        <v>9.5135999999999998E-2</v>
      </c>
      <c r="BB44" s="387">
        <f t="shared" si="58"/>
        <v>0.71206804278324232</v>
      </c>
      <c r="BC44">
        <f t="shared" si="91"/>
        <v>25.200000000000003</v>
      </c>
      <c r="BD44" s="606">
        <f t="shared" si="51"/>
        <v>0.97251982969450557</v>
      </c>
      <c r="BE44" s="616">
        <f t="shared" si="92"/>
        <v>5.6833812849923611</v>
      </c>
      <c r="BF44" s="616">
        <f t="shared" si="93"/>
        <v>4.0495583490237301</v>
      </c>
      <c r="BG44" s="9"/>
      <c r="BH44" s="4">
        <f t="shared" si="52"/>
        <v>97.251982969450552</v>
      </c>
      <c r="BI44" s="387">
        <f t="shared" si="53"/>
        <v>0.37990299594943283</v>
      </c>
      <c r="BJ44" s="387">
        <f t="shared" si="54"/>
        <v>0.20678739964386889</v>
      </c>
      <c r="BK44" s="387">
        <f t="shared" si="94"/>
        <v>0.11366762569984723</v>
      </c>
      <c r="BL44" s="387">
        <f t="shared" si="95"/>
        <v>8.0991166980474594E-2</v>
      </c>
      <c r="BM44" s="387">
        <f t="shared" si="55"/>
        <v>1.724480162087811E-2</v>
      </c>
      <c r="BR44">
        <v>9.9981469999999995</v>
      </c>
      <c r="BS44">
        <v>4.8490000000000002</v>
      </c>
      <c r="BT44">
        <v>5.1107740000000002</v>
      </c>
      <c r="BU44">
        <v>93.953815994681278</v>
      </c>
      <c r="BV44">
        <v>1594.7983209009985</v>
      </c>
    </row>
    <row r="45" spans="1:74" x14ac:dyDescent="0.2">
      <c r="A45" s="28" t="s">
        <v>147</v>
      </c>
      <c r="B45" s="490">
        <f>Vsp_Q1</f>
        <v>4.0999999999999996</v>
      </c>
      <c r="C45" s="488" t="s">
        <v>0</v>
      </c>
      <c r="G45">
        <v>36</v>
      </c>
      <c r="H45" s="612">
        <f t="shared" si="59"/>
        <v>19</v>
      </c>
      <c r="I45" s="4" t="str">
        <f t="shared" si="60"/>
        <v>BUCK</v>
      </c>
      <c r="J45">
        <f t="shared" si="43"/>
        <v>1</v>
      </c>
      <c r="K45" s="387">
        <f t="shared" si="96"/>
        <v>2.16</v>
      </c>
      <c r="L45" s="4">
        <f t="shared" si="61"/>
        <v>1.4210526315789476</v>
      </c>
      <c r="M45" s="4">
        <f t="shared" si="56"/>
        <v>2.16</v>
      </c>
      <c r="N45" s="387">
        <f t="shared" si="62"/>
        <v>0.63324260882734018</v>
      </c>
      <c r="O45" s="387">
        <f t="shared" si="63"/>
        <v>0</v>
      </c>
      <c r="P45" s="4">
        <f t="shared" si="64"/>
        <v>4.1951889766157828</v>
      </c>
      <c r="Q45" s="4">
        <f t="shared" si="65"/>
        <v>2.4763348344801601</v>
      </c>
      <c r="R45" s="387">
        <f t="shared" si="7"/>
        <v>3.6902025368747433E-2</v>
      </c>
      <c r="S45" s="387">
        <f t="shared" si="45"/>
        <v>0.34452094788864257</v>
      </c>
      <c r="T45" s="387">
        <f t="shared" si="46"/>
        <v>0.38142297325739</v>
      </c>
      <c r="U45" s="4">
        <f t="shared" si="66"/>
        <v>1.2110467424752365</v>
      </c>
      <c r="V45" s="387">
        <f t="shared" si="9"/>
        <v>1.0266439487219172E-2</v>
      </c>
      <c r="W45" s="387">
        <f t="shared" si="47"/>
        <v>1.0266439487219172E-2</v>
      </c>
      <c r="X45" s="4">
        <f t="shared" si="67"/>
        <v>1.1933940522346735</v>
      </c>
      <c r="Y45" s="387">
        <f t="shared" si="11"/>
        <v>2.8483787278181898E-3</v>
      </c>
      <c r="Z45" s="605">
        <f t="shared" si="48"/>
        <v>2.8483787278181898E-3</v>
      </c>
      <c r="AA45" s="387">
        <f t="shared" si="68"/>
        <v>1.9705816376487337</v>
      </c>
      <c r="AB45" s="387">
        <f t="shared" si="69"/>
        <v>2.2134194346638682E-2</v>
      </c>
      <c r="AC45" s="387">
        <f t="shared" si="70"/>
        <v>3.1205944562410329E-2</v>
      </c>
      <c r="AD45" s="387">
        <f t="shared" si="71"/>
        <v>0</v>
      </c>
      <c r="AE45" s="387">
        <f t="shared" si="72"/>
        <v>5.3577317058718842E-2</v>
      </c>
      <c r="AF45" s="387">
        <f t="shared" si="73"/>
        <v>1.4996807066244189</v>
      </c>
      <c r="AG45" s="387">
        <f t="shared" si="74"/>
        <v>1.2819540664382645E-2</v>
      </c>
      <c r="AH45" s="387">
        <f t="shared" si="75"/>
        <v>3.8707200000000004E-2</v>
      </c>
      <c r="AI45" s="387">
        <f t="shared" si="76"/>
        <v>5.1659190081971632E-2</v>
      </c>
      <c r="AJ45" s="387">
        <f t="shared" si="77"/>
        <v>0</v>
      </c>
      <c r="AK45" s="387">
        <f t="shared" si="78"/>
        <v>0</v>
      </c>
      <c r="AL45" s="387">
        <f t="shared" si="79"/>
        <v>0</v>
      </c>
      <c r="AM45" s="387">
        <f t="shared" si="80"/>
        <v>0</v>
      </c>
      <c r="AN45" s="387">
        <f t="shared" si="81"/>
        <v>0</v>
      </c>
      <c r="AO45" s="387">
        <f t="shared" si="49"/>
        <v>2.4763348344801601</v>
      </c>
      <c r="AP45" s="387">
        <f t="shared" si="82"/>
        <v>1.1651245003673776E-2</v>
      </c>
      <c r="AQ45" s="387">
        <f t="shared" si="83"/>
        <v>0</v>
      </c>
      <c r="AR45" s="387">
        <f t="shared" si="84"/>
        <v>1.1678458720437197E-2</v>
      </c>
      <c r="AS45" s="387">
        <f t="shared" si="85"/>
        <v>1.1651245003673776E-2</v>
      </c>
      <c r="AT45" s="387">
        <f t="shared" si="86"/>
        <v>0</v>
      </c>
      <c r="AU45" s="387">
        <f t="shared" si="87"/>
        <v>9.6463531100159983E-2</v>
      </c>
      <c r="AV45" s="387">
        <f t="shared" si="88"/>
        <v>1.7992337774572133E-2</v>
      </c>
      <c r="AW45" s="387">
        <f t="shared" si="33"/>
        <v>0</v>
      </c>
      <c r="AX45" s="387">
        <f t="shared" si="89"/>
        <v>3.6000000000000004E-2</v>
      </c>
      <c r="AY45" s="387">
        <f t="shared" si="90"/>
        <v>5.9136000000000001E-2</v>
      </c>
      <c r="AZ45" s="387">
        <f t="shared" si="36"/>
        <v>7.3471999999999996E-2</v>
      </c>
      <c r="BA45" s="387">
        <f t="shared" si="57"/>
        <v>9.5135999999999998E-2</v>
      </c>
      <c r="BB45" s="387">
        <f t="shared" si="58"/>
        <v>0.72104462620828713</v>
      </c>
      <c r="BC45">
        <f t="shared" si="91"/>
        <v>25.92</v>
      </c>
      <c r="BD45" s="606">
        <f t="shared" si="51"/>
        <v>0.97293482157606714</v>
      </c>
      <c r="BE45" s="616">
        <f t="shared" si="92"/>
        <v>5.8621623792412221</v>
      </c>
      <c r="BF45" s="616">
        <f t="shared" si="93"/>
        <v>4.1746077672512216</v>
      </c>
      <c r="BG45" s="9"/>
      <c r="BH45" s="4">
        <f t="shared" si="52"/>
        <v>97.293482157606718</v>
      </c>
      <c r="BI45" s="387">
        <f t="shared" si="53"/>
        <v>0.38142297325739</v>
      </c>
      <c r="BJ45" s="387">
        <f t="shared" si="54"/>
        <v>0.21337849696128763</v>
      </c>
      <c r="BK45" s="387">
        <f t="shared" si="94"/>
        <v>0.11724324758482443</v>
      </c>
      <c r="BL45" s="387">
        <f t="shared" si="95"/>
        <v>8.3492155345024424E-2</v>
      </c>
      <c r="BM45" s="387">
        <f t="shared" si="55"/>
        <v>1.7992337774572133E-2</v>
      </c>
      <c r="BR45">
        <v>9.9979859999999992</v>
      </c>
      <c r="BS45">
        <v>5.4960000000000004</v>
      </c>
      <c r="BT45">
        <v>5.1097890000000001</v>
      </c>
      <c r="BU45">
        <v>93.599771362833366</v>
      </c>
      <c r="BV45">
        <v>1920.3056923499939</v>
      </c>
    </row>
    <row r="46" spans="1:74" x14ac:dyDescent="0.2">
      <c r="A46" s="77" t="s">
        <v>239</v>
      </c>
      <c r="B46" s="5">
        <f>Vsd_Q1</f>
        <v>0.8</v>
      </c>
      <c r="C46" s="488" t="s">
        <v>0</v>
      </c>
      <c r="G46">
        <v>37</v>
      </c>
      <c r="H46" s="612">
        <f t="shared" si="59"/>
        <v>19</v>
      </c>
      <c r="I46" s="4" t="str">
        <f t="shared" si="60"/>
        <v>BUCK</v>
      </c>
      <c r="J46">
        <f t="shared" si="43"/>
        <v>1</v>
      </c>
      <c r="K46" s="387">
        <f t="shared" si="96"/>
        <v>2.2200000000000002</v>
      </c>
      <c r="L46" s="4">
        <f t="shared" si="61"/>
        <v>1.4605263157894739</v>
      </c>
      <c r="M46" s="4">
        <f t="shared" si="56"/>
        <v>2.2200000000000002</v>
      </c>
      <c r="N46" s="387">
        <f t="shared" si="62"/>
        <v>0.63328877848915965</v>
      </c>
      <c r="O46" s="387">
        <f t="shared" si="63"/>
        <v>0</v>
      </c>
      <c r="P46" s="4">
        <f t="shared" si="64"/>
        <v>4.1950725747450983</v>
      </c>
      <c r="Q46" s="4">
        <f t="shared" si="65"/>
        <v>2.5288243959624546</v>
      </c>
      <c r="R46" s="387">
        <f t="shared" si="7"/>
        <v>3.8487858412364129E-2</v>
      </c>
      <c r="S46" s="387">
        <f t="shared" si="45"/>
        <v>0.34449892376266911</v>
      </c>
      <c r="T46" s="387">
        <f t="shared" si="46"/>
        <v>0.38298678217503324</v>
      </c>
      <c r="U46" s="4">
        <f t="shared" si="66"/>
        <v>1.2110131401495496</v>
      </c>
      <c r="V46" s="387">
        <f t="shared" si="9"/>
        <v>1.0265869779304109E-2</v>
      </c>
      <c r="W46" s="387">
        <f t="shared" si="47"/>
        <v>1.0265869779304109E-2</v>
      </c>
      <c r="X46" s="4">
        <f t="shared" si="67"/>
        <v>1.2186575088088383</v>
      </c>
      <c r="Y46" s="387">
        <f t="shared" si="11"/>
        <v>2.9702522475523276E-3</v>
      </c>
      <c r="Z46" s="605">
        <f t="shared" si="48"/>
        <v>2.9702522475523276E-3</v>
      </c>
      <c r="AA46" s="387">
        <f t="shared" si="68"/>
        <v>2.012424374586395</v>
      </c>
      <c r="AB46" s="387">
        <f t="shared" si="69"/>
        <v>2.3084155621547826E-2</v>
      </c>
      <c r="AC46" s="387">
        <f t="shared" si="70"/>
        <v>3.2072776355810614E-2</v>
      </c>
      <c r="AD46" s="387">
        <f t="shared" si="71"/>
        <v>0</v>
      </c>
      <c r="AE46" s="387">
        <f t="shared" si="72"/>
        <v>5.5412763347866871E-2</v>
      </c>
      <c r="AF46" s="387">
        <f t="shared" si="73"/>
        <v>1.5313722480786407</v>
      </c>
      <c r="AG46" s="387">
        <f t="shared" si="74"/>
        <v>1.3367075484456951E-2</v>
      </c>
      <c r="AH46" s="387">
        <f t="shared" si="75"/>
        <v>3.9782400000000009E-2</v>
      </c>
      <c r="AI46" s="387">
        <f t="shared" si="76"/>
        <v>5.3291946980056175E-2</v>
      </c>
      <c r="AJ46" s="387">
        <f t="shared" si="77"/>
        <v>0</v>
      </c>
      <c r="AK46" s="387">
        <f t="shared" si="78"/>
        <v>0</v>
      </c>
      <c r="AL46" s="387">
        <f t="shared" si="79"/>
        <v>0</v>
      </c>
      <c r="AM46" s="387">
        <f t="shared" si="80"/>
        <v>0</v>
      </c>
      <c r="AN46" s="387">
        <f t="shared" si="81"/>
        <v>0</v>
      </c>
      <c r="AO46" s="387">
        <f t="shared" si="49"/>
        <v>2.5288243959624546</v>
      </c>
      <c r="AP46" s="387">
        <f t="shared" si="82"/>
        <v>1.2150410368668259E-2</v>
      </c>
      <c r="AQ46" s="387">
        <f t="shared" si="83"/>
        <v>0</v>
      </c>
      <c r="AR46" s="387">
        <f t="shared" si="84"/>
        <v>1.2180008789685993E-2</v>
      </c>
      <c r="AS46" s="387">
        <f t="shared" si="85"/>
        <v>1.2150410368668259E-2</v>
      </c>
      <c r="AT46" s="387">
        <f t="shared" si="86"/>
        <v>0</v>
      </c>
      <c r="AU46" s="387">
        <f t="shared" si="87"/>
        <v>9.9141287898239991E-2</v>
      </c>
      <c r="AV46" s="387">
        <f t="shared" si="88"/>
        <v>1.876080769748344E-2</v>
      </c>
      <c r="AW46" s="387">
        <f t="shared" si="33"/>
        <v>0</v>
      </c>
      <c r="AX46" s="387">
        <f t="shared" si="89"/>
        <v>3.6000000000000004E-2</v>
      </c>
      <c r="AY46" s="387">
        <f t="shared" si="90"/>
        <v>5.9136000000000001E-2</v>
      </c>
      <c r="AZ46" s="387">
        <f t="shared" si="36"/>
        <v>7.3471999999999996E-2</v>
      </c>
      <c r="BA46" s="387">
        <f t="shared" si="57"/>
        <v>9.5135999999999998E-2</v>
      </c>
      <c r="BB46" s="387">
        <f t="shared" si="58"/>
        <v>0.73014571891522206</v>
      </c>
      <c r="BC46">
        <f t="shared" si="91"/>
        <v>26.64</v>
      </c>
      <c r="BD46" s="606">
        <f t="shared" si="51"/>
        <v>0.97332327980955446</v>
      </c>
      <c r="BE46" s="616">
        <f t="shared" si="92"/>
        <v>6.0423006680352636</v>
      </c>
      <c r="BF46" s="616">
        <f t="shared" si="93"/>
        <v>4.3004285993237694</v>
      </c>
      <c r="BG46" s="9"/>
      <c r="BH46" s="4">
        <f t="shared" si="52"/>
        <v>97.332327980955441</v>
      </c>
      <c r="BI46" s="387">
        <f t="shared" si="53"/>
        <v>0.38298678217503324</v>
      </c>
      <c r="BJ46" s="387">
        <f t="shared" si="54"/>
        <v>0.22002600701584901</v>
      </c>
      <c r="BK46" s="387">
        <f t="shared" si="94"/>
        <v>0.12084601336070527</v>
      </c>
      <c r="BL46" s="387">
        <f t="shared" si="95"/>
        <v>8.6008571986475379E-2</v>
      </c>
      <c r="BM46" s="387">
        <f t="shared" si="55"/>
        <v>1.876080769748344E-2</v>
      </c>
      <c r="BR46">
        <v>9.9978999999999996</v>
      </c>
      <c r="BS46">
        <v>6.1950000000000003</v>
      </c>
      <c r="BT46">
        <v>5.109191</v>
      </c>
      <c r="BU46">
        <v>93.156651672159526</v>
      </c>
      <c r="BV46">
        <v>2325.1351758999972</v>
      </c>
    </row>
    <row r="47" spans="1:74" ht="15.75" x14ac:dyDescent="0.3">
      <c r="A47" s="489" t="s">
        <v>684</v>
      </c>
      <c r="B47" s="5">
        <f>ThetaJA_Q1</f>
        <v>50</v>
      </c>
      <c r="C47" s="484" t="s">
        <v>241</v>
      </c>
      <c r="D47" s="21" t="s">
        <v>107</v>
      </c>
      <c r="G47">
        <v>38</v>
      </c>
      <c r="H47" s="612">
        <f t="shared" si="59"/>
        <v>19</v>
      </c>
      <c r="I47" s="4" t="str">
        <f t="shared" si="60"/>
        <v>BUCK</v>
      </c>
      <c r="J47">
        <f t="shared" si="43"/>
        <v>1</v>
      </c>
      <c r="K47" s="387">
        <f t="shared" si="96"/>
        <v>2.2799999999999998</v>
      </c>
      <c r="L47" s="4">
        <f t="shared" si="61"/>
        <v>1.5</v>
      </c>
      <c r="M47" s="4">
        <f t="shared" si="56"/>
        <v>2.2799999999999998</v>
      </c>
      <c r="N47" s="387">
        <f t="shared" si="62"/>
        <v>0.63333494582043348</v>
      </c>
      <c r="O47" s="387">
        <f t="shared" si="63"/>
        <v>0</v>
      </c>
      <c r="P47" s="4">
        <f t="shared" si="64"/>
        <v>4.1949560958665746</v>
      </c>
      <c r="Q47" s="4">
        <f t="shared" si="65"/>
        <v>2.5816412196870702</v>
      </c>
      <c r="R47" s="387">
        <f t="shared" si="7"/>
        <v>4.0117569976368374E-2</v>
      </c>
      <c r="S47" s="387">
        <f t="shared" si="45"/>
        <v>0.34447688586388658</v>
      </c>
      <c r="T47" s="387">
        <f t="shared" si="46"/>
        <v>0.38459445584025498</v>
      </c>
      <c r="U47" s="4">
        <f t="shared" si="66"/>
        <v>1.2109795155936143</v>
      </c>
      <c r="V47" s="387">
        <f t="shared" si="9"/>
        <v>1.0265299710311412E-2</v>
      </c>
      <c r="W47" s="387">
        <f t="shared" si="47"/>
        <v>1.0265299710311412E-2</v>
      </c>
      <c r="X47" s="4">
        <f t="shared" si="67"/>
        <v>1.2440773201328166</v>
      </c>
      <c r="Y47" s="387">
        <f t="shared" si="11"/>
        <v>3.0954567569377012E-3</v>
      </c>
      <c r="Z47" s="605">
        <f t="shared" si="48"/>
        <v>3.0954567569377012E-3</v>
      </c>
      <c r="AA47" s="387">
        <f t="shared" si="68"/>
        <v>2.0545305933240452</v>
      </c>
      <c r="AB47" s="387">
        <f t="shared" si="69"/>
        <v>2.4060246965755382E-2</v>
      </c>
      <c r="AC47" s="387">
        <f t="shared" si="70"/>
        <v>3.2939608149210889E-2</v>
      </c>
      <c r="AD47" s="387">
        <f t="shared" si="71"/>
        <v>0</v>
      </c>
      <c r="AE47" s="387">
        <f t="shared" si="72"/>
        <v>5.7275467493561105E-2</v>
      </c>
      <c r="AF47" s="387">
        <f t="shared" si="73"/>
        <v>1.5632579532127415</v>
      </c>
      <c r="AG47" s="387">
        <f t="shared" si="74"/>
        <v>1.3929519941212474E-2</v>
      </c>
      <c r="AH47" s="387">
        <f t="shared" si="75"/>
        <v>4.0857600000000001E-2</v>
      </c>
      <c r="AI47" s="387">
        <f t="shared" si="76"/>
        <v>5.494017800222363E-2</v>
      </c>
      <c r="AJ47" s="387">
        <f t="shared" si="77"/>
        <v>0</v>
      </c>
      <c r="AK47" s="387">
        <f t="shared" si="78"/>
        <v>0</v>
      </c>
      <c r="AL47" s="387">
        <f t="shared" si="79"/>
        <v>0</v>
      </c>
      <c r="AM47" s="387">
        <f t="shared" si="80"/>
        <v>0</v>
      </c>
      <c r="AN47" s="387">
        <f t="shared" si="81"/>
        <v>0</v>
      </c>
      <c r="AO47" s="387">
        <f t="shared" si="49"/>
        <v>2.5816412196870702</v>
      </c>
      <c r="AP47" s="387">
        <f t="shared" si="82"/>
        <v>1.2663255635655951E-2</v>
      </c>
      <c r="AQ47" s="387">
        <f t="shared" si="83"/>
        <v>0</v>
      </c>
      <c r="AR47" s="387">
        <f t="shared" si="84"/>
        <v>1.2695408676750515E-2</v>
      </c>
      <c r="AS47" s="387">
        <f t="shared" si="85"/>
        <v>1.2663255635655951E-2</v>
      </c>
      <c r="AT47" s="387">
        <f t="shared" si="86"/>
        <v>0</v>
      </c>
      <c r="AU47" s="387">
        <f t="shared" si="87"/>
        <v>0.10181894817024</v>
      </c>
      <c r="AV47" s="387">
        <f t="shared" si="88"/>
        <v>1.9550203426263121E-2</v>
      </c>
      <c r="AW47" s="387">
        <f t="shared" si="33"/>
        <v>0</v>
      </c>
      <c r="AX47" s="387">
        <f t="shared" si="89"/>
        <v>3.6000000000000004E-2</v>
      </c>
      <c r="AY47" s="387">
        <f t="shared" si="90"/>
        <v>5.9136000000000001E-2</v>
      </c>
      <c r="AZ47" s="387">
        <f t="shared" si="36"/>
        <v>7.3471999999999996E-2</v>
      </c>
      <c r="BA47" s="387">
        <f t="shared" si="57"/>
        <v>9.5135999999999998E-2</v>
      </c>
      <c r="BB47" s="387">
        <f t="shared" si="58"/>
        <v>0.7393714180765425</v>
      </c>
      <c r="BC47">
        <f t="shared" si="91"/>
        <v>27.36</v>
      </c>
      <c r="BD47" s="606">
        <f t="shared" si="51"/>
        <v>0.97368726128866712</v>
      </c>
      <c r="BE47" s="616">
        <f t="shared" si="92"/>
        <v>6.2237986642959751</v>
      </c>
      <c r="BF47" s="616">
        <f t="shared" si="93"/>
        <v>4.4270215449201418</v>
      </c>
      <c r="BG47" s="9"/>
      <c r="BH47" s="4">
        <f t="shared" si="52"/>
        <v>97.368726128866712</v>
      </c>
      <c r="BI47" s="387">
        <f t="shared" si="53"/>
        <v>0.38459445584025498</v>
      </c>
      <c r="BJ47" s="387">
        <f t="shared" si="54"/>
        <v>0.22673000234277524</v>
      </c>
      <c r="BK47" s="387">
        <f t="shared" si="94"/>
        <v>0.1244759732859195</v>
      </c>
      <c r="BL47" s="387">
        <f t="shared" si="95"/>
        <v>8.8540430898402828E-2</v>
      </c>
      <c r="BM47" s="387">
        <f t="shared" si="55"/>
        <v>1.9550203426263121E-2</v>
      </c>
      <c r="BR47">
        <v>9.9976269999999996</v>
      </c>
      <c r="BS47">
        <v>6.9470000000000001</v>
      </c>
      <c r="BT47">
        <v>5.1086669999999996</v>
      </c>
      <c r="BU47">
        <v>92.656807634751772</v>
      </c>
      <c r="BV47">
        <v>2812.6290012010018</v>
      </c>
    </row>
    <row r="48" spans="1:74" x14ac:dyDescent="0.2">
      <c r="A48" s="24" t="s">
        <v>773</v>
      </c>
      <c r="B48" s="15" t="s">
        <v>115</v>
      </c>
      <c r="C48" s="24" t="s">
        <v>80</v>
      </c>
      <c r="D48" s="17" t="s">
        <v>111</v>
      </c>
      <c r="G48">
        <v>39</v>
      </c>
      <c r="H48" s="612">
        <f t="shared" si="59"/>
        <v>19</v>
      </c>
      <c r="I48" s="4" t="str">
        <f t="shared" si="60"/>
        <v>BUCK</v>
      </c>
      <c r="J48">
        <f t="shared" si="43"/>
        <v>1</v>
      </c>
      <c r="K48" s="387">
        <f t="shared" si="96"/>
        <v>2.34</v>
      </c>
      <c r="L48" s="4">
        <f t="shared" si="61"/>
        <v>1.5394736842105263</v>
      </c>
      <c r="M48" s="4">
        <f t="shared" si="56"/>
        <v>2.34</v>
      </c>
      <c r="N48" s="387">
        <f t="shared" si="62"/>
        <v>0.63338111082133819</v>
      </c>
      <c r="O48" s="387">
        <f t="shared" si="63"/>
        <v>0</v>
      </c>
      <c r="P48" s="4">
        <f t="shared" si="64"/>
        <v>4.194839539986039</v>
      </c>
      <c r="Q48" s="4">
        <f t="shared" si="65"/>
        <v>2.6347656247161444</v>
      </c>
      <c r="R48" s="387">
        <f t="shared" si="7"/>
        <v>4.179119412587344E-2</v>
      </c>
      <c r="S48" s="387">
        <f t="shared" si="45"/>
        <v>0.34445483419497214</v>
      </c>
      <c r="T48" s="387">
        <f t="shared" si="46"/>
        <v>0.38624602832084559</v>
      </c>
      <c r="U48" s="4">
        <f t="shared" si="66"/>
        <v>1.2109458688091128</v>
      </c>
      <c r="V48" s="387">
        <f t="shared" si="9"/>
        <v>1.0264729280301E-2</v>
      </c>
      <c r="W48" s="387">
        <f t="shared" si="47"/>
        <v>1.0264729280301E-2</v>
      </c>
      <c r="X48" s="4">
        <f t="shared" si="67"/>
        <v>1.2696439891423255</v>
      </c>
      <c r="Y48" s="387">
        <f t="shared" si="11"/>
        <v>3.2239917183304748E-3</v>
      </c>
      <c r="Z48" s="605">
        <f t="shared" si="48"/>
        <v>3.2239917183304748E-3</v>
      </c>
      <c r="AA48" s="387">
        <f t="shared" si="68"/>
        <v>2.0968846588189067</v>
      </c>
      <c r="AB48" s="387">
        <f t="shared" si="69"/>
        <v>2.5062474052623469E-2</v>
      </c>
      <c r="AC48" s="387">
        <f t="shared" si="70"/>
        <v>3.3806439942611177E-2</v>
      </c>
      <c r="AD48" s="387">
        <f t="shared" si="71"/>
        <v>0</v>
      </c>
      <c r="AE48" s="387">
        <f t="shared" si="72"/>
        <v>5.9165480660005119E-2</v>
      </c>
      <c r="AF48" s="387">
        <f t="shared" si="73"/>
        <v>1.5953258679015303</v>
      </c>
      <c r="AG48" s="387">
        <f t="shared" si="74"/>
        <v>1.4506868361335896E-2</v>
      </c>
      <c r="AH48" s="387">
        <f t="shared" si="75"/>
        <v>4.1932799999999999E-2</v>
      </c>
      <c r="AI48" s="387">
        <f t="shared" si="76"/>
        <v>5.6603897419055256E-2</v>
      </c>
      <c r="AJ48" s="387">
        <f t="shared" si="77"/>
        <v>0</v>
      </c>
      <c r="AK48" s="387">
        <f t="shared" si="78"/>
        <v>0</v>
      </c>
      <c r="AL48" s="387">
        <f t="shared" si="79"/>
        <v>0</v>
      </c>
      <c r="AM48" s="387">
        <f t="shared" si="80"/>
        <v>0</v>
      </c>
      <c r="AN48" s="387">
        <f t="shared" si="81"/>
        <v>0</v>
      </c>
      <c r="AO48" s="387">
        <f t="shared" si="49"/>
        <v>2.6347656247161444</v>
      </c>
      <c r="AP48" s="387">
        <f t="shared" si="82"/>
        <v>1.3189780804653124E-2</v>
      </c>
      <c r="AQ48" s="387">
        <f t="shared" si="83"/>
        <v>0</v>
      </c>
      <c r="AR48" s="387">
        <f t="shared" si="84"/>
        <v>1.3224666896168125E-2</v>
      </c>
      <c r="AS48" s="387">
        <f t="shared" si="85"/>
        <v>1.3189780804653124E-2</v>
      </c>
      <c r="AT48" s="387">
        <f t="shared" si="86"/>
        <v>0</v>
      </c>
      <c r="AU48" s="387">
        <f t="shared" si="87"/>
        <v>0.10449651191615998</v>
      </c>
      <c r="AV48" s="387">
        <f t="shared" si="88"/>
        <v>2.036051699836617E-2</v>
      </c>
      <c r="AW48" s="387">
        <f t="shared" si="33"/>
        <v>0</v>
      </c>
      <c r="AX48" s="387">
        <f t="shared" si="89"/>
        <v>3.6000000000000004E-2</v>
      </c>
      <c r="AY48" s="387">
        <f t="shared" si="90"/>
        <v>5.9136000000000001E-2</v>
      </c>
      <c r="AZ48" s="387">
        <f t="shared" si="36"/>
        <v>7.3471999999999996E-2</v>
      </c>
      <c r="BA48" s="387">
        <f t="shared" si="57"/>
        <v>9.5135999999999998E-2</v>
      </c>
      <c r="BB48" s="387">
        <f t="shared" si="58"/>
        <v>0.74872182320923164</v>
      </c>
      <c r="BC48">
        <f t="shared" si="91"/>
        <v>28.08</v>
      </c>
      <c r="BD48" s="606">
        <f t="shared" si="51"/>
        <v>0.97402861535794993</v>
      </c>
      <c r="BE48" s="616">
        <f t="shared" si="92"/>
        <v>6.4066589262335354</v>
      </c>
      <c r="BF48" s="616">
        <f t="shared" si="93"/>
        <v>4.554387317569403</v>
      </c>
      <c r="BG48" s="9"/>
      <c r="BH48" s="4">
        <f t="shared" si="52"/>
        <v>97.402861535794997</v>
      </c>
      <c r="BI48" s="387">
        <f t="shared" si="53"/>
        <v>0.38624602832084559</v>
      </c>
      <c r="BJ48" s="387">
        <f t="shared" si="54"/>
        <v>0.23349055689138848</v>
      </c>
      <c r="BK48" s="387">
        <f t="shared" si="94"/>
        <v>0.12813317852467071</v>
      </c>
      <c r="BL48" s="387">
        <f t="shared" si="95"/>
        <v>9.1087746351388055E-2</v>
      </c>
      <c r="BM48" s="387">
        <f t="shared" si="55"/>
        <v>2.036051699836617E-2</v>
      </c>
      <c r="BR48">
        <v>9.9975280000000009</v>
      </c>
      <c r="BS48">
        <v>7.7530000000000001</v>
      </c>
      <c r="BT48">
        <v>5.10853</v>
      </c>
      <c r="BU48">
        <v>92.034336419785248</v>
      </c>
      <c r="BV48">
        <v>3427.976173640001</v>
      </c>
    </row>
    <row r="49" spans="1:74" x14ac:dyDescent="0.2">
      <c r="A49" s="23" t="s">
        <v>72</v>
      </c>
      <c r="B49" s="5">
        <f>Rdson2*1000</f>
        <v>5.7</v>
      </c>
      <c r="C49" s="485" t="s">
        <v>678</v>
      </c>
      <c r="D49" s="483" t="s">
        <v>774</v>
      </c>
      <c r="G49">
        <v>40</v>
      </c>
      <c r="H49" s="612">
        <f t="shared" si="59"/>
        <v>19</v>
      </c>
      <c r="I49" s="4" t="str">
        <f t="shared" si="60"/>
        <v>BUCK</v>
      </c>
      <c r="J49">
        <f t="shared" si="43"/>
        <v>1</v>
      </c>
      <c r="K49" s="387">
        <f t="shared" si="96"/>
        <v>2.4</v>
      </c>
      <c r="L49" s="4">
        <f t="shared" si="61"/>
        <v>1.5789473684210527</v>
      </c>
      <c r="M49" s="4">
        <f t="shared" si="56"/>
        <v>2.4</v>
      </c>
      <c r="N49" s="387">
        <f t="shared" si="62"/>
        <v>0.63342727349205008</v>
      </c>
      <c r="O49" s="387">
        <f t="shared" si="63"/>
        <v>0</v>
      </c>
      <c r="P49" s="4">
        <f t="shared" si="64"/>
        <v>4.1947229071093224</v>
      </c>
      <c r="Q49" s="4">
        <f t="shared" si="65"/>
        <v>2.6881793756405048</v>
      </c>
      <c r="R49" s="387">
        <f t="shared" si="7"/>
        <v>4.3508765857678648E-2</v>
      </c>
      <c r="S49" s="387">
        <f t="shared" si="45"/>
        <v>0.34443276875860585</v>
      </c>
      <c r="T49" s="387">
        <f t="shared" si="46"/>
        <v>0.3879415346162845</v>
      </c>
      <c r="U49" s="4">
        <f t="shared" si="66"/>
        <v>1.2109121997977286</v>
      </c>
      <c r="V49" s="387">
        <f t="shared" si="9"/>
        <v>1.026415848933282E-2</v>
      </c>
      <c r="W49" s="387">
        <f t="shared" si="47"/>
        <v>1.026415848933282E-2</v>
      </c>
      <c r="X49" s="4">
        <f t="shared" si="67"/>
        <v>1.2953487163257487</v>
      </c>
      <c r="Y49" s="387">
        <f t="shared" si="11"/>
        <v>3.3558565937735299E-3</v>
      </c>
      <c r="Z49" s="605">
        <f t="shared" si="48"/>
        <v>3.3558565937735299E-3</v>
      </c>
      <c r="AA49" s="387">
        <f t="shared" si="68"/>
        <v>2.1394720842096882</v>
      </c>
      <c r="AB49" s="387">
        <f t="shared" si="69"/>
        <v>2.6090842554941519E-2</v>
      </c>
      <c r="AC49" s="387">
        <f t="shared" si="70"/>
        <v>3.4673271736011473E-2</v>
      </c>
      <c r="AD49" s="387">
        <f t="shared" si="71"/>
        <v>0</v>
      </c>
      <c r="AE49" s="387">
        <f t="shared" si="72"/>
        <v>6.1082854921063356E-2</v>
      </c>
      <c r="AF49" s="387">
        <f t="shared" si="73"/>
        <v>1.6275649162188364</v>
      </c>
      <c r="AG49" s="387">
        <f t="shared" si="74"/>
        <v>1.509911507208664E-2</v>
      </c>
      <c r="AH49" s="387">
        <f t="shared" si="75"/>
        <v>4.3008000000000005E-2</v>
      </c>
      <c r="AI49" s="387">
        <f t="shared" si="76"/>
        <v>5.8283119778545937E-2</v>
      </c>
      <c r="AJ49" s="387">
        <f t="shared" si="77"/>
        <v>0</v>
      </c>
      <c r="AK49" s="387">
        <f t="shared" si="78"/>
        <v>0</v>
      </c>
      <c r="AL49" s="387">
        <f t="shared" si="79"/>
        <v>0</v>
      </c>
      <c r="AM49" s="387">
        <f t="shared" si="80"/>
        <v>0</v>
      </c>
      <c r="AN49" s="387">
        <f t="shared" si="81"/>
        <v>0</v>
      </c>
      <c r="AO49" s="387">
        <f t="shared" si="49"/>
        <v>2.6881793756405048</v>
      </c>
      <c r="AP49" s="387">
        <f t="shared" si="82"/>
        <v>1.3729985875676051E-2</v>
      </c>
      <c r="AQ49" s="387">
        <f t="shared" si="83"/>
        <v>0</v>
      </c>
      <c r="AR49" s="387">
        <f t="shared" si="84"/>
        <v>1.3767792194149033E-2</v>
      </c>
      <c r="AS49" s="387">
        <f t="shared" si="85"/>
        <v>1.3729985875676051E-2</v>
      </c>
      <c r="AT49" s="387">
        <f t="shared" si="86"/>
        <v>0</v>
      </c>
      <c r="AU49" s="387">
        <f t="shared" si="87"/>
        <v>0.10717397913599998</v>
      </c>
      <c r="AV49" s="387">
        <f t="shared" si="88"/>
        <v>2.1191740452051425E-2</v>
      </c>
      <c r="AW49" s="387">
        <f t="shared" si="33"/>
        <v>0</v>
      </c>
      <c r="AX49" s="387">
        <f t="shared" si="89"/>
        <v>3.6000000000000004E-2</v>
      </c>
      <c r="AY49" s="387">
        <f t="shared" si="90"/>
        <v>5.9136000000000001E-2</v>
      </c>
      <c r="AZ49" s="387">
        <f t="shared" si="36"/>
        <v>7.3471999999999996E-2</v>
      </c>
      <c r="BA49" s="387">
        <f t="shared" si="57"/>
        <v>9.5135999999999998E-2</v>
      </c>
      <c r="BB49" s="387">
        <f t="shared" si="58"/>
        <v>0.7581970361812006</v>
      </c>
      <c r="BC49">
        <f t="shared" si="91"/>
        <v>28.799999999999997</v>
      </c>
      <c r="BD49" s="606">
        <f t="shared" si="51"/>
        <v>0.97434900933730439</v>
      </c>
      <c r="BE49" s="616">
        <f t="shared" si="92"/>
        <v>6.5908840575411674</v>
      </c>
      <c r="BF49" s="616">
        <f t="shared" si="93"/>
        <v>4.6825266446712961</v>
      </c>
      <c r="BG49" s="9"/>
      <c r="BH49" s="4">
        <f t="shared" si="52"/>
        <v>97.434900933730432</v>
      </c>
      <c r="BI49" s="387">
        <f t="shared" si="53"/>
        <v>0.3879415346162845</v>
      </c>
      <c r="BJ49" s="387">
        <f t="shared" si="54"/>
        <v>0.2403077460297583</v>
      </c>
      <c r="BK49" s="387">
        <f t="shared" si="94"/>
        <v>0.13181768115082335</v>
      </c>
      <c r="BL49" s="387">
        <f t="shared" si="95"/>
        <v>9.3650532893425925E-2</v>
      </c>
      <c r="BM49" s="387">
        <f t="shared" si="55"/>
        <v>2.1191740452051425E-2</v>
      </c>
      <c r="BR49">
        <v>9.9970090000000003</v>
      </c>
      <c r="BS49">
        <v>8.6120000000000001</v>
      </c>
      <c r="BT49">
        <v>5.1085419999999999</v>
      </c>
      <c r="BU49">
        <v>91.346378256658895</v>
      </c>
      <c r="BV49">
        <v>4167.8065612820019</v>
      </c>
    </row>
    <row r="50" spans="1:74" x14ac:dyDescent="0.2">
      <c r="A50" s="23" t="s">
        <v>84</v>
      </c>
      <c r="B50" s="5">
        <f>RdsonBotTc*1000000</f>
        <v>4000</v>
      </c>
      <c r="C50" s="483" t="s">
        <v>85</v>
      </c>
      <c r="D50" s="21" t="s">
        <v>108</v>
      </c>
      <c r="G50">
        <v>41</v>
      </c>
      <c r="H50" s="612">
        <f t="shared" si="59"/>
        <v>19</v>
      </c>
      <c r="I50" s="4" t="str">
        <f t="shared" si="60"/>
        <v>BUCK</v>
      </c>
      <c r="J50">
        <f t="shared" si="43"/>
        <v>1</v>
      </c>
      <c r="K50" s="387">
        <f t="shared" si="96"/>
        <v>2.46</v>
      </c>
      <c r="L50" s="4">
        <f t="shared" si="61"/>
        <v>1.618421052631579</v>
      </c>
      <c r="M50" s="4">
        <f t="shared" si="56"/>
        <v>2.46</v>
      </c>
      <c r="N50" s="387">
        <f t="shared" si="62"/>
        <v>0.6334734338327459</v>
      </c>
      <c r="O50" s="387">
        <f t="shared" si="63"/>
        <v>0</v>
      </c>
      <c r="P50" s="4">
        <f t="shared" si="64"/>
        <v>4.1946061972422566</v>
      </c>
      <c r="Q50" s="4">
        <f t="shared" si="65"/>
        <v>2.7418655624401538</v>
      </c>
      <c r="R50" s="387">
        <f t="shared" si="7"/>
        <v>4.5270321102105084E-2</v>
      </c>
      <c r="S50" s="387">
        <f t="shared" si="45"/>
        <v>0.34441068955746973</v>
      </c>
      <c r="T50" s="387">
        <f t="shared" si="46"/>
        <v>0.38968101065957483</v>
      </c>
      <c r="U50" s="4">
        <f t="shared" si="66"/>
        <v>1.2108785085611447</v>
      </c>
      <c r="V50" s="387">
        <f t="shared" si="9"/>
        <v>1.0263587337466835E-2</v>
      </c>
      <c r="W50" s="387">
        <f t="shared" si="47"/>
        <v>1.0263587337466835E-2</v>
      </c>
      <c r="X50" s="4">
        <f t="shared" si="67"/>
        <v>1.3211833417426466</v>
      </c>
      <c r="Y50" s="387">
        <f t="shared" si="11"/>
        <v>3.491050844996534E-3</v>
      </c>
      <c r="Z50" s="605">
        <f t="shared" si="48"/>
        <v>3.491050844996534E-3</v>
      </c>
      <c r="AA50" s="387">
        <f t="shared" si="68"/>
        <v>2.1822794354063797</v>
      </c>
      <c r="AB50" s="387">
        <f t="shared" si="69"/>
        <v>2.7145358144926246E-2</v>
      </c>
      <c r="AC50" s="387">
        <f t="shared" si="70"/>
        <v>3.5540103529411761E-2</v>
      </c>
      <c r="AD50" s="387">
        <f t="shared" si="71"/>
        <v>0</v>
      </c>
      <c r="AE50" s="387">
        <f t="shared" si="72"/>
        <v>6.3027643264225608E-2</v>
      </c>
      <c r="AF50" s="387">
        <f t="shared" si="73"/>
        <v>1.6599648274278807</v>
      </c>
      <c r="AG50" s="387">
        <f t="shared" si="74"/>
        <v>1.5706254401296738E-2</v>
      </c>
      <c r="AH50" s="387">
        <f t="shared" si="75"/>
        <v>4.4083200000000003E-2</v>
      </c>
      <c r="AI50" s="387">
        <f t="shared" si="76"/>
        <v>5.9977859906524177E-2</v>
      </c>
      <c r="AJ50" s="387">
        <f t="shared" si="77"/>
        <v>0</v>
      </c>
      <c r="AK50" s="387">
        <f t="shared" si="78"/>
        <v>0</v>
      </c>
      <c r="AL50" s="387">
        <f t="shared" si="79"/>
        <v>0</v>
      </c>
      <c r="AM50" s="387">
        <f t="shared" si="80"/>
        <v>0</v>
      </c>
      <c r="AN50" s="387">
        <f t="shared" si="81"/>
        <v>0</v>
      </c>
      <c r="AO50" s="387">
        <f t="shared" si="49"/>
        <v>2.7418655624401538</v>
      </c>
      <c r="AP50" s="387">
        <f t="shared" si="82"/>
        <v>1.4283870848740996E-2</v>
      </c>
      <c r="AQ50" s="387">
        <f t="shared" si="83"/>
        <v>0</v>
      </c>
      <c r="AR50" s="387">
        <f t="shared" si="84"/>
        <v>1.4324793548938579E-2</v>
      </c>
      <c r="AS50" s="387">
        <f t="shared" si="85"/>
        <v>1.4283870848740996E-2</v>
      </c>
      <c r="AT50" s="387">
        <f t="shared" si="86"/>
        <v>0</v>
      </c>
      <c r="AU50" s="387">
        <f t="shared" si="87"/>
        <v>0.10985134982975998</v>
      </c>
      <c r="AV50" s="387">
        <f t="shared" si="88"/>
        <v>2.204386582638139E-2</v>
      </c>
      <c r="AW50" s="387">
        <f t="shared" si="33"/>
        <v>0</v>
      </c>
      <c r="AX50" s="387">
        <f t="shared" si="89"/>
        <v>3.6000000000000004E-2</v>
      </c>
      <c r="AY50" s="387">
        <f t="shared" si="90"/>
        <v>5.9136000000000001E-2</v>
      </c>
      <c r="AZ50" s="387">
        <f t="shared" si="36"/>
        <v>7.3471999999999996E-2</v>
      </c>
      <c r="BA50" s="387">
        <f t="shared" si="57"/>
        <v>9.5135999999999998E-2</v>
      </c>
      <c r="BB50" s="387">
        <f t="shared" si="58"/>
        <v>0.7677971612178679</v>
      </c>
      <c r="BC50">
        <f t="shared" si="91"/>
        <v>29.52</v>
      </c>
      <c r="BD50" s="606">
        <f t="shared" si="51"/>
        <v>0.97464995037007851</v>
      </c>
      <c r="BE50" s="616">
        <f t="shared" si="92"/>
        <v>6.7764767075933596</v>
      </c>
      <c r="BF50" s="616">
        <f t="shared" si="93"/>
        <v>4.8114402675172485</v>
      </c>
      <c r="BG50" s="9"/>
      <c r="BH50" s="4">
        <f t="shared" si="52"/>
        <v>97.464995037007853</v>
      </c>
      <c r="BI50" s="387">
        <f t="shared" si="53"/>
        <v>0.38968101065957483</v>
      </c>
      <c r="BJ50" s="387">
        <f t="shared" si="54"/>
        <v>0.24718164654944835</v>
      </c>
      <c r="BK50" s="387">
        <f t="shared" si="94"/>
        <v>0.13552953415186719</v>
      </c>
      <c r="BL50" s="387">
        <f t="shared" si="95"/>
        <v>9.6228805350344976E-2</v>
      </c>
      <c r="BM50" s="387">
        <f t="shared" si="55"/>
        <v>2.204386582638139E-2</v>
      </c>
      <c r="BR50">
        <v>9.9969590000000004</v>
      </c>
      <c r="BS50">
        <v>9.5229999999999997</v>
      </c>
      <c r="BT50">
        <v>5.1087540000000002</v>
      </c>
      <c r="BU50">
        <v>90.547826191651922</v>
      </c>
      <c r="BV50">
        <v>5078.5816240809982</v>
      </c>
    </row>
    <row r="51" spans="1:74" x14ac:dyDescent="0.2">
      <c r="A51" s="23" t="s">
        <v>71</v>
      </c>
      <c r="B51" s="5">
        <f>Qg_Q2*1000000000</f>
        <v>11</v>
      </c>
      <c r="C51" s="483" t="s">
        <v>69</v>
      </c>
      <c r="D51" s="21" t="s">
        <v>103</v>
      </c>
      <c r="G51">
        <v>42</v>
      </c>
      <c r="H51" s="612">
        <f t="shared" si="59"/>
        <v>19</v>
      </c>
      <c r="I51" s="4" t="str">
        <f t="shared" si="60"/>
        <v>BUCK</v>
      </c>
      <c r="J51">
        <f t="shared" si="43"/>
        <v>1</v>
      </c>
      <c r="K51" s="387">
        <f t="shared" si="96"/>
        <v>2.52</v>
      </c>
      <c r="L51" s="4">
        <f t="shared" si="61"/>
        <v>1.6578947368421055</v>
      </c>
      <c r="M51" s="4">
        <f t="shared" si="56"/>
        <v>2.52</v>
      </c>
      <c r="N51" s="387">
        <f t="shared" si="62"/>
        <v>0.63351959184360174</v>
      </c>
      <c r="O51" s="387">
        <f t="shared" si="63"/>
        <v>0</v>
      </c>
      <c r="P51" s="4">
        <f t="shared" si="64"/>
        <v>4.194489410390668</v>
      </c>
      <c r="Q51" s="4">
        <f t="shared" si="65"/>
        <v>2.7958084909062153</v>
      </c>
      <c r="R51" s="387">
        <f t="shared" si="7"/>
        <v>4.7075896724881508E-2</v>
      </c>
      <c r="S51" s="387">
        <f t="shared" si="45"/>
        <v>0.34438859659424348</v>
      </c>
      <c r="T51" s="387">
        <f t="shared" si="46"/>
        <v>0.39146449331912497</v>
      </c>
      <c r="U51" s="4">
        <f t="shared" si="66"/>
        <v>1.2108447951010435</v>
      </c>
      <c r="V51" s="387">
        <f t="shared" si="9"/>
        <v>1.0263015824763017E-2</v>
      </c>
      <c r="W51" s="387">
        <f t="shared" si="47"/>
        <v>1.0263015824763017E-2</v>
      </c>
      <c r="X51" s="4">
        <f t="shared" si="67"/>
        <v>1.3471402921403643</v>
      </c>
      <c r="Y51" s="387">
        <f t="shared" si="11"/>
        <v>3.6295739334160529E-3</v>
      </c>
      <c r="Z51" s="605">
        <f t="shared" si="48"/>
        <v>3.6295739334160529E-3</v>
      </c>
      <c r="AA51" s="387">
        <f t="shared" si="68"/>
        <v>2.2252942440653793</v>
      </c>
      <c r="AB51" s="387">
        <f t="shared" si="69"/>
        <v>2.8226026494221894E-2</v>
      </c>
      <c r="AC51" s="387">
        <f t="shared" si="70"/>
        <v>3.6406935322812042E-2</v>
      </c>
      <c r="AD51" s="387">
        <f t="shared" si="71"/>
        <v>0</v>
      </c>
      <c r="AE51" s="387">
        <f t="shared" si="72"/>
        <v>6.4999899594649996E-2</v>
      </c>
      <c r="AF51" s="387">
        <f t="shared" si="73"/>
        <v>1.6925160693927788</v>
      </c>
      <c r="AG51" s="387">
        <f t="shared" si="74"/>
        <v>1.6328280677370854E-2</v>
      </c>
      <c r="AH51" s="387">
        <f t="shared" si="75"/>
        <v>4.5158400000000008E-2</v>
      </c>
      <c r="AI51" s="387">
        <f t="shared" si="76"/>
        <v>6.1688132907084831E-2</v>
      </c>
      <c r="AJ51" s="387">
        <f t="shared" si="77"/>
        <v>0</v>
      </c>
      <c r="AK51" s="387">
        <f t="shared" si="78"/>
        <v>0</v>
      </c>
      <c r="AL51" s="387">
        <f t="shared" si="79"/>
        <v>0</v>
      </c>
      <c r="AM51" s="387">
        <f t="shared" si="80"/>
        <v>0</v>
      </c>
      <c r="AN51" s="387">
        <f t="shared" si="81"/>
        <v>0</v>
      </c>
      <c r="AO51" s="387">
        <f t="shared" si="49"/>
        <v>2.7958084909062153</v>
      </c>
      <c r="AP51" s="387">
        <f t="shared" si="82"/>
        <v>1.4851435723864249E-2</v>
      </c>
      <c r="AQ51" s="387">
        <f t="shared" si="83"/>
        <v>0</v>
      </c>
      <c r="AR51" s="387">
        <f t="shared" si="84"/>
        <v>1.4895680171189382E-2</v>
      </c>
      <c r="AS51" s="387">
        <f t="shared" si="85"/>
        <v>1.4851435723864249E-2</v>
      </c>
      <c r="AT51" s="387">
        <f t="shared" si="86"/>
        <v>0</v>
      </c>
      <c r="AU51" s="387">
        <f t="shared" si="87"/>
        <v>0.11252862399743999</v>
      </c>
      <c r="AV51" s="387">
        <f t="shared" si="88"/>
        <v>2.2916885161222252E-2</v>
      </c>
      <c r="AW51" s="387">
        <f t="shared" si="33"/>
        <v>0</v>
      </c>
      <c r="AX51" s="387">
        <f t="shared" si="89"/>
        <v>3.6000000000000004E-2</v>
      </c>
      <c r="AY51" s="387">
        <f t="shared" si="90"/>
        <v>5.9136000000000001E-2</v>
      </c>
      <c r="AZ51" s="387">
        <f t="shared" si="36"/>
        <v>7.3471999999999996E-2</v>
      </c>
      <c r="BA51" s="387">
        <f t="shared" si="57"/>
        <v>9.5135999999999998E-2</v>
      </c>
      <c r="BB51" s="387">
        <f t="shared" si="58"/>
        <v>0.77752230490889052</v>
      </c>
      <c r="BC51">
        <f t="shared" si="91"/>
        <v>30.240000000000002</v>
      </c>
      <c r="BD51" s="606">
        <f t="shared" si="51"/>
        <v>0.97493280419803741</v>
      </c>
      <c r="BE51" s="616">
        <f t="shared" si="92"/>
        <v>6.9634395716480197</v>
      </c>
      <c r="BF51" s="616">
        <f t="shared" si="93"/>
        <v>4.9411289413120016</v>
      </c>
      <c r="BG51" s="9"/>
      <c r="BH51" s="4">
        <f t="shared" si="52"/>
        <v>97.493280419803739</v>
      </c>
      <c r="BI51" s="387">
        <f t="shared" si="53"/>
        <v>0.39146449331912497</v>
      </c>
      <c r="BJ51" s="387">
        <f t="shared" si="54"/>
        <v>0.2541123366703642</v>
      </c>
      <c r="BK51" s="387">
        <f t="shared" si="94"/>
        <v>0.13926879143296039</v>
      </c>
      <c r="BL51" s="387">
        <f t="shared" si="95"/>
        <v>9.8822578826240029E-2</v>
      </c>
      <c r="BM51" s="387">
        <f t="shared" si="55"/>
        <v>2.2916885161222252E-2</v>
      </c>
      <c r="BR51">
        <v>9.9964639999999996</v>
      </c>
      <c r="BS51">
        <v>10.493</v>
      </c>
      <c r="BT51">
        <v>5.1092279999999999</v>
      </c>
      <c r="BU51">
        <v>89.626660259106615</v>
      </c>
      <c r="BV51">
        <v>6204.9221585439973</v>
      </c>
    </row>
    <row r="52" spans="1:74" x14ac:dyDescent="0.2">
      <c r="A52" s="23" t="s">
        <v>95</v>
      </c>
      <c r="B52" s="5">
        <f>Rgate2</f>
        <v>1.5</v>
      </c>
      <c r="C52" s="487" t="s">
        <v>120</v>
      </c>
      <c r="D52" s="21" t="s">
        <v>104</v>
      </c>
      <c r="G52">
        <v>43</v>
      </c>
      <c r="H52" s="612">
        <f t="shared" si="59"/>
        <v>19</v>
      </c>
      <c r="I52" s="4" t="str">
        <f t="shared" si="60"/>
        <v>BUCK</v>
      </c>
      <c r="J52">
        <f t="shared" si="43"/>
        <v>1</v>
      </c>
      <c r="K52" s="387">
        <f t="shared" si="96"/>
        <v>2.58</v>
      </c>
      <c r="L52" s="4">
        <f t="shared" si="61"/>
        <v>1.6973684210526319</v>
      </c>
      <c r="M52" s="4">
        <f t="shared" si="56"/>
        <v>2.58</v>
      </c>
      <c r="N52" s="387">
        <f t="shared" si="62"/>
        <v>0.63356574752479411</v>
      </c>
      <c r="O52" s="387">
        <f t="shared" si="63"/>
        <v>0</v>
      </c>
      <c r="P52" s="4">
        <f t="shared" si="64"/>
        <v>4.1943725465603867</v>
      </c>
      <c r="Q52" s="4">
        <f t="shared" si="65"/>
        <v>2.8499935827316563</v>
      </c>
      <c r="R52" s="387">
        <f t="shared" si="7"/>
        <v>4.8925530529080323E-2</v>
      </c>
      <c r="S52" s="387">
        <f t="shared" si="45"/>
        <v>0.34436648987160906</v>
      </c>
      <c r="T52" s="387">
        <f t="shared" si="46"/>
        <v>0.39329202040068939</v>
      </c>
      <c r="U52" s="4">
        <f t="shared" si="66"/>
        <v>1.2108110594191077</v>
      </c>
      <c r="V52" s="387">
        <f t="shared" si="9"/>
        <v>1.0262443951281354E-2</v>
      </c>
      <c r="W52" s="387">
        <f t="shared" si="47"/>
        <v>1.0262443951281354E-2</v>
      </c>
      <c r="X52" s="4">
        <f t="shared" si="67"/>
        <v>1.3732125327376696</v>
      </c>
      <c r="Y52" s="387">
        <f t="shared" si="11"/>
        <v>3.7714253201356109E-3</v>
      </c>
      <c r="Z52" s="605">
        <f t="shared" si="48"/>
        <v>3.7714253201356109E-3</v>
      </c>
      <c r="AA52" s="387">
        <f t="shared" si="68"/>
        <v>2.2685049282415419</v>
      </c>
      <c r="AB52" s="387">
        <f t="shared" si="69"/>
        <v>2.9332853273900134E-2</v>
      </c>
      <c r="AC52" s="387">
        <f t="shared" si="70"/>
        <v>3.7273767116212331E-2</v>
      </c>
      <c r="AD52" s="387">
        <f t="shared" si="71"/>
        <v>0</v>
      </c>
      <c r="AE52" s="387">
        <f t="shared" si="72"/>
        <v>6.699967873928403E-2</v>
      </c>
      <c r="AF52" s="387">
        <f t="shared" si="73"/>
        <v>1.7252097878679735</v>
      </c>
      <c r="AG52" s="387">
        <f t="shared" si="74"/>
        <v>1.6965188229286114E-2</v>
      </c>
      <c r="AH52" s="387">
        <f t="shared" si="75"/>
        <v>4.6233600000000007E-2</v>
      </c>
      <c r="AI52" s="387">
        <f t="shared" si="76"/>
        <v>6.3413954163033956E-2</v>
      </c>
      <c r="AJ52" s="387">
        <f t="shared" si="77"/>
        <v>0</v>
      </c>
      <c r="AK52" s="387">
        <f t="shared" si="78"/>
        <v>0</v>
      </c>
      <c r="AL52" s="387">
        <f t="shared" si="79"/>
        <v>0</v>
      </c>
      <c r="AM52" s="387">
        <f t="shared" si="80"/>
        <v>0</v>
      </c>
      <c r="AN52" s="387">
        <f t="shared" si="81"/>
        <v>0</v>
      </c>
      <c r="AO52" s="387">
        <f t="shared" si="49"/>
        <v>2.8499935827316563</v>
      </c>
      <c r="AP52" s="387">
        <f t="shared" si="82"/>
        <v>1.5432680501062081E-2</v>
      </c>
      <c r="AQ52" s="387">
        <f t="shared" si="83"/>
        <v>0</v>
      </c>
      <c r="AR52" s="387">
        <f t="shared" si="84"/>
        <v>1.5480461504343184E-2</v>
      </c>
      <c r="AS52" s="387">
        <f t="shared" si="85"/>
        <v>1.5432680501062081E-2</v>
      </c>
      <c r="AT52" s="387">
        <f t="shared" si="86"/>
        <v>0</v>
      </c>
      <c r="AU52" s="387">
        <f t="shared" si="87"/>
        <v>0.11520580163903998</v>
      </c>
      <c r="AV52" s="387">
        <f t="shared" si="88"/>
        <v>2.3810790497243665E-2</v>
      </c>
      <c r="AW52" s="387">
        <f t="shared" si="33"/>
        <v>0</v>
      </c>
      <c r="AX52" s="387">
        <f t="shared" si="89"/>
        <v>3.6000000000000004E-2</v>
      </c>
      <c r="AY52" s="387">
        <f t="shared" si="90"/>
        <v>5.9136000000000001E-2</v>
      </c>
      <c r="AZ52" s="387">
        <f t="shared" si="36"/>
        <v>7.3471999999999996E-2</v>
      </c>
      <c r="BA52" s="387">
        <f t="shared" si="57"/>
        <v>9.5135999999999998E-2</v>
      </c>
      <c r="BB52" s="387">
        <f t="shared" si="58"/>
        <v>0.78737257621505119</v>
      </c>
      <c r="BC52">
        <f t="shared" si="91"/>
        <v>30.96</v>
      </c>
      <c r="BD52" s="606">
        <f t="shared" si="51"/>
        <v>0.97519881135596875</v>
      </c>
      <c r="BE52" s="616">
        <f t="shared" si="92"/>
        <v>7.1517753910525217</v>
      </c>
      <c r="BF52" s="616">
        <f t="shared" si="93"/>
        <v>5.071593435195858</v>
      </c>
      <c r="BG52" s="9"/>
      <c r="BH52" s="4">
        <f t="shared" si="52"/>
        <v>97.519881135596876</v>
      </c>
      <c r="BI52" s="387">
        <f t="shared" si="53"/>
        <v>0.39329202040068939</v>
      </c>
      <c r="BJ52" s="387">
        <f t="shared" si="54"/>
        <v>0.26109989604570116</v>
      </c>
      <c r="BK52" s="387">
        <f t="shared" si="94"/>
        <v>0.14303550782105043</v>
      </c>
      <c r="BL52" s="387">
        <f t="shared" si="95"/>
        <v>0.10143186870391716</v>
      </c>
      <c r="BM52" s="387">
        <f t="shared" si="55"/>
        <v>2.3810790497243665E-2</v>
      </c>
      <c r="BR52">
        <v>9.9959819999999997</v>
      </c>
      <c r="BS52">
        <v>11.519</v>
      </c>
      <c r="BT52">
        <v>5.1101260000000002</v>
      </c>
      <c r="BU52">
        <v>88.591390420220321</v>
      </c>
      <c r="BV52">
        <v>7580.3207309739973</v>
      </c>
    </row>
    <row r="53" spans="1:74" x14ac:dyDescent="0.2">
      <c r="A53" s="23" t="s">
        <v>76</v>
      </c>
      <c r="B53" s="5">
        <f>Vsd_Q2</f>
        <v>0.8</v>
      </c>
      <c r="C53" s="483" t="s">
        <v>0</v>
      </c>
      <c r="D53" s="21" t="s">
        <v>109</v>
      </c>
      <c r="G53">
        <v>44</v>
      </c>
      <c r="H53" s="612">
        <f t="shared" si="59"/>
        <v>19</v>
      </c>
      <c r="I53" s="4" t="str">
        <f t="shared" si="60"/>
        <v>BUCK</v>
      </c>
      <c r="J53">
        <f t="shared" si="43"/>
        <v>1</v>
      </c>
      <c r="K53" s="387">
        <f t="shared" si="96"/>
        <v>2.64</v>
      </c>
      <c r="L53" s="4">
        <f t="shared" si="61"/>
        <v>1.736842105263158</v>
      </c>
      <c r="M53" s="4">
        <f t="shared" si="56"/>
        <v>2.64</v>
      </c>
      <c r="N53" s="387">
        <f t="shared" si="62"/>
        <v>0.63361190087649943</v>
      </c>
      <c r="O53" s="387">
        <f t="shared" si="63"/>
        <v>0</v>
      </c>
      <c r="P53" s="4">
        <f t="shared" si="64"/>
        <v>4.19425560575724</v>
      </c>
      <c r="Q53" s="4">
        <f t="shared" si="65"/>
        <v>2.9044072844332347</v>
      </c>
      <c r="R53" s="387">
        <f t="shared" si="7"/>
        <v>5.0819261257104224E-2</v>
      </c>
      <c r="S53" s="387">
        <f t="shared" si="45"/>
        <v>0.34434436939225016</v>
      </c>
      <c r="T53" s="387">
        <f t="shared" si="46"/>
        <v>0.39516363064935439</v>
      </c>
      <c r="U53" s="4">
        <f t="shared" si="66"/>
        <v>1.2107773015170198</v>
      </c>
      <c r="V53" s="387">
        <f t="shared" si="9"/>
        <v>1.0261871717081854E-2</v>
      </c>
      <c r="W53" s="387">
        <f t="shared" si="47"/>
        <v>1.0261871717081854E-2</v>
      </c>
      <c r="X53" s="4">
        <f t="shared" si="67"/>
        <v>1.3993935232710266</v>
      </c>
      <c r="Y53" s="387">
        <f t="shared" si="11"/>
        <v>3.9166044659457947E-3</v>
      </c>
      <c r="Z53" s="605">
        <f t="shared" si="48"/>
        <v>3.9166044659457947E-3</v>
      </c>
      <c r="AA53" s="387">
        <f t="shared" si="68"/>
        <v>2.3119007200524413</v>
      </c>
      <c r="AB53" s="387">
        <f t="shared" si="69"/>
        <v>3.046584415446028E-2</v>
      </c>
      <c r="AC53" s="387">
        <f t="shared" si="70"/>
        <v>3.8140598909612619E-2</v>
      </c>
      <c r="AD53" s="387">
        <f t="shared" si="71"/>
        <v>0</v>
      </c>
      <c r="AE53" s="387">
        <f t="shared" si="72"/>
        <v>6.9027036451065379E-2</v>
      </c>
      <c r="AF53" s="387">
        <f t="shared" si="73"/>
        <v>1.7580377511560554</v>
      </c>
      <c r="AG53" s="387">
        <f t="shared" si="74"/>
        <v>1.7616971386592094E-2</v>
      </c>
      <c r="AH53" s="387">
        <f t="shared" si="75"/>
        <v>4.7308800000000005E-2</v>
      </c>
      <c r="AI53" s="387">
        <f t="shared" si="76"/>
        <v>6.5155339336346527E-2</v>
      </c>
      <c r="AJ53" s="387">
        <f t="shared" si="77"/>
        <v>0</v>
      </c>
      <c r="AK53" s="387">
        <f t="shared" si="78"/>
        <v>0</v>
      </c>
      <c r="AL53" s="387">
        <f t="shared" si="79"/>
        <v>0</v>
      </c>
      <c r="AM53" s="387">
        <f t="shared" si="80"/>
        <v>0</v>
      </c>
      <c r="AN53" s="387">
        <f t="shared" si="81"/>
        <v>0</v>
      </c>
      <c r="AO53" s="387">
        <f t="shared" si="49"/>
        <v>2.9044072844332347</v>
      </c>
      <c r="AP53" s="387">
        <f t="shared" si="82"/>
        <v>1.602760518035079E-2</v>
      </c>
      <c r="AQ53" s="387">
        <f t="shared" si="83"/>
        <v>0</v>
      </c>
      <c r="AR53" s="387">
        <f t="shared" si="84"/>
        <v>1.6079147225022669E-2</v>
      </c>
      <c r="AS53" s="387">
        <f t="shared" si="85"/>
        <v>1.602760518035079E-2</v>
      </c>
      <c r="AT53" s="387">
        <f t="shared" si="86"/>
        <v>0</v>
      </c>
      <c r="AU53" s="387">
        <f t="shared" si="87"/>
        <v>0.11788288275456001</v>
      </c>
      <c r="AV53" s="387">
        <f t="shared" si="88"/>
        <v>2.4725573875918727E-2</v>
      </c>
      <c r="AW53" s="387">
        <f t="shared" si="33"/>
        <v>0</v>
      </c>
      <c r="AX53" s="387">
        <f t="shared" si="89"/>
        <v>3.6000000000000004E-2</v>
      </c>
      <c r="AY53" s="387">
        <f t="shared" si="90"/>
        <v>5.9136000000000001E-2</v>
      </c>
      <c r="AZ53" s="387">
        <f t="shared" si="36"/>
        <v>7.3471999999999996E-2</v>
      </c>
      <c r="BA53" s="387">
        <f t="shared" si="57"/>
        <v>9.5135999999999998E-2</v>
      </c>
      <c r="BB53" s="387">
        <f t="shared" si="58"/>
        <v>0.79734808647529531</v>
      </c>
      <c r="BC53">
        <f t="shared" si="91"/>
        <v>31.68</v>
      </c>
      <c r="BD53" s="606">
        <f t="shared" si="51"/>
        <v>0.97544910119039741</v>
      </c>
      <c r="BE53" s="616">
        <f t="shared" si="92"/>
        <v>7.3414869534537495</v>
      </c>
      <c r="BF53" s="616">
        <f t="shared" si="93"/>
        <v>5.2028345322675671</v>
      </c>
      <c r="BG53" s="9"/>
      <c r="BH53" s="4">
        <f t="shared" si="52"/>
        <v>97.544910119039741</v>
      </c>
      <c r="BI53" s="387">
        <f t="shared" si="53"/>
        <v>0.39516363064935439</v>
      </c>
      <c r="BJ53" s="387">
        <f t="shared" si="54"/>
        <v>0.26814440576699455</v>
      </c>
      <c r="BK53" s="387">
        <f t="shared" si="94"/>
        <v>0.14682973906907498</v>
      </c>
      <c r="BL53" s="387">
        <f t="shared" si="95"/>
        <v>0.10405669064535134</v>
      </c>
      <c r="BM53" s="387">
        <f t="shared" si="55"/>
        <v>2.4725573875918727E-2</v>
      </c>
      <c r="BR53">
        <v>9.9955739999999995</v>
      </c>
      <c r="BS53">
        <v>12.605</v>
      </c>
      <c r="BT53">
        <v>5.1111979999999999</v>
      </c>
      <c r="BU53">
        <v>87.386508098290477</v>
      </c>
      <c r="BV53">
        <v>9299.4335961019988</v>
      </c>
    </row>
    <row r="54" spans="1:74" x14ac:dyDescent="0.2">
      <c r="A54" s="23" t="s">
        <v>77</v>
      </c>
      <c r="B54" s="5">
        <f>Qrr_Q2*1000000000</f>
        <v>62.999999999999993</v>
      </c>
      <c r="C54" s="483" t="s">
        <v>69</v>
      </c>
      <c r="D54" s="21" t="s">
        <v>114</v>
      </c>
      <c r="G54">
        <v>45</v>
      </c>
      <c r="H54" s="612">
        <f t="shared" si="59"/>
        <v>19</v>
      </c>
      <c r="I54" s="4" t="str">
        <f t="shared" si="60"/>
        <v>BUCK</v>
      </c>
      <c r="J54">
        <f t="shared" si="43"/>
        <v>1</v>
      </c>
      <c r="K54" s="387">
        <f t="shared" si="96"/>
        <v>2.7</v>
      </c>
      <c r="L54" s="4">
        <f t="shared" si="61"/>
        <v>1.7763157894736847</v>
      </c>
      <c r="M54" s="4">
        <f t="shared" si="56"/>
        <v>2.7</v>
      </c>
      <c r="N54" s="387">
        <f t="shared" si="62"/>
        <v>0.6336580518988939</v>
      </c>
      <c r="O54" s="387">
        <f t="shared" si="63"/>
        <v>0</v>
      </c>
      <c r="P54" s="4">
        <f t="shared" si="64"/>
        <v>4.1941385879870543</v>
      </c>
      <c r="Q54" s="4">
        <f t="shared" si="65"/>
        <v>2.9590369843250528</v>
      </c>
      <c r="R54" s="387">
        <f t="shared" si="7"/>
        <v>5.2757128592723149E-2</v>
      </c>
      <c r="S54" s="387">
        <f t="shared" si="45"/>
        <v>0.34432223515884941</v>
      </c>
      <c r="T54" s="387">
        <f t="shared" si="46"/>
        <v>0.39707936375157254</v>
      </c>
      <c r="U54" s="4">
        <f t="shared" si="66"/>
        <v>1.2107435213964615</v>
      </c>
      <c r="V54" s="387">
        <f t="shared" si="9"/>
        <v>1.0261299122224525E-2</v>
      </c>
      <c r="W54" s="387">
        <f t="shared" si="47"/>
        <v>1.0261299122224525E-2</v>
      </c>
      <c r="X54" s="4">
        <f t="shared" si="67"/>
        <v>1.4256771779270938</v>
      </c>
      <c r="Y54" s="387">
        <f t="shared" si="11"/>
        <v>4.0651108313243247E-3</v>
      </c>
      <c r="Z54" s="605">
        <f t="shared" si="48"/>
        <v>4.0651108313243247E-3</v>
      </c>
      <c r="AA54" s="387">
        <f t="shared" si="68"/>
        <v>2.3554715997360329</v>
      </c>
      <c r="AB54" s="387">
        <f t="shared" si="69"/>
        <v>3.1625004805829249E-2</v>
      </c>
      <c r="AC54" s="387">
        <f t="shared" si="70"/>
        <v>3.9007430703012914E-2</v>
      </c>
      <c r="AD54" s="387">
        <f t="shared" si="71"/>
        <v>0</v>
      </c>
      <c r="AE54" s="387">
        <f t="shared" si="72"/>
        <v>7.1082029413202283E-2</v>
      </c>
      <c r="AF54" s="387">
        <f t="shared" si="73"/>
        <v>1.7909922996597383</v>
      </c>
      <c r="AG54" s="387">
        <f t="shared" si="74"/>
        <v>1.8283624479410725E-2</v>
      </c>
      <c r="AH54" s="387">
        <f t="shared" si="75"/>
        <v>4.838400000000001E-2</v>
      </c>
      <c r="AI54" s="387">
        <f t="shared" si="76"/>
        <v>6.6912304368636377E-2</v>
      </c>
      <c r="AJ54" s="387">
        <f t="shared" si="77"/>
        <v>0</v>
      </c>
      <c r="AK54" s="387">
        <f t="shared" si="78"/>
        <v>0</v>
      </c>
      <c r="AL54" s="387">
        <f t="shared" si="79"/>
        <v>0</v>
      </c>
      <c r="AM54" s="387">
        <f t="shared" si="80"/>
        <v>0</v>
      </c>
      <c r="AN54" s="387">
        <f t="shared" si="81"/>
        <v>0</v>
      </c>
      <c r="AO54" s="387">
        <f t="shared" si="49"/>
        <v>2.9590369843250528</v>
      </c>
      <c r="AP54" s="387">
        <f t="shared" si="82"/>
        <v>1.6636209761746654E-2</v>
      </c>
      <c r="AQ54" s="387">
        <f t="shared" si="83"/>
        <v>0</v>
      </c>
      <c r="AR54" s="387">
        <f t="shared" si="84"/>
        <v>1.6691747243433017E-2</v>
      </c>
      <c r="AS54" s="387">
        <f t="shared" si="85"/>
        <v>1.6636209761746654E-2</v>
      </c>
      <c r="AT54" s="387">
        <f t="shared" si="86"/>
        <v>0</v>
      </c>
      <c r="AU54" s="387">
        <f t="shared" si="87"/>
        <v>0.120559867344</v>
      </c>
      <c r="AV54" s="387">
        <f t="shared" si="88"/>
        <v>2.5661227339523824E-2</v>
      </c>
      <c r="AW54" s="387">
        <f t="shared" si="33"/>
        <v>0</v>
      </c>
      <c r="AX54" s="387">
        <f t="shared" si="89"/>
        <v>3.6000000000000004E-2</v>
      </c>
      <c r="AY54" s="387">
        <f t="shared" si="90"/>
        <v>5.9136000000000001E-2</v>
      </c>
      <c r="AZ54" s="387">
        <f t="shared" si="36"/>
        <v>7.3471999999999996E-2</v>
      </c>
      <c r="BA54" s="387">
        <f t="shared" si="57"/>
        <v>9.5135999999999998E-2</v>
      </c>
      <c r="BB54" s="387">
        <f t="shared" si="58"/>
        <v>0.80744894941391698</v>
      </c>
      <c r="BC54">
        <f t="shared" si="91"/>
        <v>32.400000000000006</v>
      </c>
      <c r="BD54" s="606">
        <f t="shared" si="51"/>
        <v>0.97568470403601515</v>
      </c>
      <c r="BE54" s="616">
        <f t="shared" si="92"/>
        <v>7.5325770930121134</v>
      </c>
      <c r="BF54" s="616">
        <f t="shared" si="93"/>
        <v>5.3348530296078192</v>
      </c>
      <c r="BG54" s="9"/>
      <c r="BH54" s="4">
        <f t="shared" si="52"/>
        <v>97.568470403601509</v>
      </c>
      <c r="BI54" s="387">
        <f t="shared" si="53"/>
        <v>0.39707936375157254</v>
      </c>
      <c r="BJ54" s="387">
        <f t="shared" si="54"/>
        <v>0.27524594836927169</v>
      </c>
      <c r="BK54" s="387">
        <f t="shared" si="94"/>
        <v>0.15065154186024227</v>
      </c>
      <c r="BL54" s="387">
        <f t="shared" si="95"/>
        <v>0.10669706059215638</v>
      </c>
      <c r="BM54" s="387">
        <f t="shared" si="55"/>
        <v>2.5661227339523824E-2</v>
      </c>
      <c r="BR54">
        <v>9.9949670000000008</v>
      </c>
      <c r="BS54">
        <v>13.75</v>
      </c>
      <c r="BT54">
        <v>5.1122329999999998</v>
      </c>
      <c r="BU54">
        <v>85.985113444924963</v>
      </c>
      <c r="BV54">
        <v>11457.230537720005</v>
      </c>
    </row>
    <row r="55" spans="1:74" x14ac:dyDescent="0.2">
      <c r="A55" s="23" t="s">
        <v>78</v>
      </c>
      <c r="B55" s="5">
        <f>Trr_Q2*1000000000</f>
        <v>40</v>
      </c>
      <c r="C55" s="483" t="s">
        <v>79</v>
      </c>
      <c r="D55" s="76" t="s">
        <v>110</v>
      </c>
      <c r="G55">
        <v>46</v>
      </c>
      <c r="H55" s="612">
        <f t="shared" si="59"/>
        <v>19</v>
      </c>
      <c r="I55" s="4" t="str">
        <f t="shared" si="60"/>
        <v>BUCK</v>
      </c>
      <c r="J55">
        <f t="shared" si="43"/>
        <v>1</v>
      </c>
      <c r="K55" s="387">
        <f t="shared" si="96"/>
        <v>2.76</v>
      </c>
      <c r="L55" s="4">
        <f t="shared" si="61"/>
        <v>1.8157894736842106</v>
      </c>
      <c r="M55" s="4">
        <f t="shared" si="56"/>
        <v>2.76</v>
      </c>
      <c r="N55" s="387">
        <f t="shared" si="62"/>
        <v>0.63370420059215404</v>
      </c>
      <c r="O55" s="387">
        <f t="shared" si="63"/>
        <v>0</v>
      </c>
      <c r="P55" s="4">
        <f t="shared" si="64"/>
        <v>4.194021493255657</v>
      </c>
      <c r="Q55" s="4">
        <f t="shared" si="65"/>
        <v>3.0138709368226437</v>
      </c>
      <c r="R55" s="387">
        <f t="shared" si="7"/>
        <v>5.4739173163162562E-2</v>
      </c>
      <c r="S55" s="387">
        <f t="shared" si="45"/>
        <v>0.34430008717409144</v>
      </c>
      <c r="T55" s="387">
        <f t="shared" si="46"/>
        <v>0.39903926033725401</v>
      </c>
      <c r="U55" s="4">
        <f t="shared" si="66"/>
        <v>1.210709719059115</v>
      </c>
      <c r="V55" s="387">
        <f t="shared" si="9"/>
        <v>1.0260726166769409E-2</v>
      </c>
      <c r="W55" s="387">
        <f t="shared" si="47"/>
        <v>1.0260726166769409E-2</v>
      </c>
      <c r="X55" s="4">
        <f t="shared" si="67"/>
        <v>1.4520578288133288</v>
      </c>
      <c r="Y55" s="387">
        <f t="shared" si="11"/>
        <v>4.2169438764361571E-3</v>
      </c>
      <c r="Z55" s="605">
        <f t="shared" si="48"/>
        <v>4.2169438764361571E-3</v>
      </c>
      <c r="AA55" s="387">
        <f t="shared" si="68"/>
        <v>2.3992082355293545</v>
      </c>
      <c r="AB55" s="387">
        <f t="shared" si="69"/>
        <v>3.2810340897361713E-2</v>
      </c>
      <c r="AC55" s="387">
        <f t="shared" si="70"/>
        <v>3.9874262496413189E-2</v>
      </c>
      <c r="AD55" s="387">
        <f t="shared" si="71"/>
        <v>0</v>
      </c>
      <c r="AE55" s="387">
        <f t="shared" si="72"/>
        <v>7.3164715243534656E-2</v>
      </c>
      <c r="AF55" s="387">
        <f t="shared" si="73"/>
        <v>1.8240662998894317</v>
      </c>
      <c r="AG55" s="387">
        <f t="shared" si="74"/>
        <v>1.8965141838436235E-2</v>
      </c>
      <c r="AH55" s="387">
        <f t="shared" si="75"/>
        <v>4.9459200000000002E-2</v>
      </c>
      <c r="AI55" s="387">
        <f t="shared" si="76"/>
        <v>6.8684865481638879E-2</v>
      </c>
      <c r="AJ55" s="387">
        <f t="shared" si="77"/>
        <v>0</v>
      </c>
      <c r="AK55" s="387">
        <f t="shared" si="78"/>
        <v>0</v>
      </c>
      <c r="AL55" s="387">
        <f t="shared" si="79"/>
        <v>0</v>
      </c>
      <c r="AM55" s="387">
        <f t="shared" si="80"/>
        <v>0</v>
      </c>
      <c r="AN55" s="387">
        <f t="shared" si="81"/>
        <v>0</v>
      </c>
      <c r="AO55" s="387">
        <f t="shared" si="49"/>
        <v>3.0138709368226437</v>
      </c>
      <c r="AP55" s="387">
        <f t="shared" si="82"/>
        <v>1.725849424526598E-2</v>
      </c>
      <c r="AQ55" s="387">
        <f t="shared" si="83"/>
        <v>0</v>
      </c>
      <c r="AR55" s="387">
        <f t="shared" si="84"/>
        <v>1.7318271703773484E-2</v>
      </c>
      <c r="AS55" s="387">
        <f t="shared" si="85"/>
        <v>1.725849424526598E-2</v>
      </c>
      <c r="AT55" s="387">
        <f t="shared" si="86"/>
        <v>0</v>
      </c>
      <c r="AU55" s="387">
        <f t="shared" si="87"/>
        <v>0.12323675540735998</v>
      </c>
      <c r="AV55" s="387">
        <f t="shared" si="88"/>
        <v>2.6617742931138576E-2</v>
      </c>
      <c r="AW55" s="387">
        <f t="shared" si="33"/>
        <v>0</v>
      </c>
      <c r="AX55" s="387">
        <f t="shared" si="89"/>
        <v>3.6000000000000004E-2</v>
      </c>
      <c r="AY55" s="387">
        <f t="shared" si="90"/>
        <v>5.9136000000000001E-2</v>
      </c>
      <c r="AZ55" s="387">
        <f t="shared" si="36"/>
        <v>7.3471999999999996E-2</v>
      </c>
      <c r="BA55" s="387">
        <f t="shared" si="57"/>
        <v>9.5135999999999998E-2</v>
      </c>
      <c r="BB55" s="387">
        <f t="shared" si="58"/>
        <v>0.81767528114790533</v>
      </c>
      <c r="BC55">
        <f t="shared" si="91"/>
        <v>33.119999999999997</v>
      </c>
      <c r="BD55" s="606">
        <f t="shared" si="51"/>
        <v>0.97590656182622748</v>
      </c>
      <c r="BE55" s="616">
        <f t="shared" si="92"/>
        <v>7.7250486906196123</v>
      </c>
      <c r="BF55" s="616">
        <f t="shared" si="93"/>
        <v>5.4676497383033835</v>
      </c>
      <c r="BG55" s="9"/>
      <c r="BH55" s="4">
        <f t="shared" si="52"/>
        <v>97.590656182622752</v>
      </c>
      <c r="BI55" s="387">
        <f t="shared" si="53"/>
        <v>0.39903926033725401</v>
      </c>
      <c r="BJ55" s="387">
        <f t="shared" si="54"/>
        <v>0.282404607836307</v>
      </c>
      <c r="BK55" s="387">
        <f t="shared" si="94"/>
        <v>0.15450097381239225</v>
      </c>
      <c r="BL55" s="387">
        <f t="shared" si="95"/>
        <v>0.10935299476606768</v>
      </c>
      <c r="BM55" s="387">
        <f t="shared" si="55"/>
        <v>2.6617742931138576E-2</v>
      </c>
      <c r="BR55">
        <v>9.9943860000000004</v>
      </c>
      <c r="BS55">
        <v>14.954000000000001</v>
      </c>
      <c r="BT55">
        <v>5.1130310000000003</v>
      </c>
      <c r="BU55">
        <v>84.352650264578628</v>
      </c>
      <c r="BV55">
        <v>14183.318533699994</v>
      </c>
    </row>
    <row r="56" spans="1:74" ht="15.75" x14ac:dyDescent="0.3">
      <c r="A56" s="489" t="s">
        <v>683</v>
      </c>
      <c r="B56" s="5">
        <f>ThetaJA_Q2</f>
        <v>50</v>
      </c>
      <c r="C56" s="484" t="s">
        <v>241</v>
      </c>
      <c r="D56" s="76" t="s">
        <v>107</v>
      </c>
      <c r="E56" s="2"/>
      <c r="G56">
        <v>47</v>
      </c>
      <c r="H56" s="612">
        <f t="shared" si="59"/>
        <v>19</v>
      </c>
      <c r="I56" s="4" t="str">
        <f t="shared" si="60"/>
        <v>BUCK</v>
      </c>
      <c r="J56">
        <f t="shared" si="43"/>
        <v>1</v>
      </c>
      <c r="K56" s="387">
        <f t="shared" si="96"/>
        <v>2.82</v>
      </c>
      <c r="L56" s="4">
        <f t="shared" si="61"/>
        <v>1.8552631578947367</v>
      </c>
      <c r="M56" s="4">
        <f t="shared" si="56"/>
        <v>2.82</v>
      </c>
      <c r="N56" s="387">
        <f t="shared" si="62"/>
        <v>0.63375034695645605</v>
      </c>
      <c r="O56" s="387">
        <f t="shared" si="63"/>
        <v>0</v>
      </c>
      <c r="P56" s="4">
        <f t="shared" si="64"/>
        <v>4.1939043215688754</v>
      </c>
      <c r="Q56" s="4">
        <f t="shared" si="65"/>
        <v>3.0688981934139661</v>
      </c>
      <c r="R56" s="387">
        <f t="shared" si="7"/>
        <v>5.6765436541242165E-2</v>
      </c>
      <c r="S56" s="387">
        <f t="shared" si="45"/>
        <v>0.34427792544066121</v>
      </c>
      <c r="T56" s="387">
        <f t="shared" si="46"/>
        <v>0.40104336198190338</v>
      </c>
      <c r="U56" s="4">
        <f t="shared" si="66"/>
        <v>1.2106758945066627</v>
      </c>
      <c r="V56" s="387">
        <f t="shared" si="9"/>
        <v>1.0260152850776557E-2</v>
      </c>
      <c r="W56" s="387">
        <f t="shared" si="47"/>
        <v>1.0260152850776557E-2</v>
      </c>
      <c r="X56" s="4">
        <f t="shared" si="67"/>
        <v>1.4785301926463243</v>
      </c>
      <c r="Y56" s="387">
        <f t="shared" si="11"/>
        <v>4.3721030611335544E-3</v>
      </c>
      <c r="Z56" s="605">
        <f t="shared" si="48"/>
        <v>4.3721030611335544E-3</v>
      </c>
      <c r="AA56" s="387">
        <f t="shared" si="68"/>
        <v>2.4431019288414459</v>
      </c>
      <c r="AB56" s="387">
        <f t="shared" si="69"/>
        <v>3.4021858097840127E-2</v>
      </c>
      <c r="AC56" s="387">
        <f t="shared" si="70"/>
        <v>4.0741094289813477E-2</v>
      </c>
      <c r="AD56" s="387">
        <f t="shared" si="71"/>
        <v>0</v>
      </c>
      <c r="AE56" s="387">
        <f t="shared" si="72"/>
        <v>7.5275152498976289E-2</v>
      </c>
      <c r="AF56" s="387">
        <f t="shared" si="73"/>
        <v>1.8572531025228391</v>
      </c>
      <c r="AG56" s="387">
        <f t="shared" si="74"/>
        <v>1.9661517794935055E-2</v>
      </c>
      <c r="AH56" s="387">
        <f t="shared" si="75"/>
        <v>5.05344E-2</v>
      </c>
      <c r="AI56" s="387">
        <f t="shared" si="76"/>
        <v>7.0473039177706184E-2</v>
      </c>
      <c r="AJ56" s="387">
        <f t="shared" si="77"/>
        <v>0</v>
      </c>
      <c r="AK56" s="387">
        <f t="shared" si="78"/>
        <v>0</v>
      </c>
      <c r="AL56" s="387">
        <f t="shared" si="79"/>
        <v>0</v>
      </c>
      <c r="AM56" s="387">
        <f t="shared" si="80"/>
        <v>0</v>
      </c>
      <c r="AN56" s="387">
        <f t="shared" si="81"/>
        <v>0</v>
      </c>
      <c r="AO56" s="387">
        <f t="shared" si="49"/>
        <v>3.0688981934139661</v>
      </c>
      <c r="AP56" s="387">
        <f t="shared" si="82"/>
        <v>1.7894458630925057E-2</v>
      </c>
      <c r="AQ56" s="387">
        <f t="shared" si="83"/>
        <v>0</v>
      </c>
      <c r="AR56" s="387">
        <f t="shared" si="84"/>
        <v>1.7958730984658833E-2</v>
      </c>
      <c r="AS56" s="387">
        <f t="shared" si="85"/>
        <v>1.7894458630925057E-2</v>
      </c>
      <c r="AT56" s="387">
        <f t="shared" si="86"/>
        <v>0</v>
      </c>
      <c r="AU56" s="387">
        <f t="shared" si="87"/>
        <v>0.12591354694463996</v>
      </c>
      <c r="AV56" s="387">
        <f t="shared" si="88"/>
        <v>2.7595112694645693E-2</v>
      </c>
      <c r="AW56" s="387">
        <f t="shared" si="33"/>
        <v>0</v>
      </c>
      <c r="AX56" s="387">
        <f t="shared" si="89"/>
        <v>3.6000000000000004E-2</v>
      </c>
      <c r="AY56" s="387">
        <f t="shared" si="90"/>
        <v>5.9136000000000001E-2</v>
      </c>
      <c r="AZ56" s="387">
        <f t="shared" si="36"/>
        <v>7.3471999999999996E-2</v>
      </c>
      <c r="BA56" s="387">
        <f t="shared" si="57"/>
        <v>9.5135999999999998E-2</v>
      </c>
      <c r="BB56" s="387">
        <f t="shared" si="58"/>
        <v>0.82802720019444043</v>
      </c>
      <c r="BC56">
        <f t="shared" si="91"/>
        <v>33.839999999999996</v>
      </c>
      <c r="BD56" s="606">
        <f t="shared" si="51"/>
        <v>0.97611553736782009</v>
      </c>
      <c r="BE56" s="616">
        <f t="shared" si="92"/>
        <v>7.9189046741219338</v>
      </c>
      <c r="BF56" s="616">
        <f t="shared" si="93"/>
        <v>5.6012254834718691</v>
      </c>
      <c r="BG56" s="9"/>
      <c r="BH56" s="4">
        <f t="shared" si="52"/>
        <v>97.611553736782014</v>
      </c>
      <c r="BI56" s="387">
        <f t="shared" si="53"/>
        <v>0.40104336198190338</v>
      </c>
      <c r="BJ56" s="387">
        <f t="shared" si="54"/>
        <v>0.28962046960598126</v>
      </c>
      <c r="BK56" s="387">
        <f t="shared" si="94"/>
        <v>0.15837809348243867</v>
      </c>
      <c r="BL56" s="387">
        <f t="shared" si="95"/>
        <v>0.11202450966943737</v>
      </c>
      <c r="BM56" s="387">
        <f t="shared" si="55"/>
        <v>2.7595112694645693E-2</v>
      </c>
      <c r="BS56" s="18"/>
      <c r="BT56" s="19"/>
    </row>
    <row r="57" spans="1:74" x14ac:dyDescent="0.2">
      <c r="A57" s="24" t="s">
        <v>279</v>
      </c>
      <c r="B57" s="15" t="s">
        <v>115</v>
      </c>
      <c r="C57" s="24" t="s">
        <v>80</v>
      </c>
      <c r="D57" s="24" t="s">
        <v>249</v>
      </c>
      <c r="G57">
        <v>48</v>
      </c>
      <c r="H57" s="612">
        <f t="shared" si="59"/>
        <v>19</v>
      </c>
      <c r="I57" s="4" t="str">
        <f t="shared" si="60"/>
        <v>BUCK</v>
      </c>
      <c r="J57">
        <f t="shared" si="43"/>
        <v>1</v>
      </c>
      <c r="K57" s="387">
        <f t="shared" si="96"/>
        <v>2.88</v>
      </c>
      <c r="L57" s="4">
        <f t="shared" si="61"/>
        <v>1.8947368421052635</v>
      </c>
      <c r="M57" s="4">
        <f t="shared" si="56"/>
        <v>2.88</v>
      </c>
      <c r="N57" s="387">
        <f t="shared" si="62"/>
        <v>0.63379649099197599</v>
      </c>
      <c r="O57" s="387">
        <f t="shared" si="63"/>
        <v>0</v>
      </c>
      <c r="P57" s="4">
        <f t="shared" si="64"/>
        <v>4.1937870729325288</v>
      </c>
      <c r="Q57" s="4">
        <f t="shared" si="65"/>
        <v>3.124108539689042</v>
      </c>
      <c r="R57" s="387">
        <f t="shared" si="7"/>
        <v>5.8835961247566404E-2</v>
      </c>
      <c r="S57" s="387">
        <f t="shared" si="45"/>
        <v>0.34425574996124364</v>
      </c>
      <c r="T57" s="387">
        <f t="shared" si="46"/>
        <v>0.40309171120881004</v>
      </c>
      <c r="U57" s="4">
        <f t="shared" si="66"/>
        <v>1.2106420477407842</v>
      </c>
      <c r="V57" s="387">
        <f t="shared" si="9"/>
        <v>1.0259579174305995E-2</v>
      </c>
      <c r="W57" s="387">
        <f t="shared" si="47"/>
        <v>1.0259579174305995E-2</v>
      </c>
      <c r="X57" s="4">
        <f t="shared" si="67"/>
        <v>1.5050893403642491</v>
      </c>
      <c r="Y57" s="387">
        <f t="shared" si="11"/>
        <v>4.5305878449561814E-3</v>
      </c>
      <c r="Z57" s="605">
        <f t="shared" si="48"/>
        <v>4.5305878449561814E-3</v>
      </c>
      <c r="AA57" s="387">
        <f t="shared" si="68"/>
        <v>2.4871445642375978</v>
      </c>
      <c r="AB57" s="387">
        <f t="shared" si="69"/>
        <v>3.5259562075474794E-2</v>
      </c>
      <c r="AC57" s="387">
        <f t="shared" si="70"/>
        <v>4.1607926083213766E-2</v>
      </c>
      <c r="AD57" s="387">
        <f t="shared" si="71"/>
        <v>0</v>
      </c>
      <c r="AE57" s="387">
        <f t="shared" si="72"/>
        <v>7.7413400680038852E-2</v>
      </c>
      <c r="AF57" s="387">
        <f t="shared" si="73"/>
        <v>1.8905465041467158</v>
      </c>
      <c r="AG57" s="387">
        <f t="shared" si="74"/>
        <v>2.0372746680745797E-2</v>
      </c>
      <c r="AH57" s="387">
        <f t="shared" si="75"/>
        <v>5.1609600000000005E-2</v>
      </c>
      <c r="AI57" s="387">
        <f t="shared" si="76"/>
        <v>7.2276842240315026E-2</v>
      </c>
      <c r="AJ57" s="387">
        <f t="shared" si="77"/>
        <v>0</v>
      </c>
      <c r="AK57" s="387">
        <f t="shared" si="78"/>
        <v>0</v>
      </c>
      <c r="AL57" s="387">
        <f t="shared" si="79"/>
        <v>0</v>
      </c>
      <c r="AM57" s="387">
        <f t="shared" si="80"/>
        <v>0</v>
      </c>
      <c r="AN57" s="387">
        <f t="shared" si="81"/>
        <v>0</v>
      </c>
      <c r="AO57" s="387">
        <f t="shared" si="49"/>
        <v>3.124108539689042</v>
      </c>
      <c r="AP57" s="387">
        <f t="shared" si="82"/>
        <v>1.8544102918740195E-2</v>
      </c>
      <c r="AQ57" s="387">
        <f t="shared" si="83"/>
        <v>0</v>
      </c>
      <c r="AR57" s="387">
        <f t="shared" si="84"/>
        <v>1.8613135699550785E-2</v>
      </c>
      <c r="AS57" s="387">
        <f t="shared" si="85"/>
        <v>1.8544102918740195E-2</v>
      </c>
      <c r="AT57" s="387">
        <f t="shared" si="86"/>
        <v>0</v>
      </c>
      <c r="AU57" s="387">
        <f t="shared" si="87"/>
        <v>0.12859024195583998</v>
      </c>
      <c r="AV57" s="387">
        <f t="shared" si="88"/>
        <v>2.8593328674730946E-2</v>
      </c>
      <c r="AW57" s="387">
        <f t="shared" si="33"/>
        <v>0</v>
      </c>
      <c r="AX57" s="387">
        <f t="shared" si="89"/>
        <v>3.6000000000000004E-2</v>
      </c>
      <c r="AY57" s="387">
        <f t="shared" si="90"/>
        <v>5.9136000000000001E-2</v>
      </c>
      <c r="AZ57" s="387">
        <f t="shared" si="36"/>
        <v>7.3471999999999996E-2</v>
      </c>
      <c r="BA57" s="387">
        <f t="shared" si="57"/>
        <v>9.5135999999999998E-2</v>
      </c>
      <c r="BB57" s="387">
        <f t="shared" si="58"/>
        <v>0.83850482747854793</v>
      </c>
      <c r="BC57">
        <f t="shared" si="91"/>
        <v>34.56</v>
      </c>
      <c r="BD57" s="606">
        <f t="shared" si="51"/>
        <v>0.97631242247193317</v>
      </c>
      <c r="BE57" s="616">
        <f t="shared" si="92"/>
        <v>8.1141480185446611</v>
      </c>
      <c r="BF57" s="616">
        <f t="shared" si="93"/>
        <v>5.7355811042871112</v>
      </c>
      <c r="BG57" s="9"/>
      <c r="BH57" s="4">
        <f t="shared" si="52"/>
        <v>97.631242247193313</v>
      </c>
      <c r="BI57" s="387">
        <f t="shared" si="53"/>
        <v>0.40309171120881004</v>
      </c>
      <c r="BJ57" s="387">
        <f t="shared" si="54"/>
        <v>0.29689362057574464</v>
      </c>
      <c r="BK57" s="387">
        <f t="shared" si="94"/>
        <v>0.16228296037089324</v>
      </c>
      <c r="BL57" s="387">
        <f t="shared" si="95"/>
        <v>0.11471162208574223</v>
      </c>
      <c r="BM57" s="387">
        <f t="shared" si="55"/>
        <v>2.8593328674730946E-2</v>
      </c>
      <c r="BS57" s="18"/>
      <c r="BT57" s="19"/>
    </row>
    <row r="58" spans="1:74" x14ac:dyDescent="0.2">
      <c r="A58" s="23" t="s">
        <v>231</v>
      </c>
      <c r="B58" s="73">
        <f>VfdSky_Q2</f>
        <v>0</v>
      </c>
      <c r="C58" s="483" t="s">
        <v>0</v>
      </c>
      <c r="D58" s="76" t="s">
        <v>234</v>
      </c>
      <c r="G58">
        <v>49</v>
      </c>
      <c r="H58" s="612">
        <f t="shared" si="59"/>
        <v>19</v>
      </c>
      <c r="I58" s="4" t="str">
        <f t="shared" si="60"/>
        <v>BUCK</v>
      </c>
      <c r="J58">
        <f t="shared" si="43"/>
        <v>1</v>
      </c>
      <c r="K58" s="387">
        <f t="shared" si="96"/>
        <v>2.94</v>
      </c>
      <c r="L58" s="4">
        <f t="shared" si="61"/>
        <v>1.9342105263157896</v>
      </c>
      <c r="M58" s="4">
        <f t="shared" si="56"/>
        <v>2.94</v>
      </c>
      <c r="N58" s="387">
        <f t="shared" si="62"/>
        <v>0.63384263269889063</v>
      </c>
      <c r="O58" s="387">
        <f t="shared" si="63"/>
        <v>0</v>
      </c>
      <c r="P58" s="4">
        <f t="shared" si="64"/>
        <v>4.1936697473524491</v>
      </c>
      <c r="Q58" s="4">
        <f t="shared" si="65"/>
        <v>3.1794924378724763</v>
      </c>
      <c r="R58" s="387">
        <f t="shared" si="7"/>
        <v>6.0950790752766139E-2</v>
      </c>
      <c r="S58" s="387">
        <f t="shared" si="45"/>
        <v>0.34423356073852585</v>
      </c>
      <c r="T58" s="387">
        <f t="shared" si="46"/>
        <v>0.40518435149129201</v>
      </c>
      <c r="U58" s="4">
        <f t="shared" si="66"/>
        <v>1.2106081787631633</v>
      </c>
      <c r="V58" s="387">
        <f t="shared" si="9"/>
        <v>1.0259005137417843E-2</v>
      </c>
      <c r="W58" s="387">
        <f t="shared" si="47"/>
        <v>1.0259005137417843E-2</v>
      </c>
      <c r="X58" s="4">
        <f t="shared" si="67"/>
        <v>1.5317306693951096</v>
      </c>
      <c r="Y58" s="387">
        <f t="shared" si="11"/>
        <v>4.692397687131181E-3</v>
      </c>
      <c r="Z58" s="605">
        <f t="shared" si="48"/>
        <v>4.692397687131181E-3</v>
      </c>
      <c r="AA58" s="387">
        <f t="shared" si="68"/>
        <v>2.5313285637937044</v>
      </c>
      <c r="AB58" s="387">
        <f t="shared" si="69"/>
        <v>3.6523458497904025E-2</v>
      </c>
      <c r="AC58" s="387">
        <f t="shared" si="70"/>
        <v>4.2474757876614054E-2</v>
      </c>
      <c r="AD58" s="387">
        <f t="shared" si="71"/>
        <v>0</v>
      </c>
      <c r="AE58" s="387">
        <f t="shared" si="72"/>
        <v>7.9579520235438517E-2</v>
      </c>
      <c r="AF58" s="387">
        <f t="shared" si="73"/>
        <v>1.9239407123428636</v>
      </c>
      <c r="AG58" s="387">
        <f t="shared" si="74"/>
        <v>2.1098822828279084E-2</v>
      </c>
      <c r="AH58" s="387">
        <f t="shared" si="75"/>
        <v>5.2684800000000004E-2</v>
      </c>
      <c r="AI58" s="387">
        <f t="shared" si="76"/>
        <v>7.4096291734587205E-2</v>
      </c>
      <c r="AJ58" s="387">
        <f t="shared" si="77"/>
        <v>0</v>
      </c>
      <c r="AK58" s="387">
        <f t="shared" si="78"/>
        <v>0</v>
      </c>
      <c r="AL58" s="387">
        <f t="shared" si="79"/>
        <v>0</v>
      </c>
      <c r="AM58" s="387">
        <f t="shared" si="80"/>
        <v>0</v>
      </c>
      <c r="AN58" s="387">
        <f t="shared" si="81"/>
        <v>0</v>
      </c>
      <c r="AO58" s="387">
        <f t="shared" si="49"/>
        <v>3.1794924378724763</v>
      </c>
      <c r="AP58" s="387">
        <f t="shared" si="82"/>
        <v>1.9207427108727696E-2</v>
      </c>
      <c r="AQ58" s="387">
        <f t="shared" si="83"/>
        <v>0</v>
      </c>
      <c r="AR58" s="387">
        <f t="shared" si="84"/>
        <v>1.9281496697199422E-2</v>
      </c>
      <c r="AS58" s="387">
        <f t="shared" si="85"/>
        <v>1.9207427108727696E-2</v>
      </c>
      <c r="AT58" s="387">
        <f t="shared" si="86"/>
        <v>0</v>
      </c>
      <c r="AU58" s="387">
        <f t="shared" si="87"/>
        <v>0.13126684044095999</v>
      </c>
      <c r="AV58" s="387">
        <f t="shared" si="88"/>
        <v>2.9612382916882923E-2</v>
      </c>
      <c r="AW58" s="387">
        <f t="shared" si="33"/>
        <v>0</v>
      </c>
      <c r="AX58" s="387">
        <f t="shared" si="89"/>
        <v>3.6000000000000004E-2</v>
      </c>
      <c r="AY58" s="387">
        <f t="shared" si="90"/>
        <v>5.9136000000000001E-2</v>
      </c>
      <c r="AZ58" s="387">
        <f t="shared" si="36"/>
        <v>7.3471999999999996E-2</v>
      </c>
      <c r="BA58" s="387">
        <f t="shared" si="57"/>
        <v>9.5135999999999998E-2</v>
      </c>
      <c r="BB58" s="387">
        <f t="shared" si="58"/>
        <v>0.84910828634090918</v>
      </c>
      <c r="BC58">
        <f t="shared" si="91"/>
        <v>35.28</v>
      </c>
      <c r="BD58" s="606">
        <f t="shared" si="51"/>
        <v>0.97649794510256638</v>
      </c>
      <c r="BE58" s="616">
        <f t="shared" si="92"/>
        <v>8.310781746323606</v>
      </c>
      <c r="BF58" s="616">
        <f t="shared" si="93"/>
        <v>5.8707174540052005</v>
      </c>
      <c r="BG58" s="9"/>
      <c r="BH58" s="4">
        <f t="shared" si="52"/>
        <v>97.64979451025664</v>
      </c>
      <c r="BI58" s="387">
        <f t="shared" si="53"/>
        <v>0.40518435149129201</v>
      </c>
      <c r="BJ58" s="387">
        <f t="shared" si="54"/>
        <v>0.30422414910818513</v>
      </c>
      <c r="BK58" s="387">
        <f t="shared" si="94"/>
        <v>0.16621563492647212</v>
      </c>
      <c r="BL58" s="387">
        <f t="shared" si="95"/>
        <v>0.11741434908010401</v>
      </c>
      <c r="BM58" s="387">
        <f t="shared" si="55"/>
        <v>2.9612382916882923E-2</v>
      </c>
      <c r="BS58" s="18"/>
      <c r="BT58" s="19"/>
    </row>
    <row r="59" spans="1:74" x14ac:dyDescent="0.2">
      <c r="A59" s="23" t="s">
        <v>232</v>
      </c>
      <c r="B59" s="73">
        <f>QrrSky_Q2*1000000000</f>
        <v>0</v>
      </c>
      <c r="C59" s="483" t="s">
        <v>69</v>
      </c>
      <c r="D59" s="76" t="s">
        <v>235</v>
      </c>
      <c r="G59">
        <v>50</v>
      </c>
      <c r="H59" s="612">
        <f t="shared" si="59"/>
        <v>19</v>
      </c>
      <c r="I59" s="4" t="str">
        <f t="shared" si="60"/>
        <v>BUCK</v>
      </c>
      <c r="J59">
        <f t="shared" si="43"/>
        <v>1</v>
      </c>
      <c r="K59" s="387">
        <f t="shared" si="96"/>
        <v>3</v>
      </c>
      <c r="L59" s="4">
        <f t="shared" si="61"/>
        <v>1.9736842105263159</v>
      </c>
      <c r="M59" s="4">
        <f t="shared" si="56"/>
        <v>3</v>
      </c>
      <c r="N59" s="387">
        <f t="shared" si="62"/>
        <v>0.63388877207737593</v>
      </c>
      <c r="O59" s="387">
        <f t="shared" si="63"/>
        <v>0</v>
      </c>
      <c r="P59" s="4">
        <f t="shared" si="64"/>
        <v>4.1935523448344565</v>
      </c>
      <c r="Q59" s="4">
        <f t="shared" si="65"/>
        <v>3.2350409743523931</v>
      </c>
      <c r="R59" s="387">
        <f t="shared" si="7"/>
        <v>6.3109969479792125E-2</v>
      </c>
      <c r="S59" s="387">
        <f t="shared" si="45"/>
        <v>0.34421135777519513</v>
      </c>
      <c r="T59" s="387">
        <f t="shared" si="46"/>
        <v>0.40732132725498726</v>
      </c>
      <c r="U59" s="4">
        <f t="shared" si="66"/>
        <v>1.2105742875754799</v>
      </c>
      <c r="V59" s="387">
        <f t="shared" si="9"/>
        <v>1.0258430740172166E-2</v>
      </c>
      <c r="W59" s="387">
        <f t="shared" si="47"/>
        <v>1.0258430740172166E-2</v>
      </c>
      <c r="X59" s="4">
        <f t="shared" si="67"/>
        <v>1.5584498783363669</v>
      </c>
      <c r="Y59" s="387">
        <f t="shared" si="11"/>
        <v>4.8575320465732742E-3</v>
      </c>
      <c r="Z59" s="605">
        <f t="shared" si="48"/>
        <v>4.8575320465732742E-3</v>
      </c>
      <c r="AA59" s="387">
        <f t="shared" si="68"/>
        <v>2.5756468454185923</v>
      </c>
      <c r="AB59" s="387">
        <f t="shared" si="69"/>
        <v>3.781355303219406E-2</v>
      </c>
      <c r="AC59" s="387">
        <f t="shared" si="70"/>
        <v>4.3341589670014342E-2</v>
      </c>
      <c r="AD59" s="387">
        <f t="shared" si="71"/>
        <v>0</v>
      </c>
      <c r="AE59" s="387">
        <f t="shared" si="72"/>
        <v>8.1773572566785621E-2</v>
      </c>
      <c r="AF59" s="387">
        <f t="shared" si="73"/>
        <v>1.9574303138104647</v>
      </c>
      <c r="AG59" s="387">
        <f t="shared" si="74"/>
        <v>2.1839740570517567E-2</v>
      </c>
      <c r="AH59" s="387">
        <f t="shared" si="75"/>
        <v>5.3760000000000002E-2</v>
      </c>
      <c r="AI59" s="387">
        <f t="shared" si="76"/>
        <v>7.5931405007822722E-2</v>
      </c>
      <c r="AJ59" s="387">
        <f t="shared" si="77"/>
        <v>0</v>
      </c>
      <c r="AK59" s="387">
        <f t="shared" si="78"/>
        <v>0</v>
      </c>
      <c r="AL59" s="387">
        <f t="shared" si="79"/>
        <v>0</v>
      </c>
      <c r="AM59" s="387">
        <f t="shared" si="80"/>
        <v>0</v>
      </c>
      <c r="AN59" s="387">
        <f t="shared" si="81"/>
        <v>0</v>
      </c>
      <c r="AO59" s="387">
        <f t="shared" si="49"/>
        <v>3.2350409743523931</v>
      </c>
      <c r="AP59" s="387">
        <f t="shared" si="82"/>
        <v>1.9884431200903874E-2</v>
      </c>
      <c r="AQ59" s="387">
        <f t="shared" si="83"/>
        <v>0</v>
      </c>
      <c r="AR59" s="387">
        <f t="shared" si="84"/>
        <v>1.9963825062094695E-2</v>
      </c>
      <c r="AS59" s="387">
        <f t="shared" si="85"/>
        <v>1.9884431200903874E-2</v>
      </c>
      <c r="AT59" s="387">
        <f t="shared" si="86"/>
        <v>0</v>
      </c>
      <c r="AU59" s="387">
        <f t="shared" si="87"/>
        <v>0.1339433424</v>
      </c>
      <c r="AV59" s="387">
        <f t="shared" si="88"/>
        <v>3.0652267467393076E-2</v>
      </c>
      <c r="AW59" s="387">
        <f t="shared" si="33"/>
        <v>0</v>
      </c>
      <c r="AX59" s="387">
        <f t="shared" si="89"/>
        <v>3.6000000000000004E-2</v>
      </c>
      <c r="AY59" s="387">
        <f t="shared" si="90"/>
        <v>5.9136000000000001E-2</v>
      </c>
      <c r="AZ59" s="387">
        <f t="shared" si="36"/>
        <v>7.3471999999999996E-2</v>
      </c>
      <c r="BA59" s="387">
        <f t="shared" si="57"/>
        <v>9.5135999999999998E-2</v>
      </c>
      <c r="BB59" s="387">
        <f t="shared" si="58"/>
        <v>0.8598377025458287</v>
      </c>
      <c r="BC59">
        <f t="shared" si="91"/>
        <v>36</v>
      </c>
      <c r="BD59" s="606">
        <f t="shared" si="51"/>
        <v>0.97667277567837896</v>
      </c>
      <c r="BE59" s="616">
        <f t="shared" si="92"/>
        <v>8.5088089275392811</v>
      </c>
      <c r="BF59" s="616">
        <f t="shared" si="93"/>
        <v>6.0066353999911364</v>
      </c>
      <c r="BG59" s="9"/>
      <c r="BH59" s="4">
        <f t="shared" si="52"/>
        <v>97.6672775678379</v>
      </c>
      <c r="BI59" s="387">
        <f t="shared" si="53"/>
        <v>0.40732132725498726</v>
      </c>
      <c r="BJ59" s="387">
        <f t="shared" si="54"/>
        <v>0.31161214503670304</v>
      </c>
      <c r="BK59" s="387">
        <f t="shared" si="94"/>
        <v>0.17017617855078562</v>
      </c>
      <c r="BL59" s="387">
        <f t="shared" si="95"/>
        <v>0.12013270799982273</v>
      </c>
      <c r="BM59" s="387">
        <f t="shared" si="55"/>
        <v>3.0652267467393076E-2</v>
      </c>
      <c r="BS59" s="18"/>
      <c r="BT59" s="19"/>
    </row>
    <row r="60" spans="1:74" x14ac:dyDescent="0.2">
      <c r="A60" s="23" t="s">
        <v>233</v>
      </c>
      <c r="B60" s="73">
        <f>Ireverse</f>
        <v>0</v>
      </c>
      <c r="C60" s="483" t="s">
        <v>68</v>
      </c>
      <c r="D60" s="76" t="s">
        <v>236</v>
      </c>
      <c r="E60" s="2"/>
      <c r="G60">
        <v>51</v>
      </c>
      <c r="H60" s="612">
        <f t="shared" si="59"/>
        <v>19</v>
      </c>
      <c r="I60" s="4" t="str">
        <f t="shared" si="60"/>
        <v>BUCK</v>
      </c>
      <c r="J60">
        <f t="shared" si="43"/>
        <v>1</v>
      </c>
      <c r="K60" s="387">
        <f t="shared" si="96"/>
        <v>3.06</v>
      </c>
      <c r="L60" s="4">
        <f t="shared" si="61"/>
        <v>2.013157894736842</v>
      </c>
      <c r="M60" s="4">
        <f t="shared" si="56"/>
        <v>3.06</v>
      </c>
      <c r="N60" s="387">
        <f t="shared" si="62"/>
        <v>0.63393490912760819</v>
      </c>
      <c r="O60" s="387">
        <f t="shared" si="63"/>
        <v>0</v>
      </c>
      <c r="P60" s="4">
        <f t="shared" si="64"/>
        <v>4.1934348653843756</v>
      </c>
      <c r="Q60" s="4">
        <f t="shared" si="65"/>
        <v>3.2907458117451793</v>
      </c>
      <c r="R60" s="387">
        <f t="shared" si="7"/>
        <v>6.5313542806260352E-2</v>
      </c>
      <c r="S60" s="387">
        <f t="shared" si="45"/>
        <v>0.344189141073939</v>
      </c>
      <c r="T60" s="387">
        <f t="shared" si="46"/>
        <v>0.40950268388019934</v>
      </c>
      <c r="U60" s="4">
        <f t="shared" si="66"/>
        <v>1.2105403741794158</v>
      </c>
      <c r="V60" s="387">
        <f t="shared" si="9"/>
        <v>1.0257855982629082E-2</v>
      </c>
      <c r="W60" s="387">
        <f t="shared" si="47"/>
        <v>1.0257855982629082E-2</v>
      </c>
      <c r="X60" s="4">
        <f t="shared" si="67"/>
        <v>1.5852429438235691</v>
      </c>
      <c r="Y60" s="387">
        <f t="shared" si="11"/>
        <v>5.0259903818848303E-3</v>
      </c>
      <c r="Z60" s="605">
        <f t="shared" si="48"/>
        <v>5.0259903818848303E-3</v>
      </c>
      <c r="AA60" s="387">
        <f t="shared" si="68"/>
        <v>2.6200927847786217</v>
      </c>
      <c r="AB60" s="387">
        <f t="shared" si="69"/>
        <v>3.9129851344839262E-2</v>
      </c>
      <c r="AC60" s="387">
        <f t="shared" si="70"/>
        <v>4.4208421463414624E-2</v>
      </c>
      <c r="AD60" s="387">
        <f t="shared" si="71"/>
        <v>0</v>
      </c>
      <c r="AE60" s="387">
        <f t="shared" si="72"/>
        <v>8.3995620033358462E-2</v>
      </c>
      <c r="AF60" s="387">
        <f t="shared" si="73"/>
        <v>1.9910102452447214</v>
      </c>
      <c r="AG60" s="387">
        <f t="shared" si="74"/>
        <v>2.259549424101584E-2</v>
      </c>
      <c r="AH60" s="387">
        <f t="shared" si="75"/>
        <v>5.4835200000000008E-2</v>
      </c>
      <c r="AI60" s="387">
        <f t="shared" si="76"/>
        <v>7.7782199690045836E-2</v>
      </c>
      <c r="AJ60" s="387">
        <f t="shared" si="77"/>
        <v>0</v>
      </c>
      <c r="AK60" s="387">
        <f t="shared" si="78"/>
        <v>0</v>
      </c>
      <c r="AL60" s="387">
        <f t="shared" si="79"/>
        <v>0</v>
      </c>
      <c r="AM60" s="387">
        <f t="shared" si="80"/>
        <v>0</v>
      </c>
      <c r="AN60" s="387">
        <f t="shared" si="81"/>
        <v>0</v>
      </c>
      <c r="AO60" s="387">
        <f t="shared" si="49"/>
        <v>3.2907458117451793</v>
      </c>
      <c r="AP60" s="387">
        <f t="shared" si="82"/>
        <v>2.0575115195285033E-2</v>
      </c>
      <c r="AQ60" s="387">
        <f t="shared" si="83"/>
        <v>0</v>
      </c>
      <c r="AR60" s="387">
        <f t="shared" si="84"/>
        <v>2.0660132114927923E-2</v>
      </c>
      <c r="AS60" s="387">
        <f t="shared" si="85"/>
        <v>2.0575115195285033E-2</v>
      </c>
      <c r="AT60" s="387">
        <f t="shared" si="86"/>
        <v>0</v>
      </c>
      <c r="AU60" s="387">
        <f t="shared" si="87"/>
        <v>0.13661974783295999</v>
      </c>
      <c r="AV60" s="387">
        <f t="shared" si="88"/>
        <v>3.1712974373355567E-2</v>
      </c>
      <c r="AW60" s="387">
        <f t="shared" si="33"/>
        <v>0</v>
      </c>
      <c r="AX60" s="387">
        <f t="shared" si="89"/>
        <v>3.6000000000000004E-2</v>
      </c>
      <c r="AY60" s="387">
        <f t="shared" si="90"/>
        <v>5.9136000000000001E-2</v>
      </c>
      <c r="AZ60" s="387">
        <f t="shared" si="36"/>
        <v>7.3471999999999996E-2</v>
      </c>
      <c r="BA60" s="387">
        <f t="shared" si="57"/>
        <v>9.5135999999999998E-2</v>
      </c>
      <c r="BB60" s="387">
        <f t="shared" si="58"/>
        <v>0.87069320428936103</v>
      </c>
      <c r="BC60">
        <f t="shared" si="91"/>
        <v>36.72</v>
      </c>
      <c r="BD60" s="606">
        <f t="shared" si="51"/>
        <v>0.97683753264252104</v>
      </c>
      <c r="BE60" s="616">
        <f t="shared" si="92"/>
        <v>8.7082326801556036</v>
      </c>
      <c r="BF60" s="616">
        <f t="shared" si="93"/>
        <v>6.1433358237461322</v>
      </c>
      <c r="BG60" s="9"/>
      <c r="BH60" s="4">
        <f t="shared" si="52"/>
        <v>97.683753264252104</v>
      </c>
      <c r="BI60" s="387">
        <f t="shared" si="53"/>
        <v>0.40950268388019934</v>
      </c>
      <c r="BJ60" s="387">
        <f t="shared" si="54"/>
        <v>0.31905769967129222</v>
      </c>
      <c r="BK60" s="387">
        <f t="shared" si="94"/>
        <v>0.17416465360311206</v>
      </c>
      <c r="BL60" s="387">
        <f t="shared" si="95"/>
        <v>0.12286671647492264</v>
      </c>
      <c r="BM60" s="387">
        <f t="shared" si="55"/>
        <v>3.1712974373355567E-2</v>
      </c>
      <c r="BS60" s="18"/>
      <c r="BT60" s="19"/>
    </row>
    <row r="61" spans="1:74" x14ac:dyDescent="0.2">
      <c r="A61" s="24" t="s">
        <v>121</v>
      </c>
      <c r="B61" s="15" t="s">
        <v>115</v>
      </c>
      <c r="C61" s="24" t="s">
        <v>80</v>
      </c>
      <c r="D61" s="24" t="s">
        <v>249</v>
      </c>
      <c r="G61">
        <v>52</v>
      </c>
      <c r="H61" s="612">
        <f t="shared" si="59"/>
        <v>19</v>
      </c>
      <c r="I61" s="4" t="str">
        <f t="shared" si="60"/>
        <v>BUCK</v>
      </c>
      <c r="J61">
        <f t="shared" si="43"/>
        <v>1</v>
      </c>
      <c r="K61" s="387">
        <f t="shared" si="96"/>
        <v>3.12</v>
      </c>
      <c r="L61" s="4">
        <f t="shared" si="61"/>
        <v>2.0526315789473686</v>
      </c>
      <c r="M61" s="4">
        <f t="shared" si="56"/>
        <v>3.12</v>
      </c>
      <c r="N61" s="387">
        <f t="shared" si="62"/>
        <v>0.63398104384976373</v>
      </c>
      <c r="O61" s="387">
        <f t="shared" si="63"/>
        <v>0</v>
      </c>
      <c r="P61" s="4">
        <f t="shared" si="64"/>
        <v>4.1933173090080302</v>
      </c>
      <c r="Q61" s="4">
        <f t="shared" si="65"/>
        <v>3.3465991450778101</v>
      </c>
      <c r="R61" s="387">
        <f t="shared" si="7"/>
        <v>6.7561557066849659E-2</v>
      </c>
      <c r="S61" s="387">
        <f t="shared" si="45"/>
        <v>0.34416691063744687</v>
      </c>
      <c r="T61" s="387">
        <f t="shared" si="46"/>
        <v>0.4117284677042965</v>
      </c>
      <c r="U61" s="4">
        <f t="shared" si="66"/>
        <v>1.2105064385766517</v>
      </c>
      <c r="V61" s="387">
        <f t="shared" si="9"/>
        <v>1.0257280864848704E-2</v>
      </c>
      <c r="W61" s="387">
        <f t="shared" si="47"/>
        <v>1.0257280864848704E-2</v>
      </c>
      <c r="X61" s="4">
        <f t="shared" si="67"/>
        <v>1.6121060993861367</v>
      </c>
      <c r="Y61" s="387">
        <f t="shared" si="11"/>
        <v>5.1977721513559692E-3</v>
      </c>
      <c r="Z61" s="605">
        <f t="shared" si="48"/>
        <v>5.1977721513559692E-3</v>
      </c>
      <c r="AA61" s="387">
        <f t="shared" si="68"/>
        <v>2.6646601804924654</v>
      </c>
      <c r="AB61" s="387">
        <f t="shared" si="69"/>
        <v>4.0472359101762188E-2</v>
      </c>
      <c r="AC61" s="387">
        <f t="shared" si="70"/>
        <v>4.5075253256814912E-2</v>
      </c>
      <c r="AD61" s="387">
        <f t="shared" si="71"/>
        <v>0</v>
      </c>
      <c r="AE61" s="387">
        <f t="shared" si="72"/>
        <v>8.6245725956961561E-2</v>
      </c>
      <c r="AF61" s="387">
        <f t="shared" si="73"/>
        <v>2.0246757667175728</v>
      </c>
      <c r="AG61" s="387">
        <f t="shared" si="74"/>
        <v>2.3366078173900327E-2</v>
      </c>
      <c r="AH61" s="387">
        <f t="shared" si="75"/>
        <v>5.5910400000000006E-2</v>
      </c>
      <c r="AI61" s="387">
        <f t="shared" si="76"/>
        <v>7.964869369456358E-2</v>
      </c>
      <c r="AJ61" s="387">
        <f t="shared" si="77"/>
        <v>0</v>
      </c>
      <c r="AK61" s="387">
        <f t="shared" si="78"/>
        <v>0</v>
      </c>
      <c r="AL61" s="387">
        <f t="shared" si="79"/>
        <v>0</v>
      </c>
      <c r="AM61" s="387">
        <f t="shared" si="80"/>
        <v>0</v>
      </c>
      <c r="AN61" s="387">
        <f t="shared" si="81"/>
        <v>0</v>
      </c>
      <c r="AO61" s="387">
        <f t="shared" si="49"/>
        <v>3.3465991450778101</v>
      </c>
      <c r="AP61" s="387">
        <f t="shared" si="82"/>
        <v>2.1279479091887505E-2</v>
      </c>
      <c r="AQ61" s="387">
        <f t="shared" si="83"/>
        <v>0</v>
      </c>
      <c r="AR61" s="387">
        <f t="shared" si="84"/>
        <v>2.1370429413063493E-2</v>
      </c>
      <c r="AS61" s="387">
        <f t="shared" si="85"/>
        <v>2.1279479091887505E-2</v>
      </c>
      <c r="AT61" s="387">
        <f t="shared" si="86"/>
        <v>0</v>
      </c>
      <c r="AU61" s="387">
        <f t="shared" si="87"/>
        <v>0.13929605673984</v>
      </c>
      <c r="AV61" s="387">
        <f t="shared" si="88"/>
        <v>3.2794495682667124E-2</v>
      </c>
      <c r="AW61" s="387">
        <f t="shared" si="33"/>
        <v>0</v>
      </c>
      <c r="AX61" s="387">
        <f t="shared" si="89"/>
        <v>3.6000000000000004E-2</v>
      </c>
      <c r="AY61" s="387">
        <f t="shared" si="90"/>
        <v>5.9136000000000001E-2</v>
      </c>
      <c r="AZ61" s="387">
        <f t="shared" si="36"/>
        <v>7.3471999999999996E-2</v>
      </c>
      <c r="BA61" s="387">
        <f t="shared" si="57"/>
        <v>9.5135999999999998E-2</v>
      </c>
      <c r="BB61" s="387">
        <f t="shared" si="58"/>
        <v>0.88167492220759702</v>
      </c>
      <c r="BC61">
        <f t="shared" si="91"/>
        <v>37.44</v>
      </c>
      <c r="BD61" s="606">
        <f t="shared" si="51"/>
        <v>0.97699278739780082</v>
      </c>
      <c r="BE61" s="616">
        <f t="shared" si="92"/>
        <v>8.9090561702627991</v>
      </c>
      <c r="BF61" s="616">
        <f t="shared" si="93"/>
        <v>6.2808196209355387</v>
      </c>
      <c r="BG61" s="9"/>
      <c r="BH61" s="4">
        <f t="shared" si="52"/>
        <v>97.699278739780084</v>
      </c>
      <c r="BI61" s="387">
        <f t="shared" si="53"/>
        <v>0.4117284677042965</v>
      </c>
      <c r="BJ61" s="387">
        <f t="shared" si="54"/>
        <v>0.32656090580442865</v>
      </c>
      <c r="BK61" s="387">
        <f t="shared" si="94"/>
        <v>0.17818112340525596</v>
      </c>
      <c r="BL61" s="387">
        <f t="shared" si="95"/>
        <v>0.12561639241871078</v>
      </c>
      <c r="BM61" s="387">
        <f t="shared" si="55"/>
        <v>3.2794495682667124E-2</v>
      </c>
      <c r="BS61" s="18"/>
      <c r="BT61" s="19"/>
    </row>
    <row r="62" spans="1:74" ht="15.75" x14ac:dyDescent="0.3">
      <c r="A62" s="489" t="s">
        <v>682</v>
      </c>
      <c r="B62" s="74">
        <v>30</v>
      </c>
      <c r="C62" s="484" t="s">
        <v>241</v>
      </c>
      <c r="D62" s="76" t="s">
        <v>107</v>
      </c>
      <c r="G62">
        <v>53</v>
      </c>
      <c r="H62" s="612">
        <f t="shared" si="59"/>
        <v>19</v>
      </c>
      <c r="I62" s="4" t="str">
        <f t="shared" si="60"/>
        <v>BUCK</v>
      </c>
      <c r="J62">
        <f t="shared" si="43"/>
        <v>1</v>
      </c>
      <c r="K62" s="387">
        <f t="shared" si="96"/>
        <v>3.18</v>
      </c>
      <c r="L62" s="4">
        <f t="shared" si="61"/>
        <v>2.0921052631578951</v>
      </c>
      <c r="M62" s="4">
        <f t="shared" si="56"/>
        <v>3.18</v>
      </c>
      <c r="N62" s="387">
        <f t="shared" si="62"/>
        <v>0.63402717624401861</v>
      </c>
      <c r="O62" s="387">
        <f t="shared" si="63"/>
        <v>0</v>
      </c>
      <c r="P62" s="4">
        <f t="shared" si="64"/>
        <v>4.1931996757112415</v>
      </c>
      <c r="Q62" s="4">
        <f t="shared" si="65"/>
        <v>3.4025936617084827</v>
      </c>
      <c r="R62" s="387">
        <f t="shared" si="7"/>
        <v>6.9854059555751483E-2</v>
      </c>
      <c r="S62" s="387">
        <f t="shared" si="45"/>
        <v>0.34414466646840702</v>
      </c>
      <c r="T62" s="387">
        <f t="shared" si="46"/>
        <v>0.41399872602415849</v>
      </c>
      <c r="U62" s="4">
        <f t="shared" si="66"/>
        <v>1.2104724807688685</v>
      </c>
      <c r="V62" s="387">
        <f t="shared" si="9"/>
        <v>1.0256705386891172E-2</v>
      </c>
      <c r="W62" s="387">
        <f t="shared" si="47"/>
        <v>1.0256705386891172E-2</v>
      </c>
      <c r="X62" s="4">
        <f t="shared" si="67"/>
        <v>1.6390358161072363</v>
      </c>
      <c r="Y62" s="387">
        <f t="shared" si="11"/>
        <v>5.3728768129646283E-3</v>
      </c>
      <c r="Z62" s="605">
        <f t="shared" si="48"/>
        <v>5.3728768129646283E-3</v>
      </c>
      <c r="AA62" s="387">
        <f t="shared" si="68"/>
        <v>2.7093432222949092</v>
      </c>
      <c r="AB62" s="387">
        <f t="shared" si="69"/>
        <v>4.1841081968313563E-2</v>
      </c>
      <c r="AC62" s="387">
        <f t="shared" si="70"/>
        <v>4.5942085050215201E-2</v>
      </c>
      <c r="AD62" s="387">
        <f t="shared" si="71"/>
        <v>0</v>
      </c>
      <c r="AE62" s="387">
        <f t="shared" si="72"/>
        <v>8.8523954626869183E-2</v>
      </c>
      <c r="AF62" s="387">
        <f t="shared" si="73"/>
        <v>2.0584224373299516</v>
      </c>
      <c r="AG62" s="387">
        <f t="shared" si="74"/>
        <v>2.4151486703869258E-2</v>
      </c>
      <c r="AH62" s="387">
        <f t="shared" si="75"/>
        <v>5.6985600000000011E-2</v>
      </c>
      <c r="AI62" s="387">
        <f t="shared" si="76"/>
        <v>8.1530905218537258E-2</v>
      </c>
      <c r="AJ62" s="387">
        <f t="shared" si="77"/>
        <v>0</v>
      </c>
      <c r="AK62" s="387">
        <f t="shared" si="78"/>
        <v>0</v>
      </c>
      <c r="AL62" s="387">
        <f t="shared" si="79"/>
        <v>0</v>
      </c>
      <c r="AM62" s="387">
        <f t="shared" si="80"/>
        <v>0</v>
      </c>
      <c r="AN62" s="387">
        <f t="shared" si="81"/>
        <v>0</v>
      </c>
      <c r="AO62" s="387">
        <f t="shared" si="49"/>
        <v>3.4025936617084827</v>
      </c>
      <c r="AP62" s="387">
        <f t="shared" si="82"/>
        <v>2.1997522890727605E-2</v>
      </c>
      <c r="AQ62" s="387">
        <f t="shared" si="83"/>
        <v>0</v>
      </c>
      <c r="AR62" s="387">
        <f t="shared" si="84"/>
        <v>2.2094728751020604E-2</v>
      </c>
      <c r="AS62" s="387">
        <f t="shared" si="85"/>
        <v>2.1997522890727605E-2</v>
      </c>
      <c r="AT62" s="387">
        <f t="shared" si="86"/>
        <v>0</v>
      </c>
      <c r="AU62" s="387">
        <f t="shared" si="87"/>
        <v>0.14197226912064004</v>
      </c>
      <c r="AV62" s="387">
        <f t="shared" si="88"/>
        <v>3.389682344402703E-2</v>
      </c>
      <c r="AW62" s="387">
        <f t="shared" si="33"/>
        <v>0</v>
      </c>
      <c r="AX62" s="387">
        <f t="shared" si="89"/>
        <v>3.6000000000000004E-2</v>
      </c>
      <c r="AY62" s="387">
        <f t="shared" si="90"/>
        <v>5.9136000000000001E-2</v>
      </c>
      <c r="AZ62" s="387">
        <f t="shared" si="36"/>
        <v>7.3471999999999996E-2</v>
      </c>
      <c r="BA62" s="387">
        <f t="shared" si="57"/>
        <v>9.5135999999999998E-2</v>
      </c>
      <c r="BB62" s="387">
        <f t="shared" si="58"/>
        <v>0.89278298938510825</v>
      </c>
      <c r="BC62">
        <f t="shared" si="91"/>
        <v>38.160000000000004</v>
      </c>
      <c r="BD62" s="606">
        <f t="shared" si="51"/>
        <v>0.97713906868998868</v>
      </c>
      <c r="BE62" s="616">
        <f t="shared" si="92"/>
        <v>9.1112826123245814</v>
      </c>
      <c r="BF62" s="616">
        <f t="shared" si="93"/>
        <v>6.4190877014174239</v>
      </c>
      <c r="BG62" s="9"/>
      <c r="BH62" s="4">
        <f t="shared" si="52"/>
        <v>97.713906868998862</v>
      </c>
      <c r="BI62" s="387">
        <f t="shared" si="53"/>
        <v>0.41399872602415849</v>
      </c>
      <c r="BJ62" s="387">
        <f t="shared" si="54"/>
        <v>0.33412185771706709</v>
      </c>
      <c r="BK62" s="387">
        <f t="shared" si="94"/>
        <v>0.18222565224649162</v>
      </c>
      <c r="BL62" s="387">
        <f t="shared" si="95"/>
        <v>0.12838175402834848</v>
      </c>
      <c r="BM62" s="387">
        <f t="shared" si="55"/>
        <v>3.389682344402703E-2</v>
      </c>
      <c r="BS62" s="18"/>
      <c r="BT62" s="19"/>
    </row>
    <row r="63" spans="1:74" x14ac:dyDescent="0.2">
      <c r="A63" s="23" t="s">
        <v>122</v>
      </c>
      <c r="B63" s="74">
        <v>2</v>
      </c>
      <c r="C63" s="484" t="s">
        <v>241</v>
      </c>
      <c r="D63" s="21" t="s">
        <v>107</v>
      </c>
      <c r="G63">
        <v>54</v>
      </c>
      <c r="H63" s="612">
        <f t="shared" si="59"/>
        <v>19</v>
      </c>
      <c r="I63" s="4" t="str">
        <f t="shared" si="60"/>
        <v>BUCK</v>
      </c>
      <c r="J63">
        <f t="shared" si="43"/>
        <v>1</v>
      </c>
      <c r="K63" s="387">
        <f t="shared" si="96"/>
        <v>3.24</v>
      </c>
      <c r="L63" s="4">
        <f t="shared" si="61"/>
        <v>2.1315789473684212</v>
      </c>
      <c r="M63" s="4">
        <f t="shared" si="56"/>
        <v>3.24</v>
      </c>
      <c r="N63" s="387">
        <f t="shared" si="62"/>
        <v>0.63407330631054903</v>
      </c>
      <c r="O63" s="387">
        <f t="shared" si="63"/>
        <v>0</v>
      </c>
      <c r="P63" s="4">
        <f t="shared" si="64"/>
        <v>4.1930819654998315</v>
      </c>
      <c r="Q63" s="4">
        <f t="shared" si="65"/>
        <v>3.4587225046419467</v>
      </c>
      <c r="R63" s="387">
        <f t="shared" si="7"/>
        <v>7.2191098529172576E-2</v>
      </c>
      <c r="S63" s="387">
        <f t="shared" si="45"/>
        <v>0.34412240856951015</v>
      </c>
      <c r="T63" s="387">
        <f t="shared" si="46"/>
        <v>0.41631350709868276</v>
      </c>
      <c r="U63" s="4">
        <f t="shared" si="66"/>
        <v>1.2104385007577465</v>
      </c>
      <c r="V63" s="387">
        <f t="shared" si="9"/>
        <v>1.0256129548816627E-2</v>
      </c>
      <c r="W63" s="387">
        <f t="shared" si="47"/>
        <v>1.0256129548816627E-2</v>
      </c>
      <c r="X63" s="4">
        <f t="shared" si="67"/>
        <v>1.6660287849218964</v>
      </c>
      <c r="Y63" s="387">
        <f t="shared" si="11"/>
        <v>5.5513038243766612E-3</v>
      </c>
      <c r="Z63" s="605">
        <f t="shared" si="48"/>
        <v>5.5513038243766612E-3</v>
      </c>
      <c r="AA63" s="387">
        <f t="shared" si="68"/>
        <v>2.754136461896822</v>
      </c>
      <c r="AB63" s="387">
        <f t="shared" si="69"/>
        <v>4.3236025609272408E-2</v>
      </c>
      <c r="AC63" s="387">
        <f t="shared" si="70"/>
        <v>4.6808916843615489E-2</v>
      </c>
      <c r="AD63" s="387">
        <f t="shared" si="71"/>
        <v>0</v>
      </c>
      <c r="AE63" s="387">
        <f t="shared" si="72"/>
        <v>9.083037130485519E-2</v>
      </c>
      <c r="AF63" s="387">
        <f t="shared" si="73"/>
        <v>2.0922460929267177</v>
      </c>
      <c r="AG63" s="387">
        <f t="shared" si="74"/>
        <v>2.4951714166192556E-2</v>
      </c>
      <c r="AH63" s="387">
        <f t="shared" si="75"/>
        <v>5.806080000000001E-2</v>
      </c>
      <c r="AI63" s="387">
        <f t="shared" si="76"/>
        <v>8.3428852743566734E-2</v>
      </c>
      <c r="AJ63" s="387">
        <f t="shared" si="77"/>
        <v>0</v>
      </c>
      <c r="AK63" s="387">
        <f t="shared" si="78"/>
        <v>0</v>
      </c>
      <c r="AL63" s="387">
        <f t="shared" si="79"/>
        <v>0</v>
      </c>
      <c r="AM63" s="387">
        <f t="shared" si="80"/>
        <v>0</v>
      </c>
      <c r="AN63" s="387">
        <f t="shared" si="81"/>
        <v>0</v>
      </c>
      <c r="AO63" s="387">
        <f t="shared" si="49"/>
        <v>3.4587225046419467</v>
      </c>
      <c r="AP63" s="387">
        <f t="shared" si="82"/>
        <v>2.2729246591821656E-2</v>
      </c>
      <c r="AQ63" s="387">
        <f t="shared" si="83"/>
        <v>0</v>
      </c>
      <c r="AR63" s="387">
        <f t="shared" si="84"/>
        <v>2.2833042160965263E-2</v>
      </c>
      <c r="AS63" s="387">
        <f t="shared" si="85"/>
        <v>2.2729246591821656E-2</v>
      </c>
      <c r="AT63" s="387">
        <f t="shared" si="86"/>
        <v>0</v>
      </c>
      <c r="AU63" s="387">
        <f t="shared" si="87"/>
        <v>0.14464838497536003</v>
      </c>
      <c r="AV63" s="387">
        <f t="shared" si="88"/>
        <v>3.501994970693692E-2</v>
      </c>
      <c r="AW63" s="387">
        <f t="shared" si="33"/>
        <v>0</v>
      </c>
      <c r="AX63" s="387">
        <f t="shared" si="89"/>
        <v>3.6000000000000004E-2</v>
      </c>
      <c r="AY63" s="387">
        <f t="shared" si="90"/>
        <v>5.9136000000000001E-2</v>
      </c>
      <c r="AZ63" s="387">
        <f t="shared" si="36"/>
        <v>7.3471999999999996E-2</v>
      </c>
      <c r="BA63" s="387">
        <f t="shared" si="57"/>
        <v>9.5135999999999998E-2</v>
      </c>
      <c r="BB63" s="387">
        <f t="shared" si="58"/>
        <v>0.90401754136356016</v>
      </c>
      <c r="BC63">
        <f t="shared" si="91"/>
        <v>38.880000000000003</v>
      </c>
      <c r="BD63" s="606">
        <f t="shared" si="51"/>
        <v>0.97727686650993328</v>
      </c>
      <c r="BE63" s="616">
        <f t="shared" si="92"/>
        <v>9.3149152694296404</v>
      </c>
      <c r="BF63" s="616">
        <f t="shared" si="93"/>
        <v>6.5581409892717772</v>
      </c>
      <c r="BG63" s="9"/>
      <c r="BH63" s="4">
        <f t="shared" si="52"/>
        <v>97.727686650993334</v>
      </c>
      <c r="BI63" s="387">
        <f t="shared" si="53"/>
        <v>0.41631350709868276</v>
      </c>
      <c r="BJ63" s="387">
        <f t="shared" si="54"/>
        <v>0.34174065118474722</v>
      </c>
      <c r="BK63" s="387">
        <f t="shared" si="94"/>
        <v>0.18629830538859282</v>
      </c>
      <c r="BL63" s="387">
        <f t="shared" si="95"/>
        <v>0.13116281978543554</v>
      </c>
      <c r="BM63" s="387">
        <f t="shared" si="55"/>
        <v>3.501994970693692E-2</v>
      </c>
      <c r="BS63" s="18"/>
      <c r="BT63" s="19"/>
    </row>
    <row r="64" spans="1:74" x14ac:dyDescent="0.2">
      <c r="A64" s="75"/>
      <c r="B64" s="30"/>
      <c r="G64">
        <v>55</v>
      </c>
      <c r="H64" s="612">
        <f t="shared" si="59"/>
        <v>19</v>
      </c>
      <c r="I64" s="4" t="str">
        <f t="shared" si="60"/>
        <v>BUCK</v>
      </c>
      <c r="J64">
        <f t="shared" si="43"/>
        <v>1</v>
      </c>
      <c r="K64" s="387">
        <f t="shared" si="96"/>
        <v>3.3</v>
      </c>
      <c r="L64" s="4">
        <f t="shared" si="61"/>
        <v>2.1710526315789473</v>
      </c>
      <c r="M64" s="4">
        <f t="shared" si="56"/>
        <v>3.3</v>
      </c>
      <c r="N64" s="387">
        <f t="shared" si="62"/>
        <v>0.63411943404953119</v>
      </c>
      <c r="O64" s="387">
        <f t="shared" si="63"/>
        <v>0</v>
      </c>
      <c r="P64" s="4">
        <f t="shared" si="64"/>
        <v>4.192964178379623</v>
      </c>
      <c r="Q64" s="4">
        <f t="shared" si="65"/>
        <v>3.5149792389284311</v>
      </c>
      <c r="R64" s="387">
        <f t="shared" si="7"/>
        <v>7.4572723207890337E-2</v>
      </c>
      <c r="S64" s="387">
        <f t="shared" si="45"/>
        <v>0.34410013694344704</v>
      </c>
      <c r="T64" s="387">
        <f t="shared" si="46"/>
        <v>0.41867286015133737</v>
      </c>
      <c r="U64" s="4">
        <f t="shared" si="66"/>
        <v>1.2104044985449667</v>
      </c>
      <c r="V64" s="387">
        <f t="shared" si="9"/>
        <v>1.0255553350685247E-2</v>
      </c>
      <c r="W64" s="387">
        <f t="shared" si="47"/>
        <v>1.0255553350685247E-2</v>
      </c>
      <c r="X64" s="4">
        <f t="shared" si="67"/>
        <v>1.6930819004032145</v>
      </c>
      <c r="Y64" s="387">
        <f t="shared" si="11"/>
        <v>5.7330526429459202E-3</v>
      </c>
      <c r="Z64" s="605">
        <f t="shared" si="48"/>
        <v>5.7330526429459202E-3</v>
      </c>
      <c r="AA64" s="387">
        <f t="shared" si="68"/>
        <v>2.7990347862942495</v>
      </c>
      <c r="AB64" s="387">
        <f t="shared" si="69"/>
        <v>4.4657195688846185E-2</v>
      </c>
      <c r="AC64" s="387">
        <f t="shared" si="70"/>
        <v>4.767574863701577E-2</v>
      </c>
      <c r="AD64" s="387">
        <f t="shared" si="71"/>
        <v>0</v>
      </c>
      <c r="AE64" s="387">
        <f t="shared" si="72"/>
        <v>9.3165042230309664E-2</v>
      </c>
      <c r="AF64" s="387">
        <f t="shared" si="73"/>
        <v>2.1261428256851884</v>
      </c>
      <c r="AG64" s="387">
        <f t="shared" si="74"/>
        <v>2.5766754896711808E-2</v>
      </c>
      <c r="AH64" s="387">
        <f t="shared" si="75"/>
        <v>5.9136000000000001E-2</v>
      </c>
      <c r="AI64" s="387">
        <f t="shared" si="76"/>
        <v>8.534255503628764E-2</v>
      </c>
      <c r="AJ64" s="387">
        <f t="shared" si="77"/>
        <v>0</v>
      </c>
      <c r="AK64" s="387">
        <f t="shared" si="78"/>
        <v>0</v>
      </c>
      <c r="AL64" s="387">
        <f t="shared" si="79"/>
        <v>0</v>
      </c>
      <c r="AM64" s="387">
        <f t="shared" si="80"/>
        <v>0</v>
      </c>
      <c r="AN64" s="387">
        <f t="shared" si="81"/>
        <v>0</v>
      </c>
      <c r="AO64" s="387">
        <f t="shared" si="49"/>
        <v>3.5149792389284311</v>
      </c>
      <c r="AP64" s="387">
        <f t="shared" si="82"/>
        <v>2.3474650195185996E-2</v>
      </c>
      <c r="AQ64" s="387">
        <f t="shared" si="83"/>
        <v>0</v>
      </c>
      <c r="AR64" s="387">
        <f t="shared" si="84"/>
        <v>2.3585381913212501E-2</v>
      </c>
      <c r="AS64" s="387">
        <f t="shared" si="85"/>
        <v>2.3474650195185996E-2</v>
      </c>
      <c r="AT64" s="387">
        <f t="shared" si="86"/>
        <v>0</v>
      </c>
      <c r="AU64" s="387">
        <f t="shared" si="87"/>
        <v>0.14732440430399998</v>
      </c>
      <c r="AV64" s="387">
        <f t="shared" si="88"/>
        <v>3.6163866521700783E-2</v>
      </c>
      <c r="AW64" s="387">
        <f t="shared" si="33"/>
        <v>0</v>
      </c>
      <c r="AX64" s="387">
        <f t="shared" si="89"/>
        <v>3.6000000000000004E-2</v>
      </c>
      <c r="AY64" s="387">
        <f t="shared" si="90"/>
        <v>5.9136000000000001E-2</v>
      </c>
      <c r="AZ64" s="387">
        <f t="shared" si="36"/>
        <v>7.3471999999999996E-2</v>
      </c>
      <c r="BA64" s="387">
        <f t="shared" si="57"/>
        <v>9.5135999999999998E-2</v>
      </c>
      <c r="BB64" s="387">
        <f t="shared" si="58"/>
        <v>0.91537871615047905</v>
      </c>
      <c r="BC64">
        <f t="shared" si="91"/>
        <v>39.599999999999994</v>
      </c>
      <c r="BD64" s="606">
        <f t="shared" si="51"/>
        <v>0.97740663557500984</v>
      </c>
      <c r="BE64" s="616">
        <f t="shared" si="92"/>
        <v>9.519957453547482</v>
      </c>
      <c r="BF64" s="616">
        <f t="shared" si="93"/>
        <v>6.6979804228303825</v>
      </c>
      <c r="BG64" s="9"/>
      <c r="BH64" s="4">
        <f t="shared" si="52"/>
        <v>97.74066355750098</v>
      </c>
      <c r="BI64" s="387">
        <f t="shared" si="53"/>
        <v>0.41867286015133737</v>
      </c>
      <c r="BJ64" s="387">
        <f t="shared" si="54"/>
        <v>0.3494173834838098</v>
      </c>
      <c r="BK64" s="387">
        <f t="shared" si="94"/>
        <v>0.19039914907094965</v>
      </c>
      <c r="BL64" s="387">
        <f t="shared" si="95"/>
        <v>0.13395960845660765</v>
      </c>
      <c r="BM64" s="387">
        <f t="shared" si="55"/>
        <v>3.6163866521700783E-2</v>
      </c>
      <c r="BS64" s="18"/>
      <c r="BT64" s="19"/>
    </row>
    <row r="65" spans="1:72" x14ac:dyDescent="0.2">
      <c r="G65">
        <v>56</v>
      </c>
      <c r="H65" s="612">
        <f t="shared" si="59"/>
        <v>19</v>
      </c>
      <c r="I65" s="4" t="str">
        <f t="shared" si="60"/>
        <v>BUCK</v>
      </c>
      <c r="J65">
        <f t="shared" si="43"/>
        <v>1</v>
      </c>
      <c r="K65" s="387">
        <f t="shared" si="96"/>
        <v>3.36</v>
      </c>
      <c r="L65" s="4">
        <f t="shared" si="61"/>
        <v>2.2105263157894739</v>
      </c>
      <c r="M65" s="4">
        <f t="shared" si="56"/>
        <v>3.36</v>
      </c>
      <c r="N65" s="387">
        <f t="shared" si="62"/>
        <v>0.63416555946114128</v>
      </c>
      <c r="O65" s="387">
        <f t="shared" si="63"/>
        <v>0</v>
      </c>
      <c r="P65" s="4">
        <f t="shared" si="64"/>
        <v>4.1928463143564345</v>
      </c>
      <c r="Q65" s="4">
        <f t="shared" si="65"/>
        <v>3.5713578208646397</v>
      </c>
      <c r="R65" s="387">
        <f t="shared" si="7"/>
        <v>7.6998983779861419E-2</v>
      </c>
      <c r="S65" s="387">
        <f t="shared" si="45"/>
        <v>0.3440778515929101</v>
      </c>
      <c r="T65" s="387">
        <f t="shared" si="46"/>
        <v>0.42107683537277152</v>
      </c>
      <c r="U65" s="4">
        <f t="shared" si="66"/>
        <v>1.210370474132209</v>
      </c>
      <c r="V65" s="387">
        <f t="shared" si="9"/>
        <v>1.0254976792557199E-2</v>
      </c>
      <c r="W65" s="387">
        <f t="shared" si="47"/>
        <v>1.0254976792557199E-2</v>
      </c>
      <c r="X65" s="4">
        <f t="shared" si="67"/>
        <v>1.720192245900781</v>
      </c>
      <c r="Y65" s="387">
        <f t="shared" si="11"/>
        <v>5.9181227257143459E-3</v>
      </c>
      <c r="Z65" s="605">
        <f t="shared" si="48"/>
        <v>5.9181227257143459E-3</v>
      </c>
      <c r="AA65" s="387">
        <f t="shared" si="68"/>
        <v>2.8440333933030635</v>
      </c>
      <c r="AB65" s="387">
        <f t="shared" si="69"/>
        <v>4.6104597870670748E-2</v>
      </c>
      <c r="AC65" s="387">
        <f t="shared" si="70"/>
        <v>4.8542580430416059E-2</v>
      </c>
      <c r="AD65" s="387">
        <f t="shared" si="71"/>
        <v>0</v>
      </c>
      <c r="AE65" s="387">
        <f t="shared" si="72"/>
        <v>9.5528034625443126E-2</v>
      </c>
      <c r="AF65" s="387">
        <f t="shared" si="73"/>
        <v>2.1601089654061649</v>
      </c>
      <c r="AG65" s="387">
        <f t="shared" si="74"/>
        <v>2.6596603231840123E-2</v>
      </c>
      <c r="AH65" s="387">
        <f t="shared" si="75"/>
        <v>6.0211200000000006E-2</v>
      </c>
      <c r="AI65" s="387">
        <f t="shared" si="76"/>
        <v>8.7272031148981383E-2</v>
      </c>
      <c r="AJ65" s="387">
        <f t="shared" si="77"/>
        <v>0</v>
      </c>
      <c r="AK65" s="387">
        <f t="shared" si="78"/>
        <v>0</v>
      </c>
      <c r="AL65" s="387">
        <f t="shared" si="79"/>
        <v>0</v>
      </c>
      <c r="AM65" s="387">
        <f t="shared" si="80"/>
        <v>0</v>
      </c>
      <c r="AN65" s="387">
        <f t="shared" si="81"/>
        <v>0</v>
      </c>
      <c r="AO65" s="387">
        <f t="shared" si="49"/>
        <v>3.5713578208646397</v>
      </c>
      <c r="AP65" s="387">
        <f t="shared" si="82"/>
        <v>2.4233733700836955E-2</v>
      </c>
      <c r="AQ65" s="387">
        <f t="shared" si="83"/>
        <v>0</v>
      </c>
      <c r="AR65" s="387">
        <f t="shared" si="84"/>
        <v>2.4351760516738794E-2</v>
      </c>
      <c r="AS65" s="387">
        <f t="shared" si="85"/>
        <v>2.4233733700836955E-2</v>
      </c>
      <c r="AT65" s="387">
        <f t="shared" si="86"/>
        <v>0</v>
      </c>
      <c r="AU65" s="387">
        <f t="shared" si="87"/>
        <v>0.15000032710655997</v>
      </c>
      <c r="AV65" s="387">
        <f t="shared" si="88"/>
        <v>3.7328565939424733E-2</v>
      </c>
      <c r="AW65" s="387">
        <f t="shared" si="33"/>
        <v>0</v>
      </c>
      <c r="AX65" s="387">
        <f t="shared" si="89"/>
        <v>3.6000000000000004E-2</v>
      </c>
      <c r="AY65" s="387">
        <f t="shared" si="90"/>
        <v>5.9136000000000001E-2</v>
      </c>
      <c r="AZ65" s="387">
        <f t="shared" si="36"/>
        <v>7.3471999999999996E-2</v>
      </c>
      <c r="BA65" s="387">
        <f t="shared" si="57"/>
        <v>9.5135999999999998E-2</v>
      </c>
      <c r="BB65" s="387">
        <f t="shared" si="58"/>
        <v>0.92686665422819114</v>
      </c>
      <c r="BC65">
        <f t="shared" si="91"/>
        <v>40.32</v>
      </c>
      <c r="BD65" s="606">
        <f t="shared" si="51"/>
        <v>0.97752879844187679</v>
      </c>
      <c r="BE65" s="616">
        <f t="shared" si="92"/>
        <v>9.7264125257886356</v>
      </c>
      <c r="BF65" s="616">
        <f t="shared" si="93"/>
        <v>6.8386069547073092</v>
      </c>
      <c r="BG65" s="9"/>
      <c r="BH65" s="4">
        <f t="shared" si="52"/>
        <v>97.752879844187675</v>
      </c>
      <c r="BI65" s="387">
        <f t="shared" si="53"/>
        <v>0.42107683537277152</v>
      </c>
      <c r="BJ65" s="387">
        <f t="shared" si="54"/>
        <v>0.35715215339772327</v>
      </c>
      <c r="BK65" s="387">
        <f t="shared" si="94"/>
        <v>0.19452825051577272</v>
      </c>
      <c r="BL65" s="387">
        <f t="shared" si="95"/>
        <v>0.13677213909414618</v>
      </c>
      <c r="BM65" s="387">
        <f t="shared" si="55"/>
        <v>3.7328565939424733E-2</v>
      </c>
      <c r="BS65" s="18"/>
      <c r="BT65" s="19"/>
    </row>
    <row r="66" spans="1:72" x14ac:dyDescent="0.2">
      <c r="A66" s="11" t="s">
        <v>81</v>
      </c>
      <c r="B66" s="31"/>
      <c r="C66" s="31"/>
      <c r="G66">
        <v>57</v>
      </c>
      <c r="H66" s="612">
        <f t="shared" si="59"/>
        <v>19</v>
      </c>
      <c r="I66" s="4" t="str">
        <f t="shared" si="60"/>
        <v>BUCK</v>
      </c>
      <c r="J66">
        <f t="shared" si="43"/>
        <v>1</v>
      </c>
      <c r="K66" s="387">
        <f t="shared" si="96"/>
        <v>3.42</v>
      </c>
      <c r="L66" s="4">
        <f t="shared" si="61"/>
        <v>2.25</v>
      </c>
      <c r="M66" s="4">
        <f t="shared" si="56"/>
        <v>3.42</v>
      </c>
      <c r="N66" s="387">
        <f t="shared" si="62"/>
        <v>0.63421168254555538</v>
      </c>
      <c r="O66" s="387">
        <f t="shared" si="63"/>
        <v>0</v>
      </c>
      <c r="P66" s="4">
        <f t="shared" si="64"/>
        <v>4.1927283734360854</v>
      </c>
      <c r="Q66" s="4">
        <f t="shared" si="65"/>
        <v>3.6278525697421422</v>
      </c>
      <c r="R66" s="387">
        <f t="shared" si="7"/>
        <v>7.9469931402883665E-2</v>
      </c>
      <c r="S66" s="387">
        <f t="shared" si="45"/>
        <v>0.34405555252059045</v>
      </c>
      <c r="T66" s="387">
        <f t="shared" si="46"/>
        <v>0.42352548392347411</v>
      </c>
      <c r="U66" s="4">
        <f t="shared" si="66"/>
        <v>1.210336427521153</v>
      </c>
      <c r="V66" s="387">
        <f t="shared" si="9"/>
        <v>1.025439987449267E-2</v>
      </c>
      <c r="W66" s="387">
        <f t="shared" si="47"/>
        <v>1.025439987449267E-2</v>
      </c>
      <c r="X66" s="4">
        <f t="shared" si="67"/>
        <v>1.7473570799084028</v>
      </c>
      <c r="Y66" s="387">
        <f t="shared" si="11"/>
        <v>6.1065135294120412E-3</v>
      </c>
      <c r="Z66" s="605">
        <f t="shared" si="48"/>
        <v>6.1065135294120412E-3</v>
      </c>
      <c r="AA66" s="387">
        <f t="shared" si="68"/>
        <v>2.8891277691169246</v>
      </c>
      <c r="AB66" s="387">
        <f t="shared" si="69"/>
        <v>4.7578237817810461E-2</v>
      </c>
      <c r="AC66" s="387">
        <f t="shared" si="70"/>
        <v>4.9409412223816347E-2</v>
      </c>
      <c r="AD66" s="387">
        <f t="shared" si="71"/>
        <v>0</v>
      </c>
      <c r="AE66" s="387">
        <f t="shared" si="72"/>
        <v>9.791941670057909E-2</v>
      </c>
      <c r="AF66" s="387">
        <f t="shared" si="73"/>
        <v>2.1941410623526756</v>
      </c>
      <c r="AG66" s="387">
        <f t="shared" si="74"/>
        <v>2.7441253508562129E-2</v>
      </c>
      <c r="AH66" s="387">
        <f t="shared" si="75"/>
        <v>6.1286400000000005E-2</v>
      </c>
      <c r="AI66" s="387">
        <f t="shared" si="76"/>
        <v>8.9217300420198167E-2</v>
      </c>
      <c r="AJ66" s="387">
        <f t="shared" si="77"/>
        <v>0</v>
      </c>
      <c r="AK66" s="387">
        <f t="shared" si="78"/>
        <v>0</v>
      </c>
      <c r="AL66" s="387">
        <f t="shared" si="79"/>
        <v>0</v>
      </c>
      <c r="AM66" s="387">
        <f t="shared" si="80"/>
        <v>0</v>
      </c>
      <c r="AN66" s="387">
        <f t="shared" si="81"/>
        <v>0</v>
      </c>
      <c r="AO66" s="387">
        <f t="shared" si="49"/>
        <v>3.6278525697421422</v>
      </c>
      <c r="AP66" s="387">
        <f t="shared" si="82"/>
        <v>2.5006497108790864E-2</v>
      </c>
      <c r="AQ66" s="387">
        <f t="shared" si="83"/>
        <v>0</v>
      </c>
      <c r="AR66" s="387">
        <f t="shared" si="84"/>
        <v>2.513219071970484E-2</v>
      </c>
      <c r="AS66" s="387">
        <f t="shared" si="85"/>
        <v>2.5006497108790864E-2</v>
      </c>
      <c r="AT66" s="387">
        <f t="shared" si="86"/>
        <v>0</v>
      </c>
      <c r="AU66" s="387">
        <f t="shared" si="87"/>
        <v>0.15267615338303994</v>
      </c>
      <c r="AV66" s="387">
        <f t="shared" si="88"/>
        <v>3.8514040012017019E-2</v>
      </c>
      <c r="AW66" s="387">
        <f t="shared" si="33"/>
        <v>0</v>
      </c>
      <c r="AX66" s="387">
        <f t="shared" si="89"/>
        <v>3.6000000000000004E-2</v>
      </c>
      <c r="AY66" s="387">
        <f t="shared" si="90"/>
        <v>5.9136000000000001E-2</v>
      </c>
      <c r="AZ66" s="387">
        <f t="shared" si="36"/>
        <v>7.3471999999999996E-2</v>
      </c>
      <c r="BA66" s="387">
        <f t="shared" si="57"/>
        <v>9.5135999999999998E-2</v>
      </c>
      <c r="BB66" s="387">
        <f t="shared" si="58"/>
        <v>0.93848149856291785</v>
      </c>
      <c r="BC66">
        <f t="shared" si="91"/>
        <v>41.04</v>
      </c>
      <c r="BD66" s="606">
        <f t="shared" si="51"/>
        <v>0.97764374829530121</v>
      </c>
      <c r="BE66" s="616">
        <f t="shared" si="92"/>
        <v>9.9342838966692728</v>
      </c>
      <c r="BF66" s="616">
        <f t="shared" si="93"/>
        <v>6.9800215518300677</v>
      </c>
      <c r="BG66" s="9"/>
      <c r="BH66" s="4">
        <f t="shared" si="52"/>
        <v>97.764374829530126</v>
      </c>
      <c r="BI66" s="387">
        <f t="shared" si="53"/>
        <v>0.42352548392347411</v>
      </c>
      <c r="BJ66" s="387">
        <f t="shared" si="54"/>
        <v>0.36494506122352205</v>
      </c>
      <c r="BK66" s="387">
        <f t="shared" si="94"/>
        <v>0.19868567793338546</v>
      </c>
      <c r="BL66" s="387">
        <f t="shared" si="95"/>
        <v>0.13960043103660136</v>
      </c>
      <c r="BM66" s="387">
        <f t="shared" si="55"/>
        <v>3.8514040012017019E-2</v>
      </c>
      <c r="BS66" s="18"/>
      <c r="BT66" s="19"/>
    </row>
    <row r="67" spans="1:72" x14ac:dyDescent="0.2">
      <c r="A67" s="14" t="s">
        <v>59</v>
      </c>
      <c r="B67" s="15" t="s">
        <v>8</v>
      </c>
      <c r="C67" s="15" t="s">
        <v>80</v>
      </c>
      <c r="G67">
        <v>58</v>
      </c>
      <c r="H67" s="612">
        <f t="shared" si="59"/>
        <v>19</v>
      </c>
      <c r="I67" s="4" t="str">
        <f t="shared" si="60"/>
        <v>BUCK</v>
      </c>
      <c r="J67">
        <f t="shared" si="43"/>
        <v>1</v>
      </c>
      <c r="K67" s="387">
        <f t="shared" si="96"/>
        <v>3.48</v>
      </c>
      <c r="L67" s="4">
        <f t="shared" si="61"/>
        <v>2.2894736842105265</v>
      </c>
      <c r="M67" s="4">
        <f t="shared" si="56"/>
        <v>3.48</v>
      </c>
      <c r="N67" s="387">
        <f t="shared" si="62"/>
        <v>0.63425780330294967</v>
      </c>
      <c r="O67" s="387">
        <f t="shared" si="63"/>
        <v>0</v>
      </c>
      <c r="P67" s="4">
        <f t="shared" si="64"/>
        <v>4.1926103556243968</v>
      </c>
      <c r="Q67" s="4">
        <f t="shared" si="65"/>
        <v>3.6844581419127849</v>
      </c>
      <c r="R67" s="387">
        <f t="shared" si="7"/>
        <v>8.1985618207311747E-2</v>
      </c>
      <c r="S67" s="387">
        <f t="shared" si="45"/>
        <v>0.34403323972918198</v>
      </c>
      <c r="T67" s="387">
        <f t="shared" si="46"/>
        <v>0.42601885793649374</v>
      </c>
      <c r="U67" s="4">
        <f t="shared" si="66"/>
        <v>1.2103023587134791</v>
      </c>
      <c r="V67" s="387">
        <f t="shared" si="9"/>
        <v>1.0253822596551878E-2</v>
      </c>
      <c r="W67" s="387">
        <f t="shared" si="47"/>
        <v>1.0253822596551878E-2</v>
      </c>
      <c r="X67" s="4">
        <f t="shared" si="67"/>
        <v>1.7745738235499484</v>
      </c>
      <c r="Y67" s="387">
        <f t="shared" si="11"/>
        <v>6.2982245104573672E-3</v>
      </c>
      <c r="Z67" s="605">
        <f t="shared" si="48"/>
        <v>6.2982245104573672E-3</v>
      </c>
      <c r="AA67" s="387">
        <f t="shared" si="68"/>
        <v>2.934313667705605</v>
      </c>
      <c r="AB67" s="387">
        <f t="shared" si="69"/>
        <v>4.9078121192758346E-2</v>
      </c>
      <c r="AC67" s="387">
        <f t="shared" si="70"/>
        <v>5.0276244017216642E-2</v>
      </c>
      <c r="AD67" s="387">
        <f t="shared" si="71"/>
        <v>0</v>
      </c>
      <c r="AE67" s="387">
        <f t="shared" si="72"/>
        <v>0.1003392576595362</v>
      </c>
      <c r="AF67" s="387">
        <f t="shared" si="73"/>
        <v>2.2282358714964383</v>
      </c>
      <c r="AG67" s="387">
        <f t="shared" si="74"/>
        <v>2.8300700064433904E-2</v>
      </c>
      <c r="AH67" s="387">
        <f t="shared" si="75"/>
        <v>6.2361600000000003E-2</v>
      </c>
      <c r="AI67" s="387">
        <f t="shared" si="76"/>
        <v>9.1178382475393172E-2</v>
      </c>
      <c r="AJ67" s="387">
        <f t="shared" si="77"/>
        <v>0</v>
      </c>
      <c r="AK67" s="387">
        <f t="shared" si="78"/>
        <v>0</v>
      </c>
      <c r="AL67" s="387">
        <f t="shared" si="79"/>
        <v>0</v>
      </c>
      <c r="AM67" s="387">
        <f t="shared" si="80"/>
        <v>0</v>
      </c>
      <c r="AN67" s="387">
        <f t="shared" si="81"/>
        <v>0</v>
      </c>
      <c r="AO67" s="387">
        <f t="shared" si="49"/>
        <v>3.6844581419127849</v>
      </c>
      <c r="AP67" s="387">
        <f t="shared" si="82"/>
        <v>2.5792940419064082E-2</v>
      </c>
      <c r="AQ67" s="387">
        <f t="shared" si="83"/>
        <v>0</v>
      </c>
      <c r="AR67" s="387">
        <f t="shared" si="84"/>
        <v>2.5926685509988674E-2</v>
      </c>
      <c r="AS67" s="387">
        <f t="shared" si="85"/>
        <v>2.5792940419064082E-2</v>
      </c>
      <c r="AT67" s="387">
        <f t="shared" si="86"/>
        <v>0</v>
      </c>
      <c r="AU67" s="387">
        <f t="shared" si="87"/>
        <v>0.15535188313343995</v>
      </c>
      <c r="AV67" s="387">
        <f t="shared" si="88"/>
        <v>3.9720280792187937E-2</v>
      </c>
      <c r="AW67" s="387">
        <f t="shared" si="33"/>
        <v>0</v>
      </c>
      <c r="AX67" s="387">
        <f t="shared" si="89"/>
        <v>3.6000000000000004E-2</v>
      </c>
      <c r="AY67" s="387">
        <f t="shared" si="90"/>
        <v>5.9136000000000001E-2</v>
      </c>
      <c r="AZ67" s="387">
        <f t="shared" si="36"/>
        <v>7.3471999999999996E-2</v>
      </c>
      <c r="BA67" s="387">
        <f t="shared" si="57"/>
        <v>9.5135999999999998E-2</v>
      </c>
      <c r="BB67" s="387">
        <f t="shared" si="58"/>
        <v>0.95022339461404892</v>
      </c>
      <c r="BC67">
        <f t="shared" si="91"/>
        <v>41.76</v>
      </c>
      <c r="BD67" s="606">
        <f t="shared" si="51"/>
        <v>0.9777518514517094</v>
      </c>
      <c r="BE67" s="616">
        <f t="shared" si="92"/>
        <v>10.143575026380329</v>
      </c>
      <c r="BF67" s="616">
        <f t="shared" si="93"/>
        <v>7.122225195471418</v>
      </c>
      <c r="BG67" s="9"/>
      <c r="BH67" s="4">
        <f t="shared" si="52"/>
        <v>97.775185145170937</v>
      </c>
      <c r="BI67" s="387">
        <f t="shared" si="53"/>
        <v>0.42601885793649374</v>
      </c>
      <c r="BJ67" s="387">
        <f t="shared" si="54"/>
        <v>0.37279620877835801</v>
      </c>
      <c r="BK67" s="387">
        <f t="shared" si="94"/>
        <v>0.20287150052760658</v>
      </c>
      <c r="BL67" s="387">
        <f t="shared" si="95"/>
        <v>0.14244450390942837</v>
      </c>
      <c r="BM67" s="387">
        <f t="shared" si="55"/>
        <v>3.9720280792187937E-2</v>
      </c>
      <c r="BS67" s="18"/>
      <c r="BT67" s="19"/>
    </row>
    <row r="68" spans="1:72" x14ac:dyDescent="0.2">
      <c r="A68" s="32" t="s">
        <v>244</v>
      </c>
      <c r="B68" s="492" t="e">
        <f>#REF!</f>
        <v>#REF!</v>
      </c>
      <c r="C68" s="21" t="s">
        <v>19</v>
      </c>
      <c r="G68">
        <v>59</v>
      </c>
      <c r="H68" s="612">
        <f t="shared" si="59"/>
        <v>19</v>
      </c>
      <c r="I68" s="4" t="str">
        <f t="shared" si="60"/>
        <v>BUCK</v>
      </c>
      <c r="J68">
        <f t="shared" si="43"/>
        <v>1</v>
      </c>
      <c r="K68" s="387">
        <f t="shared" si="96"/>
        <v>3.54</v>
      </c>
      <c r="L68" s="4">
        <f t="shared" si="61"/>
        <v>2.3289473684210531</v>
      </c>
      <c r="M68" s="4">
        <f t="shared" si="56"/>
        <v>3.54</v>
      </c>
      <c r="N68" s="387">
        <f t="shared" si="62"/>
        <v>0.63430392173350036</v>
      </c>
      <c r="O68" s="387">
        <f t="shared" si="63"/>
        <v>0</v>
      </c>
      <c r="P68" s="4">
        <f t="shared" si="64"/>
        <v>4.1924922609271889</v>
      </c>
      <c r="Q68" s="4">
        <f t="shared" si="65"/>
        <v>3.7411695069627444</v>
      </c>
      <c r="R68" s="387">
        <f t="shared" si="7"/>
        <v>8.4546097298826728E-2</v>
      </c>
      <c r="S68" s="387">
        <f t="shared" si="45"/>
        <v>0.34401091322137883</v>
      </c>
      <c r="T68" s="387">
        <f t="shared" si="46"/>
        <v>0.42855701052020556</v>
      </c>
      <c r="U68" s="4">
        <f t="shared" si="66"/>
        <v>1.2102682677108676</v>
      </c>
      <c r="V68" s="387">
        <f t="shared" si="9"/>
        <v>1.025324495879505E-2</v>
      </c>
      <c r="W68" s="387">
        <f t="shared" si="47"/>
        <v>1.025324495879505E-2</v>
      </c>
      <c r="X68" s="4">
        <f t="shared" si="67"/>
        <v>1.801840049082746</v>
      </c>
      <c r="Y68" s="387">
        <f t="shared" si="11"/>
        <v>6.4932551249570246E-3</v>
      </c>
      <c r="Z68" s="605">
        <f t="shared" si="48"/>
        <v>6.4932551249570246E-3</v>
      </c>
      <c r="AA68" s="387">
        <f t="shared" si="68"/>
        <v>2.979587091888181</v>
      </c>
      <c r="AB68" s="387">
        <f t="shared" si="69"/>
        <v>5.060425365743601E-2</v>
      </c>
      <c r="AC68" s="387">
        <f t="shared" si="70"/>
        <v>5.1143075810616924E-2</v>
      </c>
      <c r="AD68" s="387">
        <f t="shared" si="71"/>
        <v>0</v>
      </c>
      <c r="AE68" s="387">
        <f t="shared" si="72"/>
        <v>0.10278762770509992</v>
      </c>
      <c r="AF68" s="387">
        <f t="shared" si="73"/>
        <v>2.262390338045404</v>
      </c>
      <c r="AG68" s="387">
        <f t="shared" si="74"/>
        <v>2.9174937237582823E-2</v>
      </c>
      <c r="AH68" s="387">
        <f t="shared" si="75"/>
        <v>6.3436800000000002E-2</v>
      </c>
      <c r="AI68" s="387">
        <f t="shared" si="76"/>
        <v>9.3155297227575401E-2</v>
      </c>
      <c r="AJ68" s="387">
        <f t="shared" si="77"/>
        <v>0</v>
      </c>
      <c r="AK68" s="387">
        <f t="shared" si="78"/>
        <v>0</v>
      </c>
      <c r="AL68" s="387">
        <f t="shared" si="79"/>
        <v>0</v>
      </c>
      <c r="AM68" s="387">
        <f t="shared" si="80"/>
        <v>0</v>
      </c>
      <c r="AN68" s="387">
        <f t="shared" si="81"/>
        <v>0</v>
      </c>
      <c r="AO68" s="387">
        <f t="shared" si="49"/>
        <v>3.7411695069627444</v>
      </c>
      <c r="AP68" s="387">
        <f t="shared" si="82"/>
        <v>2.6593063631672943E-2</v>
      </c>
      <c r="AQ68" s="387">
        <f t="shared" si="83"/>
        <v>0</v>
      </c>
      <c r="AR68" s="387">
        <f t="shared" si="84"/>
        <v>2.6735258115729101E-2</v>
      </c>
      <c r="AS68" s="387">
        <f t="shared" si="85"/>
        <v>2.6593063631672943E-2</v>
      </c>
      <c r="AT68" s="387">
        <f t="shared" si="86"/>
        <v>0</v>
      </c>
      <c r="AU68" s="387">
        <f t="shared" si="87"/>
        <v>0.15802751635775997</v>
      </c>
      <c r="AV68" s="387">
        <f t="shared" si="88"/>
        <v>4.0947280333449576E-2</v>
      </c>
      <c r="AW68" s="387">
        <f t="shared" si="33"/>
        <v>0</v>
      </c>
      <c r="AX68" s="387">
        <f t="shared" si="89"/>
        <v>3.6000000000000004E-2</v>
      </c>
      <c r="AY68" s="387">
        <f t="shared" si="90"/>
        <v>5.9136000000000001E-2</v>
      </c>
      <c r="AZ68" s="387">
        <f t="shared" si="36"/>
        <v>7.3471999999999996E-2</v>
      </c>
      <c r="BA68" s="387">
        <f t="shared" si="57"/>
        <v>9.5135999999999998E-2</v>
      </c>
      <c r="BB68" s="387">
        <f t="shared" si="58"/>
        <v>0.96209249034357147</v>
      </c>
      <c r="BC68">
        <f t="shared" si="91"/>
        <v>42.480000000000004</v>
      </c>
      <c r="BD68" s="606">
        <f t="shared" si="51"/>
        <v>0.97785344961094067</v>
      </c>
      <c r="BE68" s="616">
        <f t="shared" si="92"/>
        <v>10.354289425061076</v>
      </c>
      <c r="BF68" s="616">
        <f t="shared" si="93"/>
        <v>7.2652188812818093</v>
      </c>
      <c r="BG68" s="9"/>
      <c r="BH68" s="4">
        <f t="shared" si="52"/>
        <v>97.785344961094069</v>
      </c>
      <c r="BI68" s="387">
        <f t="shared" si="53"/>
        <v>0.42855701052020556</v>
      </c>
      <c r="BJ68" s="387">
        <f t="shared" si="54"/>
        <v>0.38070569940616439</v>
      </c>
      <c r="BK68" s="387">
        <f t="shared" si="94"/>
        <v>0.2070857885012215</v>
      </c>
      <c r="BL68" s="387">
        <f t="shared" si="95"/>
        <v>0.14530437762563619</v>
      </c>
      <c r="BM68" s="387">
        <f t="shared" si="55"/>
        <v>4.0947280333449576E-2</v>
      </c>
      <c r="BS68" s="18"/>
      <c r="BT68" s="19"/>
    </row>
    <row r="69" spans="1:72" x14ac:dyDescent="0.2">
      <c r="A69" s="23" t="s">
        <v>82</v>
      </c>
      <c r="B69" s="492" t="e">
        <f>1-B68</f>
        <v>#REF!</v>
      </c>
      <c r="C69" s="21" t="s">
        <v>19</v>
      </c>
      <c r="G69">
        <v>60</v>
      </c>
      <c r="H69" s="612">
        <f t="shared" si="59"/>
        <v>19</v>
      </c>
      <c r="I69" s="4" t="str">
        <f t="shared" si="60"/>
        <v>BUCK</v>
      </c>
      <c r="J69">
        <f t="shared" si="43"/>
        <v>1</v>
      </c>
      <c r="K69" s="387">
        <f t="shared" si="96"/>
        <v>3.6</v>
      </c>
      <c r="L69" s="4">
        <f t="shared" si="61"/>
        <v>2.3684210526315792</v>
      </c>
      <c r="M69" s="4">
        <f t="shared" si="56"/>
        <v>3.6</v>
      </c>
      <c r="N69" s="387">
        <f t="shared" si="62"/>
        <v>0.63435003783738331</v>
      </c>
      <c r="O69" s="387">
        <f t="shared" si="63"/>
        <v>0</v>
      </c>
      <c r="P69" s="4">
        <f t="shared" si="64"/>
        <v>4.1923740893502774</v>
      </c>
      <c r="Q69" s="4">
        <f t="shared" si="65"/>
        <v>3.7979819258067344</v>
      </c>
      <c r="R69" s="387">
        <f t="shared" si="7"/>
        <v>8.7151422761259756E-2</v>
      </c>
      <c r="S69" s="387">
        <f t="shared" si="45"/>
        <v>0.34398857299987501</v>
      </c>
      <c r="T69" s="387">
        <f t="shared" si="46"/>
        <v>0.43113999576113476</v>
      </c>
      <c r="U69" s="4">
        <f t="shared" si="66"/>
        <v>1.2102341545149975</v>
      </c>
      <c r="V69" s="387">
        <f t="shared" si="9"/>
        <v>1.0252666961282415E-2</v>
      </c>
      <c r="W69" s="387">
        <f t="shared" si="47"/>
        <v>1.0252666961282415E-2</v>
      </c>
      <c r="X69" s="4">
        <f t="shared" si="67"/>
        <v>1.8291534693275662</v>
      </c>
      <c r="Y69" s="387">
        <f t="shared" si="11"/>
        <v>6.6916048287061431E-3</v>
      </c>
      <c r="Z69" s="605">
        <f t="shared" si="48"/>
        <v>6.6916048287061431E-3</v>
      </c>
      <c r="AA69" s="387">
        <f t="shared" si="68"/>
        <v>3.0249442759314</v>
      </c>
      <c r="AB69" s="387">
        <f t="shared" si="69"/>
        <v>5.2156640873193813E-2</v>
      </c>
      <c r="AC69" s="387">
        <f t="shared" si="70"/>
        <v>5.2009907604017212E-2</v>
      </c>
      <c r="AD69" s="387">
        <f t="shared" si="71"/>
        <v>0</v>
      </c>
      <c r="AE69" s="387">
        <f t="shared" si="72"/>
        <v>0.10526459804458553</v>
      </c>
      <c r="AF69" s="387">
        <f t="shared" si="73"/>
        <v>2.2966015841378513</v>
      </c>
      <c r="AG69" s="387">
        <f t="shared" si="74"/>
        <v>3.0063959366707586E-2</v>
      </c>
      <c r="AH69" s="387">
        <f t="shared" si="75"/>
        <v>6.4512000000000014E-2</v>
      </c>
      <c r="AI69" s="387">
        <f t="shared" si="76"/>
        <v>9.5148064877970021E-2</v>
      </c>
      <c r="AJ69" s="387">
        <f t="shared" si="77"/>
        <v>0</v>
      </c>
      <c r="AK69" s="387">
        <f t="shared" si="78"/>
        <v>0</v>
      </c>
      <c r="AL69" s="387">
        <f t="shared" si="79"/>
        <v>0</v>
      </c>
      <c r="AM69" s="387">
        <f t="shared" si="80"/>
        <v>0</v>
      </c>
      <c r="AN69" s="387">
        <f t="shared" si="81"/>
        <v>0</v>
      </c>
      <c r="AO69" s="387">
        <f t="shared" si="49"/>
        <v>3.7979819258067344</v>
      </c>
      <c r="AP69" s="387">
        <f t="shared" si="82"/>
        <v>2.7406866746633802E-2</v>
      </c>
      <c r="AQ69" s="387">
        <f t="shared" si="83"/>
        <v>0</v>
      </c>
      <c r="AR69" s="387">
        <f t="shared" si="84"/>
        <v>2.7557922005879656E-2</v>
      </c>
      <c r="AS69" s="387">
        <f t="shared" si="85"/>
        <v>2.7406866746633802E-2</v>
      </c>
      <c r="AT69" s="387">
        <f t="shared" si="86"/>
        <v>0</v>
      </c>
      <c r="AU69" s="387">
        <f t="shared" si="87"/>
        <v>0.16070305305599997</v>
      </c>
      <c r="AV69" s="387">
        <f t="shared" si="88"/>
        <v>4.219503069011591E-2</v>
      </c>
      <c r="AW69" s="387">
        <f t="shared" si="33"/>
        <v>0</v>
      </c>
      <c r="AX69" s="387">
        <f t="shared" si="89"/>
        <v>3.6000000000000004E-2</v>
      </c>
      <c r="AY69" s="387">
        <f t="shared" si="90"/>
        <v>5.9136000000000001E-2</v>
      </c>
      <c r="AZ69" s="387">
        <f t="shared" si="36"/>
        <v>7.3471999999999996E-2</v>
      </c>
      <c r="BA69" s="387">
        <f t="shared" si="57"/>
        <v>9.5135999999999998E-2</v>
      </c>
      <c r="BB69" s="387">
        <f t="shared" si="58"/>
        <v>0.97408893622567438</v>
      </c>
      <c r="BC69">
        <f t="shared" si="91"/>
        <v>43.2</v>
      </c>
      <c r="BD69" s="606">
        <f t="shared" si="51"/>
        <v>0.97794886188525643</v>
      </c>
      <c r="BE69" s="616">
        <f t="shared" si="92"/>
        <v>10.566430653077276</v>
      </c>
      <c r="BF69" s="616">
        <f t="shared" si="93"/>
        <v>7.4090036193225002</v>
      </c>
      <c r="BG69" s="9"/>
      <c r="BH69" s="4">
        <f t="shared" si="52"/>
        <v>97.794886188525638</v>
      </c>
      <c r="BI69" s="387">
        <f t="shared" si="53"/>
        <v>0.43113999576113476</v>
      </c>
      <c r="BJ69" s="387">
        <f t="shared" si="54"/>
        <v>0.38867363798443516</v>
      </c>
      <c r="BK69" s="387">
        <f t="shared" si="94"/>
        <v>0.21132861306154552</v>
      </c>
      <c r="BL69" s="387">
        <f t="shared" si="95"/>
        <v>0.14818007238645001</v>
      </c>
      <c r="BM69" s="387">
        <f t="shared" si="55"/>
        <v>4.219503069011591E-2</v>
      </c>
      <c r="BS69" s="18"/>
      <c r="BT69" s="19"/>
    </row>
    <row r="70" spans="1:72" x14ac:dyDescent="0.2">
      <c r="A70" s="33" t="s">
        <v>245</v>
      </c>
      <c r="B70" s="492">
        <f>Iripple_Vinnom</f>
        <v>4.2180672343999932</v>
      </c>
      <c r="C70" s="21" t="s">
        <v>2</v>
      </c>
      <c r="G70">
        <v>61</v>
      </c>
      <c r="H70" s="612">
        <f t="shared" si="59"/>
        <v>19</v>
      </c>
      <c r="I70" s="4" t="str">
        <f t="shared" si="60"/>
        <v>BUCK</v>
      </c>
      <c r="J70">
        <f t="shared" si="43"/>
        <v>1</v>
      </c>
      <c r="K70" s="387">
        <f t="shared" si="96"/>
        <v>3.66</v>
      </c>
      <c r="L70" s="4">
        <f t="shared" si="61"/>
        <v>2.4078947368421058</v>
      </c>
      <c r="M70" s="4">
        <f t="shared" si="56"/>
        <v>3.66</v>
      </c>
      <c r="N70" s="387">
        <f t="shared" si="62"/>
        <v>0.63439615161477469</v>
      </c>
      <c r="O70" s="387">
        <f t="shared" si="63"/>
        <v>0</v>
      </c>
      <c r="P70" s="4">
        <f t="shared" si="64"/>
        <v>4.1922558408994819</v>
      </c>
      <c r="Q70" s="4">
        <f t="shared" si="65"/>
        <v>3.8548909305317989</v>
      </c>
      <c r="R70" s="387">
        <f t="shared" si="7"/>
        <v>8.9801649659470462E-2</v>
      </c>
      <c r="S70" s="387">
        <f t="shared" si="45"/>
        <v>0.3439662190673663</v>
      </c>
      <c r="T70" s="387">
        <f t="shared" si="46"/>
        <v>0.43376786872683676</v>
      </c>
      <c r="U70" s="4">
        <f t="shared" si="66"/>
        <v>1.2102000191275484</v>
      </c>
      <c r="V70" s="387">
        <f t="shared" si="9"/>
        <v>1.0252088604074229E-2</v>
      </c>
      <c r="W70" s="387">
        <f t="shared" si="47"/>
        <v>1.0252088604074229E-2</v>
      </c>
      <c r="X70" s="4">
        <f t="shared" si="67"/>
        <v>1.8565119279428777</v>
      </c>
      <c r="Y70" s="387">
        <f t="shared" si="11"/>
        <v>6.8932730771883617E-3</v>
      </c>
      <c r="Z70" s="605">
        <f t="shared" si="48"/>
        <v>6.8932730771883617E-3</v>
      </c>
      <c r="AA70" s="387">
        <f t="shared" si="68"/>
        <v>3.0703816695377628</v>
      </c>
      <c r="AB70" s="387">
        <f t="shared" si="69"/>
        <v>5.3735288500810947E-2</v>
      </c>
      <c r="AC70" s="387">
        <f t="shared" si="70"/>
        <v>5.2876739397417501E-2</v>
      </c>
      <c r="AD70" s="387">
        <f t="shared" si="71"/>
        <v>0</v>
      </c>
      <c r="AE70" s="387">
        <f t="shared" si="72"/>
        <v>0.10777024089549268</v>
      </c>
      <c r="AF70" s="387">
        <f t="shared" si="73"/>
        <v>2.3308668965993782</v>
      </c>
      <c r="AG70" s="387">
        <f t="shared" si="74"/>
        <v>3.0967760791078054E-2</v>
      </c>
      <c r="AH70" s="387">
        <f t="shared" si="75"/>
        <v>6.5587200000000012E-2</v>
      </c>
      <c r="AI70" s="387">
        <f t="shared" si="76"/>
        <v>9.7156705916693509E-2</v>
      </c>
      <c r="AJ70" s="387">
        <f t="shared" si="77"/>
        <v>0</v>
      </c>
      <c r="AK70" s="387">
        <f t="shared" si="78"/>
        <v>0</v>
      </c>
      <c r="AL70" s="387">
        <f t="shared" si="79"/>
        <v>0</v>
      </c>
      <c r="AM70" s="387">
        <f t="shared" si="80"/>
        <v>0</v>
      </c>
      <c r="AN70" s="387">
        <f t="shared" si="81"/>
        <v>0</v>
      </c>
      <c r="AO70" s="387">
        <f t="shared" si="49"/>
        <v>3.8548909305317989</v>
      </c>
      <c r="AP70" s="387">
        <f t="shared" si="82"/>
        <v>2.8234349763963003E-2</v>
      </c>
      <c r="AQ70" s="387">
        <f t="shared" si="83"/>
        <v>0</v>
      </c>
      <c r="AR70" s="387">
        <f t="shared" si="84"/>
        <v>2.8394690890772942E-2</v>
      </c>
      <c r="AS70" s="387">
        <f t="shared" si="85"/>
        <v>2.8234349763963003E-2</v>
      </c>
      <c r="AT70" s="387">
        <f t="shared" si="86"/>
        <v>0</v>
      </c>
      <c r="AU70" s="387">
        <f t="shared" si="87"/>
        <v>0.16337849322816</v>
      </c>
      <c r="AV70" s="387">
        <f t="shared" si="88"/>
        <v>4.346352391730253E-2</v>
      </c>
      <c r="AW70" s="387">
        <f t="shared" si="33"/>
        <v>0</v>
      </c>
      <c r="AX70" s="387">
        <f t="shared" si="89"/>
        <v>3.6000000000000004E-2</v>
      </c>
      <c r="AY70" s="387">
        <f t="shared" si="90"/>
        <v>5.9136000000000001E-2</v>
      </c>
      <c r="AZ70" s="387">
        <f t="shared" si="36"/>
        <v>7.3471999999999996E-2</v>
      </c>
      <c r="BA70" s="387">
        <f t="shared" si="57"/>
        <v>9.5135999999999998E-2</v>
      </c>
      <c r="BB70" s="387">
        <f t="shared" si="58"/>
        <v>0.98621288525652107</v>
      </c>
      <c r="BC70">
        <f t="shared" si="91"/>
        <v>43.92</v>
      </c>
      <c r="BD70" s="606">
        <f t="shared" si="51"/>
        <v>0.97803838663089959</v>
      </c>
      <c r="BE70" s="616">
        <f t="shared" si="92"/>
        <v>10.780002321303913</v>
      </c>
      <c r="BF70" s="616">
        <f t="shared" si="93"/>
        <v>7.5535804340993167</v>
      </c>
      <c r="BG70" s="9"/>
      <c r="BH70" s="4">
        <f t="shared" si="52"/>
        <v>97.803838663089962</v>
      </c>
      <c r="BI70" s="387">
        <f t="shared" si="53"/>
        <v>0.43376786872683676</v>
      </c>
      <c r="BJ70" s="387">
        <f t="shared" si="54"/>
        <v>0.39670013093111917</v>
      </c>
      <c r="BK70" s="387">
        <f t="shared" si="94"/>
        <v>0.21560004642607827</v>
      </c>
      <c r="BL70" s="387">
        <f t="shared" si="95"/>
        <v>0.15107160868198632</v>
      </c>
      <c r="BM70" s="387">
        <f t="shared" si="55"/>
        <v>4.346352391730253E-2</v>
      </c>
      <c r="BS70" s="18"/>
      <c r="BT70" s="19"/>
    </row>
    <row r="71" spans="1:72" x14ac:dyDescent="0.2">
      <c r="A71" s="14" t="s">
        <v>63</v>
      </c>
      <c r="B71" s="15" t="s">
        <v>8</v>
      </c>
      <c r="C71" s="17" t="s">
        <v>80</v>
      </c>
      <c r="G71">
        <v>62</v>
      </c>
      <c r="H71" s="612">
        <f t="shared" si="59"/>
        <v>19</v>
      </c>
      <c r="I71" s="4" t="str">
        <f t="shared" si="60"/>
        <v>BUCK</v>
      </c>
      <c r="J71">
        <f t="shared" si="43"/>
        <v>1</v>
      </c>
      <c r="K71" s="387">
        <f t="shared" si="96"/>
        <v>3.72</v>
      </c>
      <c r="L71" s="4">
        <f t="shared" si="61"/>
        <v>2.4473684210526319</v>
      </c>
      <c r="M71" s="4">
        <f t="shared" si="56"/>
        <v>3.72</v>
      </c>
      <c r="N71" s="387">
        <f t="shared" si="62"/>
        <v>0.6344422630658505</v>
      </c>
      <c r="O71" s="387">
        <f t="shared" si="63"/>
        <v>0</v>
      </c>
      <c r="P71" s="4">
        <f t="shared" si="64"/>
        <v>4.192137515580618</v>
      </c>
      <c r="Q71" s="4">
        <f t="shared" si="65"/>
        <v>3.9118923058363375</v>
      </c>
      <c r="R71" s="387">
        <f t="shared" si="7"/>
        <v>9.249683404227986E-2</v>
      </c>
      <c r="S71" s="387">
        <f t="shared" si="45"/>
        <v>0.34394385142654821</v>
      </c>
      <c r="T71" s="387">
        <f t="shared" si="46"/>
        <v>0.43644068546882808</v>
      </c>
      <c r="U71" s="4">
        <f t="shared" si="66"/>
        <v>1.2101658615501996</v>
      </c>
      <c r="V71" s="387">
        <f t="shared" si="9"/>
        <v>1.0251509887230758E-2</v>
      </c>
      <c r="W71" s="387">
        <f t="shared" si="47"/>
        <v>1.0251509887230758E-2</v>
      </c>
      <c r="X71" s="4">
        <f t="shared" si="67"/>
        <v>1.8839133904688823</v>
      </c>
      <c r="Y71" s="387">
        <f t="shared" si="11"/>
        <v>7.0982593255759186E-3</v>
      </c>
      <c r="Z71" s="605">
        <f t="shared" si="48"/>
        <v>7.0982593255759186E-3</v>
      </c>
      <c r="AA71" s="387">
        <f t="shared" si="68"/>
        <v>3.1158959231007217</v>
      </c>
      <c r="AB71" s="387">
        <f t="shared" si="69"/>
        <v>5.5340202200495486E-2</v>
      </c>
      <c r="AC71" s="387">
        <f t="shared" si="70"/>
        <v>5.3743571190817789E-2</v>
      </c>
      <c r="AD71" s="387">
        <f t="shared" si="71"/>
        <v>0</v>
      </c>
      <c r="AE71" s="387">
        <f t="shared" si="72"/>
        <v>0.11030462949125262</v>
      </c>
      <c r="AF71" s="387">
        <f t="shared" si="73"/>
        <v>2.3651837156690045</v>
      </c>
      <c r="AG71" s="387">
        <f t="shared" si="74"/>
        <v>3.1886335850535283E-2</v>
      </c>
      <c r="AH71" s="387">
        <f t="shared" si="75"/>
        <v>6.6662400000000011E-2</v>
      </c>
      <c r="AI71" s="387">
        <f t="shared" si="76"/>
        <v>9.9181241123442287E-2</v>
      </c>
      <c r="AJ71" s="387">
        <f t="shared" si="77"/>
        <v>0</v>
      </c>
      <c r="AK71" s="387">
        <f t="shared" si="78"/>
        <v>0</v>
      </c>
      <c r="AL71" s="387">
        <f t="shared" si="79"/>
        <v>0</v>
      </c>
      <c r="AM71" s="387">
        <f t="shared" si="80"/>
        <v>0</v>
      </c>
      <c r="AN71" s="387">
        <f t="shared" si="81"/>
        <v>0</v>
      </c>
      <c r="AO71" s="387">
        <f t="shared" si="49"/>
        <v>3.9118923058363375</v>
      </c>
      <c r="AP71" s="387">
        <f t="shared" si="82"/>
        <v>2.9075512683676922E-2</v>
      </c>
      <c r="AQ71" s="387">
        <f t="shared" si="83"/>
        <v>0</v>
      </c>
      <c r="AR71" s="387">
        <f t="shared" si="84"/>
        <v>2.9245578722695561E-2</v>
      </c>
      <c r="AS71" s="387">
        <f t="shared" si="85"/>
        <v>2.9075512683676922E-2</v>
      </c>
      <c r="AT71" s="387">
        <f t="shared" si="86"/>
        <v>0</v>
      </c>
      <c r="AU71" s="387">
        <f t="shared" si="87"/>
        <v>0.16605383687424</v>
      </c>
      <c r="AV71" s="387">
        <f t="shared" si="88"/>
        <v>4.4752752070926709E-2</v>
      </c>
      <c r="AW71" s="387">
        <f t="shared" si="33"/>
        <v>0</v>
      </c>
      <c r="AX71" s="387">
        <f t="shared" si="89"/>
        <v>3.6000000000000004E-2</v>
      </c>
      <c r="AY71" s="387">
        <f t="shared" si="90"/>
        <v>5.9136000000000001E-2</v>
      </c>
      <c r="AZ71" s="387">
        <f t="shared" si="36"/>
        <v>7.3471999999999996E-2</v>
      </c>
      <c r="BA71" s="387">
        <f t="shared" si="57"/>
        <v>9.5135999999999998E-2</v>
      </c>
      <c r="BB71" s="387">
        <f t="shared" si="58"/>
        <v>0.99846449296419182</v>
      </c>
      <c r="BC71">
        <f t="shared" si="91"/>
        <v>44.64</v>
      </c>
      <c r="BD71" s="606">
        <f t="shared" si="51"/>
        <v>0.97812230310425718</v>
      </c>
      <c r="BE71" s="616">
        <f t="shared" si="92"/>
        <v>10.995008091412551</v>
      </c>
      <c r="BF71" s="616">
        <f t="shared" si="93"/>
        <v>7.6989503645970734</v>
      </c>
      <c r="BG71" s="9"/>
      <c r="BH71" s="4">
        <f t="shared" si="52"/>
        <v>97.812230310425718</v>
      </c>
      <c r="BI71" s="387">
        <f t="shared" si="53"/>
        <v>0.43644068546882808</v>
      </c>
      <c r="BJ71" s="387">
        <f t="shared" si="54"/>
        <v>0.40478528621163046</v>
      </c>
      <c r="BK71" s="387">
        <f t="shared" si="94"/>
        <v>0.21990016182825101</v>
      </c>
      <c r="BL71" s="387">
        <f t="shared" si="95"/>
        <v>0.15397900729194147</v>
      </c>
      <c r="BM71" s="387">
        <f t="shared" si="55"/>
        <v>4.4752752070926709E-2</v>
      </c>
      <c r="BS71" s="18"/>
      <c r="BT71" s="19"/>
    </row>
    <row r="72" spans="1:72" x14ac:dyDescent="0.2">
      <c r="A72" s="32" t="s">
        <v>92</v>
      </c>
      <c r="B72" s="493">
        <f>(Qgd_Q1+Qgs_Q1/2)*(RdsonDRT+Rgate1)/(Vdd-Vsp_Q1)*1000000000</f>
        <v>4.0147058823529402</v>
      </c>
      <c r="C72" s="21" t="s">
        <v>79</v>
      </c>
      <c r="D72" s="118" t="s">
        <v>723</v>
      </c>
      <c r="G72">
        <v>63</v>
      </c>
      <c r="H72" s="612">
        <f t="shared" si="59"/>
        <v>19</v>
      </c>
      <c r="I72" s="4" t="str">
        <f t="shared" si="60"/>
        <v>BUCK</v>
      </c>
      <c r="J72">
        <f t="shared" si="43"/>
        <v>1</v>
      </c>
      <c r="K72" s="387">
        <f t="shared" si="96"/>
        <v>3.78</v>
      </c>
      <c r="L72" s="4">
        <f t="shared" si="61"/>
        <v>2.486842105263158</v>
      </c>
      <c r="M72" s="4">
        <f t="shared" si="56"/>
        <v>3.78</v>
      </c>
      <c r="N72" s="387">
        <f t="shared" si="62"/>
        <v>0.63448837219078691</v>
      </c>
      <c r="O72" s="387">
        <f t="shared" si="63"/>
        <v>0</v>
      </c>
      <c r="P72" s="4">
        <f t="shared" si="64"/>
        <v>4.1920191133995059</v>
      </c>
      <c r="Q72" s="4">
        <f t="shared" si="65"/>
        <v>3.968982071924601</v>
      </c>
      <c r="R72" s="387">
        <f t="shared" si="7"/>
        <v>9.5237032945458502E-2</v>
      </c>
      <c r="S72" s="387">
        <f t="shared" si="45"/>
        <v>0.34392147008011875</v>
      </c>
      <c r="T72" s="387">
        <f t="shared" si="46"/>
        <v>0.43915850302557724</v>
      </c>
      <c r="U72" s="4">
        <f t="shared" si="66"/>
        <v>1.2101316817846306</v>
      </c>
      <c r="V72" s="387">
        <f t="shared" si="9"/>
        <v>1.0250930810812289E-2</v>
      </c>
      <c r="W72" s="387">
        <f t="shared" si="47"/>
        <v>1.0250930810812289E-2</v>
      </c>
      <c r="X72" s="4">
        <f t="shared" si="67"/>
        <v>1.9113559360738821</v>
      </c>
      <c r="Y72" s="387">
        <f t="shared" si="11"/>
        <v>7.3065630287297324E-3</v>
      </c>
      <c r="Z72" s="605">
        <f t="shared" si="48"/>
        <v>7.3065630287297324E-3</v>
      </c>
      <c r="AA72" s="387">
        <f t="shared" si="68"/>
        <v>3.1614838741159992</v>
      </c>
      <c r="AB72" s="387">
        <f t="shared" si="69"/>
        <v>5.697138763188439E-2</v>
      </c>
      <c r="AC72" s="387">
        <f t="shared" si="70"/>
        <v>5.4610402984218064E-2</v>
      </c>
      <c r="AD72" s="387">
        <f t="shared" si="71"/>
        <v>0</v>
      </c>
      <c r="AE72" s="387">
        <f t="shared" si="72"/>
        <v>0.1128678380870687</v>
      </c>
      <c r="AF72" s="387">
        <f t="shared" si="73"/>
        <v>2.3995496246094579</v>
      </c>
      <c r="AG72" s="387">
        <f t="shared" si="74"/>
        <v>3.2819678885491324E-2</v>
      </c>
      <c r="AH72" s="387">
        <f t="shared" si="75"/>
        <v>6.7737600000000009E-2</v>
      </c>
      <c r="AI72" s="387">
        <f t="shared" si="76"/>
        <v>0.1012216915681942</v>
      </c>
      <c r="AJ72" s="387">
        <f t="shared" si="77"/>
        <v>0</v>
      </c>
      <c r="AK72" s="387">
        <f t="shared" si="78"/>
        <v>0</v>
      </c>
      <c r="AL72" s="387">
        <f t="shared" si="79"/>
        <v>0</v>
      </c>
      <c r="AM72" s="387">
        <f t="shared" si="80"/>
        <v>0</v>
      </c>
      <c r="AN72" s="387">
        <f t="shared" si="81"/>
        <v>0</v>
      </c>
      <c r="AO72" s="387">
        <f t="shared" si="49"/>
        <v>3.968982071924601</v>
      </c>
      <c r="AP72" s="387">
        <f t="shared" si="82"/>
        <v>2.9930355505791907E-2</v>
      </c>
      <c r="AQ72" s="387">
        <f t="shared" si="83"/>
        <v>0</v>
      </c>
      <c r="AR72" s="387">
        <f t="shared" si="84"/>
        <v>3.0110599696473516E-2</v>
      </c>
      <c r="AS72" s="387">
        <f t="shared" si="85"/>
        <v>2.9930355505791907E-2</v>
      </c>
      <c r="AT72" s="387">
        <f t="shared" si="86"/>
        <v>0</v>
      </c>
      <c r="AU72" s="387">
        <f t="shared" si="87"/>
        <v>0.16872908399423997</v>
      </c>
      <c r="AV72" s="387">
        <f t="shared" si="88"/>
        <v>4.6062707207707124E-2</v>
      </c>
      <c r="AW72" s="387">
        <f t="shared" si="33"/>
        <v>0</v>
      </c>
      <c r="AX72" s="387">
        <f t="shared" si="89"/>
        <v>3.6000000000000004E-2</v>
      </c>
      <c r="AY72" s="387">
        <f t="shared" si="90"/>
        <v>5.9136000000000001E-2</v>
      </c>
      <c r="AZ72" s="387">
        <f t="shared" si="36"/>
        <v>7.3471999999999996E-2</v>
      </c>
      <c r="BA72" s="387">
        <f t="shared" si="57"/>
        <v>9.5135999999999998E-2</v>
      </c>
      <c r="BB72" s="387">
        <f t="shared" si="58"/>
        <v>1.0108439174188029</v>
      </c>
      <c r="BC72">
        <f t="shared" si="91"/>
        <v>45.36</v>
      </c>
      <c r="BD72" s="606">
        <f t="shared" si="51"/>
        <v>0.97820087296191971</v>
      </c>
      <c r="BE72" s="616">
        <f t="shared" si="92"/>
        <v>11.211451676163353</v>
      </c>
      <c r="BF72" s="616">
        <f t="shared" si="93"/>
        <v>7.84511446431467</v>
      </c>
      <c r="BG72" s="9"/>
      <c r="BH72" s="4">
        <f t="shared" si="52"/>
        <v>97.820087296191971</v>
      </c>
      <c r="BI72" s="387">
        <f t="shared" si="53"/>
        <v>0.43915850302557724</v>
      </c>
      <c r="BJ72" s="387">
        <f t="shared" si="54"/>
        <v>0.41292921334597638</v>
      </c>
      <c r="BK72" s="387">
        <f t="shared" si="94"/>
        <v>0.22422903352326706</v>
      </c>
      <c r="BL72" s="387">
        <f t="shared" si="95"/>
        <v>0.15690228928629341</v>
      </c>
      <c r="BM72" s="387">
        <f t="shared" si="55"/>
        <v>4.6062707207707124E-2</v>
      </c>
      <c r="BS72" s="18"/>
      <c r="BT72" s="19"/>
    </row>
    <row r="73" spans="1:72" x14ac:dyDescent="0.2">
      <c r="A73" s="33" t="s">
        <v>93</v>
      </c>
      <c r="B73" s="493">
        <f>(Qgd_Q1+Qgs_Q1/2)*(RdsonDRT2+Rgate1)/(Vsp_Q1)*1000000000</f>
        <v>2.7743902439024386</v>
      </c>
      <c r="C73" s="21" t="s">
        <v>79</v>
      </c>
      <c r="D73" s="118" t="s">
        <v>724</v>
      </c>
      <c r="G73">
        <v>64</v>
      </c>
      <c r="H73" s="612">
        <f t="shared" ref="H73:H109" si="97">Vin</f>
        <v>19</v>
      </c>
      <c r="I73" s="4" t="str">
        <f t="shared" ref="I73:I104" si="98">IF(H73&gt;VIN_BB_to_buck, "BUCK", IF(H73&lt;VIN_boost_to_BB,"BOOST","BUCK-BST"))</f>
        <v>BUCK</v>
      </c>
      <c r="J73">
        <f t="shared" si="43"/>
        <v>1</v>
      </c>
      <c r="K73" s="387">
        <f t="shared" si="96"/>
        <v>3.84</v>
      </c>
      <c r="L73" s="4">
        <f t="shared" ref="L73:L104" si="99">Vout*K73/(Vin*Efficiency)</f>
        <v>2.5263157894736845</v>
      </c>
      <c r="M73" s="4">
        <f t="shared" si="56"/>
        <v>3.84</v>
      </c>
      <c r="N73" s="387">
        <f t="shared" ref="N73:N109" si="100">CHOOSE(J73,(Vout+(Rdson2+Rs+Rdcr)*K73)/(Vin+(Rs+Rdson2-Rdson1)*K73), 1, IF(Vin&lt;Vout, D_max_buck_BB, Vout/Vin*(1-D_min_boost_exitBB_to_buck)))</f>
        <v>0.63453447898975968</v>
      </c>
      <c r="O73" s="387">
        <f t="shared" ref="O73:O109" si="101">CHOOSE(J73,0,(Vout+(Rdson3+Rdcr)*L73-Vin)/(Vout+(Rdson3-Rdson4-Rs)*L73), IF(Vin&gt;Vout,D_min_boost_exitBB_to_buck, (Vout-Vin*D_max_buck_BB)/Vout))</f>
        <v>0</v>
      </c>
      <c r="P73" s="4">
        <f t="shared" ref="P73:P104" si="102">MAX(0, CHOOSE(J73, (Vin-(Rdson1+Rdcr)*K73-Vout)*N73/(Fsw*Lf), (Vin-(Rdson4+Rdcr+Rs)*L73)*O73/(Fsw*Lf), IF(Vin&lt;Vout, (Vin-(Rdson4+Rdcr+Rs)*L73)*O73/(0.5*Fsw*Lf),(Vin-(Rdson1+Rdcr)*K73-Vout)*N73/(0.5*Fsw*Lf))))</f>
        <v>4.1919006343619554</v>
      </c>
      <c r="Q73" s="4">
        <f t="shared" ref="Q73:Q104" si="103">CHOOSE(J73, SQRT(K73^2+(P73^2)/12), SQRT(L73^2+(P73^2)/12), SQRT(M73^2+(P73^2)/12))</f>
        <v>4.0261564687300728</v>
      </c>
      <c r="R73" s="387">
        <f t="shared" si="7"/>
        <v>9.802230439476993E-2</v>
      </c>
      <c r="S73" s="387">
        <f t="shared" si="45"/>
        <v>0.34389907503077405</v>
      </c>
      <c r="T73" s="387">
        <f t="shared" si="46"/>
        <v>0.44192137942554399</v>
      </c>
      <c r="U73" s="4">
        <f t="shared" ref="U73:U109" si="104">IF(Vin&gt;Vout, P73/SQRT(12), SQRT(O73/(1-O73))*SQRT(K73^2+(P73^2)/12))</f>
        <v>1.210097479832519</v>
      </c>
      <c r="V73" s="387">
        <f t="shared" si="9"/>
        <v>1.0250351374879096E-2</v>
      </c>
      <c r="W73" s="387">
        <f t="shared" si="47"/>
        <v>1.0250351374879096E-2</v>
      </c>
      <c r="X73" s="4">
        <f t="shared" ref="X73:X109" si="105">IF(Vin&gt;Vout, SQRT(N73*(1-N73))*SQRT(K73^2+(P73^2)/12), P73/SQRT(12))</f>
        <v>1.9388377499418934</v>
      </c>
      <c r="Y73" s="387">
        <f t="shared" si="11"/>
        <v>7.5181836411994879E-3</v>
      </c>
      <c r="Z73" s="605">
        <f t="shared" si="48"/>
        <v>7.5181836411994879E-3</v>
      </c>
      <c r="AA73" s="387">
        <f t="shared" ref="AA73:AA109" si="106">CHOOSE(J73, SQRT(N73)*SQRT(K73^2+(P73^2)/12), SQRT(L73^2+(P73^2)/12), SQRT(N73)*SQRT(M73^2+(P73^2)/12))</f>
        <v>3.2071425346484874</v>
      </c>
      <c r="AB73" s="387">
        <f t="shared" ref="AB73:AB104" si="107">Rdson1*AA73^2</f>
        <v>5.8628850454043695E-2</v>
      </c>
      <c r="AC73" s="387">
        <f t="shared" ref="AC73:AC109" si="108">CHOOSE(J73, (Vin*K73/2)*(Fsw)*(Tr_buck+Tf_buck), 0, (Vin*K73/2)*(Fsw/2)*(Tr_buck+Tf_buck))</f>
        <v>5.5477234777618345E-2</v>
      </c>
      <c r="AD73" s="387">
        <f t="shared" ref="AD73:AD109" si="109">CHOOSE(J73, IF(K73&gt;P73/2,0,ABS(K73-P73/2)*Vsd_Q1*Deadtime*Fsw),0, IF(K73&gt;P73/2,0,ABS(K73-P73/2)*Vsd_Q1*Deadtime*Fsw/2))</f>
        <v>0</v>
      </c>
      <c r="AE73" s="387">
        <f t="shared" ref="AE73:AE104" si="110">(AD73+AC73+AB73*(1+RdsonTopTc*Ta-RdsonTopTc*25))/(1-AB73*RdsonTopTc*ThetaJA_Q1)</f>
        <v>0.11545994196585174</v>
      </c>
      <c r="AF73" s="387">
        <f t="shared" ref="AF73:AF109" si="111">CHOOSE(J73, SQRT((1-N73))*SQRT(K73^2+(P73^2)/12), 0, SQRT((1-N73))*SQRT(M73^2+(P73^2)/12))</f>
        <v>2.433962340124737</v>
      </c>
      <c r="AG73" s="387">
        <f t="shared" ref="AG73:AG104" si="112">Rdson2*AF73^2</f>
        <v>3.376778423692927E-2</v>
      </c>
      <c r="AH73" s="387">
        <f t="shared" ref="AH73:AH109" si="113">CHOOSE(J73, IF(K73&lt;P73/2,Deadtime*Fsw*IF(VfdSky_Q2&gt;0,0,Vsd_Q2)*(K73+P73/2),2*Deadtime*Fsw*IF(VfdSky_Q2&gt;0,0,Vsd_Q2)*K73),0, IF(K73&lt;P73/2,Deadtime*Fsw/2*IF(VfdSky_Q2&gt;0,0,Vsd_Q2)*(K73+P73/2),2*Deadtime*Fsw/2*IF(VfdSky_Q2&gt;0,0,Vsd_Q2)*K73))</f>
        <v>6.8812800000000007E-2</v>
      </c>
      <c r="AI73" s="387">
        <f t="shared" ref="AI73:AI104" si="114">(AH73+AG73*(1+RdsonBotTc*Ta-RdsonBotTc*25))/(1-AG73*RdsonBotTc*ThetaJA_Q2)</f>
        <v>0.1032780786119237</v>
      </c>
      <c r="AJ73" s="387">
        <f t="shared" ref="AJ73:AJ109" si="115">CHOOSE(J73, 0, SQRT(O73)*SQRT(L73^2+(P73^2)/12), SQRT(O73)*SQRT(M73^2+(P73^2)/12))</f>
        <v>0</v>
      </c>
      <c r="AK73" s="387">
        <f t="shared" ref="AK73:AK104" si="116">Rdson4*AJ73^2</f>
        <v>0</v>
      </c>
      <c r="AL73" s="387">
        <f t="shared" ref="AL73:AL109" si="117">CHOOSE(J73, 0, (Vout*L73/2)*(Fsw)*(Tr_boost+Tf_boost), (Vout*Iout/2)*(Fsw/2)*(Tr_boost+Tf_boost))</f>
        <v>0</v>
      </c>
      <c r="AM73" s="387">
        <f t="shared" ref="AM73:AM109" si="118">IF(H73&gt;Vout, 0, IF(L73&gt;P73/2,0,ABS(L73-P73/2)*Vsd_Q4*Deadtime*Fsw))</f>
        <v>0</v>
      </c>
      <c r="AN73" s="387">
        <f t="shared" ref="AN73:AN104" si="119">(AM73+AL73+AK73*(1+RdsonTopTc*Ta-RdsonTopTc*25))/(1-AK73*RdsonTopTc*ThetaJA_Q4)</f>
        <v>0</v>
      </c>
      <c r="AO73" s="387">
        <f t="shared" si="49"/>
        <v>4.0261564687300728</v>
      </c>
      <c r="AP73" s="387">
        <f t="shared" ref="AP73:AP104" si="120">Rdson3*AO73^2</f>
        <v>3.0798878230324317E-2</v>
      </c>
      <c r="AQ73" s="387">
        <f t="shared" ref="AQ73:AQ109" si="121">CHOOSE(J73, 0, IF(L73&lt;P73/2,Deadtime*Fsw*IF(VfdSky_Q3&gt;0,0,Vsd_Q3)*(L73+P73/2), 2*Deadtime*Fsw*IF(VfdSky_Q3&gt;0,0,Vsd_Q3)*L73), IF(L73&lt;P73/2,Deadtime*Fsw/2*IF(VfdSky_Q3&gt;0,0,Vsd_Q3)*(L73+P73/2), 2*Deadtime*Fsw/2*IF(VfdSky_Q3&gt;0,0,Vsd_Q3)*L73))</f>
        <v>0</v>
      </c>
      <c r="AR73" s="387">
        <f t="shared" ref="AR73:AR104" si="122">(AQ73+AP73*(1+RdsonBotTc*Ta-RdsonBotTc*25))/(1-AP73*RdsonBotTc*ThetaJA_Q3)</f>
        <v>3.0989768250068279E-2</v>
      </c>
      <c r="AS73" s="387">
        <f t="shared" ref="AS73:AS109" si="123">CHOOSE(J73, Rdson3*Q73^2, Rdson1*Q73^2, 0)</f>
        <v>3.0798878230324317E-2</v>
      </c>
      <c r="AT73" s="387">
        <f t="shared" ref="AT73:AT109" si="124">CHOOSE(J73, 2*Deadtime*Fsw*IF(VfdSky_Q2&gt;0,VfdSky_Q2,0)*K73, 2*Deadtime*Fsw*IF(VfdSky_Q3&gt;0,VfdSky_Q3,0)*L73, 2*Deadtime*Fsw/2*IF(VfdSky_Q2&gt;0,VfdSky_Q2,0)*K73+2*Deadtime*Fsw/2*IF(VfdSky_Q3&gt;0,VfdSky_Q3,0)*L73)</f>
        <v>0</v>
      </c>
      <c r="AU73" s="387">
        <f t="shared" ref="AU73:AU109" si="125">CHOOSE(J73, IF(QrrSky_Q2&gt;0,QrrSky_Q2,Qrr_Q2*K73/Iout)*Fsw*(Vin-K73*Rdson1), IF(QrrSky_Q3&gt;0,QrrSky_Q3,Qrr_Q3)*Fsw*Vout,  IF(QrrSky_Q2&gt;0,QrrSky_Q2,Qrr_Q2*K73/Iout)*Fsw/2*(Vin-K73*Rdson1)+IF(QrrSky_Q3&gt;0,QrrSky_Q3,Qrr_Q3)*Fsw/2*Vout)</f>
        <v>0.17140423458816001</v>
      </c>
      <c r="AV73" s="387">
        <f t="shared" ref="AV73:AV109" si="126">CHOOSE(J73, Rs*AF73^2, Rs*AJ73^2, Rs*(AF73^2+AJ73^2))</f>
        <v>4.7393381385163885E-2</v>
      </c>
      <c r="AW73" s="387">
        <f t="shared" ref="AW73:AW109" si="127">Rshunt_std/1000*Iout^2</f>
        <v>0</v>
      </c>
      <c r="AX73" s="387">
        <f t="shared" ref="AX73:AX109" si="128">IF(Vout&gt;8, Iq*Vout, Iq*Vin)</f>
        <v>3.6000000000000004E-2</v>
      </c>
      <c r="AY73" s="387">
        <f t="shared" ref="AY73:AY109" si="129">CHOOSE(J73, (Qg_Q1+Qg_Q2)*Fsw, (Qg_Q3+Qg_Q4)*Fsw, (Qg_Q1+Qg_Q2+Qg_Q3+Qg_Q4)*Fsw/2)*IF(Vout&gt;8, Vout, Vin)</f>
        <v>5.9136000000000001E-2</v>
      </c>
      <c r="AZ73" s="387">
        <f t="shared" ref="AZ73:AZ109" si="130">(Vin-Vdd)*Fsw*(Qg_Q1+Qg_Q2)+(RdsonDRT+RdsonDRT2)*Fsw*Qg_Q1*Vdd/(RdsonDRT+2*Rgate1+RdsonDRT2)+(RdsonDRB+RdsonDRB2)*Fsw*Qg_Q2*Vdd/(RdsonDRB+2*Rgate2+RdsonDRB2)</f>
        <v>7.3471999999999996E-2</v>
      </c>
      <c r="BA73" s="387">
        <f t="shared" si="57"/>
        <v>9.5135999999999998E-2</v>
      </c>
      <c r="BB73" s="387">
        <f t="shared" si="58"/>
        <v>1.0233513192427903</v>
      </c>
      <c r="BC73">
        <f t="shared" ref="BC73:BC109" si="131">Vout*K73</f>
        <v>46.08</v>
      </c>
      <c r="BD73" s="606">
        <f t="shared" si="51"/>
        <v>0.97827434162153282</v>
      </c>
      <c r="BE73" s="616">
        <f t="shared" ref="BE73:BE109" si="132">IF(Vin&gt;Vout,ThetaJA_Q1*BK73,ThetaJA_Q4*BK73)</f>
        <v>11.429336839701868</v>
      </c>
      <c r="BF73" s="616">
        <f t="shared" ref="BF73:BF109" si="133">IF(Vin&gt;Vout, ThetaJA_Q2*BL73, ThetaJA_Q3*BL73)</f>
        <v>7.9920738013008252</v>
      </c>
      <c r="BG73" s="9"/>
      <c r="BH73" s="4">
        <f t="shared" si="52"/>
        <v>97.827434162153281</v>
      </c>
      <c r="BI73" s="387">
        <f t="shared" si="53"/>
        <v>0.44192137942554399</v>
      </c>
      <c r="BJ73" s="387">
        <f t="shared" si="54"/>
        <v>0.42113202341600375</v>
      </c>
      <c r="BK73" s="387">
        <f t="shared" ref="BK73:BK109" si="134">IF(Vin&gt;Vout, AE73+AU73*0.66, AN73+AU73*0.66)</f>
        <v>0.22858673679403735</v>
      </c>
      <c r="BL73" s="387">
        <f t="shared" ref="BL73:BL109" si="135">IF(Vin&gt;Vout, AI73+AU73*0.33, AR73+AU73*0.33)</f>
        <v>0.1598414760260165</v>
      </c>
      <c r="BM73" s="387">
        <f t="shared" si="55"/>
        <v>4.7393381385163885E-2</v>
      </c>
      <c r="BS73" s="18"/>
      <c r="BT73" s="19"/>
    </row>
    <row r="74" spans="1:72" x14ac:dyDescent="0.2">
      <c r="A74" s="14" t="s">
        <v>118</v>
      </c>
      <c r="B74" s="15" t="s">
        <v>8</v>
      </c>
      <c r="C74" s="17" t="s">
        <v>80</v>
      </c>
      <c r="G74">
        <v>65</v>
      </c>
      <c r="H74" s="612">
        <f t="shared" si="97"/>
        <v>19</v>
      </c>
      <c r="I74" s="4" t="str">
        <f t="shared" si="98"/>
        <v>BUCK</v>
      </c>
      <c r="J74">
        <f t="shared" ref="J74:J109" si="136">IF(I74="BOOST",2, IF(I74="BUCK", 1,3))</f>
        <v>1</v>
      </c>
      <c r="K74" s="387">
        <f t="shared" ref="K74:K109" si="137">Iout*G74/100</f>
        <v>3.9</v>
      </c>
      <c r="L74" s="4">
        <f t="shared" si="99"/>
        <v>2.5657894736842106</v>
      </c>
      <c r="M74" s="4">
        <f t="shared" si="56"/>
        <v>3.9</v>
      </c>
      <c r="N74" s="387">
        <f t="shared" si="100"/>
        <v>0.6345805834629451</v>
      </c>
      <c r="O74" s="387">
        <f t="shared" si="101"/>
        <v>0</v>
      </c>
      <c r="P74" s="4">
        <f t="shared" si="102"/>
        <v>4.1917820784737856</v>
      </c>
      <c r="Q74" s="4">
        <f t="shared" si="103"/>
        <v>4.0834119413530274</v>
      </c>
      <c r="R74" s="387">
        <f t="shared" ref="R74:R109" si="138">(Q74^2*Rdcr*(1+Ltc*Ta-Ltc*25))/(1-Q74^2*Rdcr*Ltc*ThetaCa)</f>
        <v>0.10085270740906996</v>
      </c>
      <c r="S74" s="387">
        <f t="shared" ref="S74:S109" si="139">7.759*10^-3*Fsw^0.9458*(0.00787*P74)^2.304</f>
        <v>0.34387666628121322</v>
      </c>
      <c r="T74" s="387">
        <f t="shared" ref="T74:T109" si="140">R74+S74</f>
        <v>0.4447293736902832</v>
      </c>
      <c r="U74" s="4">
        <f t="shared" si="104"/>
        <v>1.2100632556955446</v>
      </c>
      <c r="V74" s="387">
        <f t="shared" ref="V74:V109" si="141">RCoutEsr*U74^2</f>
        <v>1.0249771579491508E-2</v>
      </c>
      <c r="W74" s="387">
        <f t="shared" ref="W74:W109" si="142">V74</f>
        <v>1.0249771579491508E-2</v>
      </c>
      <c r="X74" s="4">
        <f t="shared" si="105"/>
        <v>1.9663571162461477</v>
      </c>
      <c r="Y74" s="387">
        <f t="shared" ref="Y74:Y109" si="143">RCinEsr*X74^2</f>
        <v>7.7331206172237326E-3</v>
      </c>
      <c r="Z74" s="605">
        <f t="shared" ref="Z74:Z109" si="144">Y74</f>
        <v>7.7331206172237326E-3</v>
      </c>
      <c r="AA74" s="387">
        <f t="shared" si="106"/>
        <v>3.2528690797636166</v>
      </c>
      <c r="AB74" s="387">
        <f t="shared" si="107"/>
        <v>6.031259632546853E-2</v>
      </c>
      <c r="AC74" s="387">
        <f t="shared" si="108"/>
        <v>5.6344066571018633E-2</v>
      </c>
      <c r="AD74" s="387">
        <f t="shared" si="109"/>
        <v>0</v>
      </c>
      <c r="AE74" s="387">
        <f t="shared" si="110"/>
        <v>0.1180810174442503</v>
      </c>
      <c r="AF74" s="387">
        <f t="shared" si="111"/>
        <v>2.4684197035152469</v>
      </c>
      <c r="AG74" s="387">
        <f t="shared" si="112"/>
        <v>3.4730646246403103E-2</v>
      </c>
      <c r="AH74" s="387">
        <f t="shared" si="113"/>
        <v>6.9888000000000006E-2</v>
      </c>
      <c r="AI74" s="387">
        <f t="shared" si="114"/>
        <v>0.10535042390732992</v>
      </c>
      <c r="AJ74" s="387">
        <f t="shared" si="115"/>
        <v>0</v>
      </c>
      <c r="AK74" s="387">
        <f t="shared" si="116"/>
        <v>0</v>
      </c>
      <c r="AL74" s="387">
        <f t="shared" si="117"/>
        <v>0</v>
      </c>
      <c r="AM74" s="387">
        <f t="shared" si="118"/>
        <v>0</v>
      </c>
      <c r="AN74" s="387">
        <f t="shared" si="119"/>
        <v>0</v>
      </c>
      <c r="AO74" s="387">
        <f t="shared" ref="AO74:AO109" si="145">CHOOSE(J74, SQRT(K74^2+(P74^2)/12), SQRT(1-O74)*SQRT(L74^2+(P74^2)/12), SQRT(1-O74)*SQRT(M74^2+(P74^2)/12))</f>
        <v>4.0834119413530274</v>
      </c>
      <c r="AP74" s="387">
        <f t="shared" si="120"/>
        <v>3.1681080857290551E-2</v>
      </c>
      <c r="AQ74" s="387">
        <f t="shared" si="121"/>
        <v>0</v>
      </c>
      <c r="AR74" s="387">
        <f t="shared" si="122"/>
        <v>3.1883099065183565E-2</v>
      </c>
      <c r="AS74" s="387">
        <f t="shared" si="123"/>
        <v>3.1681080857290551E-2</v>
      </c>
      <c r="AT74" s="387">
        <f t="shared" si="124"/>
        <v>0</v>
      </c>
      <c r="AU74" s="387">
        <f t="shared" si="125"/>
        <v>0.174079288656</v>
      </c>
      <c r="AV74" s="387">
        <f t="shared" si="126"/>
        <v>4.8744766661618394E-2</v>
      </c>
      <c r="AW74" s="387">
        <f t="shared" si="127"/>
        <v>0</v>
      </c>
      <c r="AX74" s="387">
        <f t="shared" si="128"/>
        <v>3.6000000000000004E-2</v>
      </c>
      <c r="AY74" s="387">
        <f t="shared" si="129"/>
        <v>5.9136000000000001E-2</v>
      </c>
      <c r="AZ74" s="387">
        <f t="shared" si="130"/>
        <v>7.3471999999999996E-2</v>
      </c>
      <c r="BA74" s="387">
        <f t="shared" si="57"/>
        <v>9.5135999999999998E-2</v>
      </c>
      <c r="BB74" s="387">
        <f t="shared" si="58"/>
        <v>1.0359868616213808</v>
      </c>
      <c r="BC74">
        <f t="shared" si="131"/>
        <v>46.8</v>
      </c>
      <c r="BD74" s="606">
        <f t="shared" ref="BD74:BD109" si="146">BC74/(BC74+BB74)</f>
        <v>0.97834293949828488</v>
      </c>
      <c r="BE74" s="616">
        <f t="shared" si="132"/>
        <v>11.648667397860516</v>
      </c>
      <c r="BF74" s="616">
        <f t="shared" si="133"/>
        <v>8.139829458190496</v>
      </c>
      <c r="BG74" s="9"/>
      <c r="BH74" s="4">
        <f t="shared" ref="BH74:BH109" si="147">BD74*100</f>
        <v>97.834293949828492</v>
      </c>
      <c r="BI74" s="387">
        <f t="shared" ref="BI74:BI109" si="148">T74</f>
        <v>0.4447293736902832</v>
      </c>
      <c r="BJ74" s="387">
        <f t="shared" ref="BJ74:BJ109" si="149">AE74+AI74+AN74+AR74+AU74</f>
        <v>0.4293938290727638</v>
      </c>
      <c r="BK74" s="387">
        <f t="shared" si="134"/>
        <v>0.23297334795721031</v>
      </c>
      <c r="BL74" s="387">
        <f t="shared" si="135"/>
        <v>0.16279658916380993</v>
      </c>
      <c r="BM74" s="387">
        <f t="shared" ref="BM74:BM109" si="150">AV74</f>
        <v>4.8744766661618394E-2</v>
      </c>
      <c r="BS74" s="18"/>
      <c r="BT74" s="19"/>
    </row>
    <row r="75" spans="1:72" x14ac:dyDescent="0.2">
      <c r="A75" s="34" t="s">
        <v>119</v>
      </c>
      <c r="B75" s="80">
        <f>BA9</f>
        <v>9.5135999999999998E-2</v>
      </c>
      <c r="C75" s="81" t="s">
        <v>120</v>
      </c>
      <c r="G75">
        <v>66</v>
      </c>
      <c r="H75" s="612">
        <f t="shared" si="97"/>
        <v>19</v>
      </c>
      <c r="I75" s="4" t="str">
        <f t="shared" si="98"/>
        <v>BUCK</v>
      </c>
      <c r="J75">
        <f t="shared" si="136"/>
        <v>1</v>
      </c>
      <c r="K75" s="387">
        <f t="shared" si="137"/>
        <v>3.96</v>
      </c>
      <c r="L75" s="4">
        <f t="shared" si="99"/>
        <v>2.6052631578947367</v>
      </c>
      <c r="M75" s="4">
        <f t="shared" ref="M75:M108" si="151">K75/(1-O75)</f>
        <v>3.96</v>
      </c>
      <c r="N75" s="387">
        <f t="shared" si="100"/>
        <v>0.63462668561051883</v>
      </c>
      <c r="O75" s="387">
        <f t="shared" si="101"/>
        <v>0</v>
      </c>
      <c r="P75" s="4">
        <f t="shared" si="102"/>
        <v>4.1916634457408106</v>
      </c>
      <c r="Q75" s="4">
        <f t="shared" si="103"/>
        <v>4.1407451266082509</v>
      </c>
      <c r="R75" s="387">
        <f t="shared" si="138"/>
        <v>0.10372830200346168</v>
      </c>
      <c r="S75" s="387">
        <f t="shared" si="139"/>
        <v>0.3438542438341351</v>
      </c>
      <c r="T75" s="387">
        <f t="shared" si="140"/>
        <v>0.44758254583759677</v>
      </c>
      <c r="U75" s="4">
        <f t="shared" si="104"/>
        <v>1.2100290093753858</v>
      </c>
      <c r="V75" s="387">
        <f t="shared" si="141"/>
        <v>1.0249191424709843E-2</v>
      </c>
      <c r="W75" s="387">
        <f t="shared" si="142"/>
        <v>1.0249191424709843E-2</v>
      </c>
      <c r="X75" s="4">
        <f t="shared" si="105"/>
        <v>1.9939124116582885</v>
      </c>
      <c r="Y75" s="387">
        <f t="shared" si="143"/>
        <v>7.9513734107299443E-3</v>
      </c>
      <c r="Z75" s="605">
        <f t="shared" si="144"/>
        <v>7.9513734107299443E-3</v>
      </c>
      <c r="AA75" s="387">
        <f t="shared" si="106"/>
        <v>3.2986608368405839</v>
      </c>
      <c r="AB75" s="387">
        <f t="shared" si="107"/>
        <v>6.2022630904083186E-2</v>
      </c>
      <c r="AC75" s="387">
        <f t="shared" si="108"/>
        <v>5.7210898364418929E-2</v>
      </c>
      <c r="AD75" s="387">
        <f t="shared" si="109"/>
        <v>0</v>
      </c>
      <c r="AE75" s="387">
        <f t="shared" si="110"/>
        <v>0.1207311418787773</v>
      </c>
      <c r="AF75" s="387">
        <f t="shared" si="111"/>
        <v>2.5029196725073213</v>
      </c>
      <c r="AG75" s="387">
        <f t="shared" si="112"/>
        <v>3.570825925603769E-2</v>
      </c>
      <c r="AH75" s="387">
        <f t="shared" si="113"/>
        <v>7.0963200000000004E-2</v>
      </c>
      <c r="AI75" s="387">
        <f t="shared" si="114"/>
        <v>0.10743874939957861</v>
      </c>
      <c r="AJ75" s="387">
        <f t="shared" si="115"/>
        <v>0</v>
      </c>
      <c r="AK75" s="387">
        <f t="shared" si="116"/>
        <v>0</v>
      </c>
      <c r="AL75" s="387">
        <f t="shared" si="117"/>
        <v>0</v>
      </c>
      <c r="AM75" s="387">
        <f t="shared" si="118"/>
        <v>0</v>
      </c>
      <c r="AN75" s="387">
        <f t="shared" si="119"/>
        <v>0</v>
      </c>
      <c r="AO75" s="387">
        <f t="shared" si="145"/>
        <v>4.1407451266082509</v>
      </c>
      <c r="AP75" s="387">
        <f t="shared" si="120"/>
        <v>3.2576963386706966E-2</v>
      </c>
      <c r="AQ75" s="387">
        <f t="shared" si="121"/>
        <v>0</v>
      </c>
      <c r="AR75" s="387">
        <f t="shared" si="122"/>
        <v>3.2790607067882623E-2</v>
      </c>
      <c r="AS75" s="387">
        <f t="shared" si="123"/>
        <v>3.2576963386706966E-2</v>
      </c>
      <c r="AT75" s="387">
        <f t="shared" si="124"/>
        <v>0</v>
      </c>
      <c r="AU75" s="387">
        <f t="shared" si="125"/>
        <v>0.17675424619776001</v>
      </c>
      <c r="AV75" s="387">
        <f t="shared" si="126"/>
        <v>5.011685509619325E-2</v>
      </c>
      <c r="AW75" s="387">
        <f t="shared" si="127"/>
        <v>0</v>
      </c>
      <c r="AX75" s="387">
        <f t="shared" si="128"/>
        <v>3.6000000000000004E-2</v>
      </c>
      <c r="AY75" s="387">
        <f t="shared" si="129"/>
        <v>5.9136000000000001E-2</v>
      </c>
      <c r="AZ75" s="387">
        <f t="shared" si="130"/>
        <v>7.3471999999999996E-2</v>
      </c>
      <c r="BA75" s="387">
        <f t="shared" ref="BA75:BA109" si="152">SUM(AX75:AY75)</f>
        <v>9.5135999999999998E-2</v>
      </c>
      <c r="BB75" s="387">
        <f t="shared" ref="BB75:BB109" si="153">SUM(T75,W75,Z75,AE75,AI75,AN75,AR75, AT75,AU75,BA75,AV75,AW75)</f>
        <v>1.0487507103132285</v>
      </c>
      <c r="BC75">
        <f t="shared" si="131"/>
        <v>47.519999999999996</v>
      </c>
      <c r="BD75" s="606">
        <f t="shared" si="146"/>
        <v>0.97840688313009183</v>
      </c>
      <c r="BE75" s="616">
        <f t="shared" si="132"/>
        <v>11.869447218464945</v>
      </c>
      <c r="BF75" s="616">
        <f t="shared" si="133"/>
        <v>8.2883825322419717</v>
      </c>
      <c r="BG75" s="9"/>
      <c r="BH75" s="4">
        <f t="shared" si="147"/>
        <v>97.840688313009181</v>
      </c>
      <c r="BI75" s="387">
        <f t="shared" si="148"/>
        <v>0.44758254583759677</v>
      </c>
      <c r="BJ75" s="387">
        <f t="shared" si="149"/>
        <v>0.4377147445439985</v>
      </c>
      <c r="BK75" s="387">
        <f t="shared" si="134"/>
        <v>0.23738894436929892</v>
      </c>
      <c r="BL75" s="387">
        <f t="shared" si="135"/>
        <v>0.16576765064483942</v>
      </c>
      <c r="BM75" s="387">
        <f t="shared" si="150"/>
        <v>5.011685509619325E-2</v>
      </c>
      <c r="BS75" s="18"/>
      <c r="BT75" s="19"/>
    </row>
    <row r="76" spans="1:72" x14ac:dyDescent="0.2">
      <c r="A76" s="34" t="s">
        <v>123</v>
      </c>
      <c r="B76" s="79">
        <f>B75*B62</f>
        <v>2.8540799999999997</v>
      </c>
      <c r="C76" s="483" t="s">
        <v>677</v>
      </c>
      <c r="G76">
        <v>67</v>
      </c>
      <c r="H76" s="612">
        <f t="shared" si="97"/>
        <v>19</v>
      </c>
      <c r="I76" s="4" t="str">
        <f t="shared" si="98"/>
        <v>BUCK</v>
      </c>
      <c r="J76">
        <f t="shared" si="136"/>
        <v>1</v>
      </c>
      <c r="K76" s="387">
        <f t="shared" si="137"/>
        <v>4.0199999999999996</v>
      </c>
      <c r="L76" s="4">
        <f t="shared" si="99"/>
        <v>2.6447368421052633</v>
      </c>
      <c r="M76" s="4">
        <f t="shared" si="151"/>
        <v>4.0199999999999996</v>
      </c>
      <c r="N76" s="387">
        <f t="shared" si="100"/>
        <v>0.63467278543265704</v>
      </c>
      <c r="O76" s="387">
        <f t="shared" si="101"/>
        <v>0</v>
      </c>
      <c r="P76" s="4">
        <f t="shared" si="102"/>
        <v>4.1915447361688454</v>
      </c>
      <c r="Q76" s="4">
        <f t="shared" si="103"/>
        <v>4.1981528405885911</v>
      </c>
      <c r="R76" s="387">
        <f t="shared" si="138"/>
        <v>0.10664914919250677</v>
      </c>
      <c r="S76" s="387">
        <f t="shared" si="139"/>
        <v>0.34383180769223981</v>
      </c>
      <c r="T76" s="387">
        <f t="shared" si="140"/>
        <v>0.4504809568847466</v>
      </c>
      <c r="U76" s="4">
        <f t="shared" si="104"/>
        <v>1.2099947408737211</v>
      </c>
      <c r="V76" s="387">
        <f t="shared" si="141"/>
        <v>1.0248610910594444E-2</v>
      </c>
      <c r="W76" s="387">
        <f t="shared" si="142"/>
        <v>1.0248610910594444E-2</v>
      </c>
      <c r="X76" s="4">
        <f t="shared" si="105"/>
        <v>2.0215020993477375</v>
      </c>
      <c r="Y76" s="387">
        <f t="shared" si="143"/>
        <v>8.1729414753346202E-3</v>
      </c>
      <c r="Z76" s="605">
        <f t="shared" si="144"/>
        <v>8.1729414753346202E-3</v>
      </c>
      <c r="AA76" s="387">
        <f t="shared" si="106"/>
        <v>3.3445152756925101</v>
      </c>
      <c r="AB76" s="387">
        <f t="shared" si="107"/>
        <v>6.3758959847241115E-2</v>
      </c>
      <c r="AC76" s="387">
        <f t="shared" si="108"/>
        <v>5.8077730157819217E-2</v>
      </c>
      <c r="AD76" s="387">
        <f t="shared" si="109"/>
        <v>0</v>
      </c>
      <c r="AE76" s="387">
        <f t="shared" si="110"/>
        <v>0.12341039367203382</v>
      </c>
      <c r="AF76" s="387">
        <f t="shared" si="111"/>
        <v>2.5374603136998042</v>
      </c>
      <c r="AG76" s="387">
        <f t="shared" si="112"/>
        <v>3.67006176085286E-2</v>
      </c>
      <c r="AH76" s="387">
        <f t="shared" si="113"/>
        <v>7.2038400000000002E-2</v>
      </c>
      <c r="AI76" s="387">
        <f t="shared" si="114"/>
        <v>0.10954307732705697</v>
      </c>
      <c r="AJ76" s="387">
        <f t="shared" si="115"/>
        <v>0</v>
      </c>
      <c r="AK76" s="387">
        <f t="shared" si="116"/>
        <v>0</v>
      </c>
      <c r="AL76" s="387">
        <f t="shared" si="117"/>
        <v>0</v>
      </c>
      <c r="AM76" s="387">
        <f t="shared" si="118"/>
        <v>0</v>
      </c>
      <c r="AN76" s="387">
        <f t="shared" si="119"/>
        <v>0</v>
      </c>
      <c r="AO76" s="387">
        <f t="shared" si="145"/>
        <v>4.1981528405885911</v>
      </c>
      <c r="AP76" s="387">
        <f t="shared" si="120"/>
        <v>3.3486525818589907E-2</v>
      </c>
      <c r="AQ76" s="387">
        <f t="shared" si="121"/>
        <v>0</v>
      </c>
      <c r="AR76" s="387">
        <f t="shared" si="122"/>
        <v>3.3712307429216451E-2</v>
      </c>
      <c r="AS76" s="387">
        <f t="shared" si="123"/>
        <v>3.3486525818589907E-2</v>
      </c>
      <c r="AT76" s="387">
        <f t="shared" si="124"/>
        <v>0</v>
      </c>
      <c r="AU76" s="387">
        <f t="shared" si="125"/>
        <v>0.17942910721343999</v>
      </c>
      <c r="AV76" s="387">
        <f t="shared" si="126"/>
        <v>5.1509638748812071E-2</v>
      </c>
      <c r="AW76" s="387">
        <f t="shared" si="127"/>
        <v>0</v>
      </c>
      <c r="AX76" s="387">
        <f t="shared" si="128"/>
        <v>3.6000000000000004E-2</v>
      </c>
      <c r="AY76" s="387">
        <f t="shared" si="129"/>
        <v>5.9136000000000001E-2</v>
      </c>
      <c r="AZ76" s="387">
        <f t="shared" si="130"/>
        <v>7.3471999999999996E-2</v>
      </c>
      <c r="BA76" s="387">
        <f t="shared" si="152"/>
        <v>9.5135999999999998E-2</v>
      </c>
      <c r="BB76" s="387">
        <f t="shared" si="153"/>
        <v>1.061643033661235</v>
      </c>
      <c r="BC76">
        <f t="shared" si="131"/>
        <v>48.239999999999995</v>
      </c>
      <c r="BD76" s="606">
        <f t="shared" si="146"/>
        <v>0.97846637620299215</v>
      </c>
      <c r="BE76" s="616">
        <f t="shared" si="132"/>
        <v>12.091680221645211</v>
      </c>
      <c r="BF76" s="616">
        <f t="shared" si="133"/>
        <v>8.4377341353746083</v>
      </c>
      <c r="BG76" s="9"/>
      <c r="BH76" s="4">
        <f t="shared" si="147"/>
        <v>97.846637620299219</v>
      </c>
      <c r="BI76" s="387">
        <f t="shared" si="148"/>
        <v>0.4504809568847466</v>
      </c>
      <c r="BJ76" s="387">
        <f t="shared" si="149"/>
        <v>0.44609488564174726</v>
      </c>
      <c r="BK76" s="387">
        <f t="shared" si="134"/>
        <v>0.24183360443290422</v>
      </c>
      <c r="BL76" s="387">
        <f t="shared" si="135"/>
        <v>0.16875468270749217</v>
      </c>
      <c r="BM76" s="387">
        <f t="shared" si="150"/>
        <v>5.1509638748812071E-2</v>
      </c>
      <c r="BS76" s="18"/>
      <c r="BT76" s="19"/>
    </row>
    <row r="77" spans="1:72" x14ac:dyDescent="0.2">
      <c r="A77" s="34" t="s">
        <v>246</v>
      </c>
      <c r="B77" s="79">
        <f>(Qg_Q1+Qg_Q2)*Fsw+Iq</f>
        <v>7.928000000000001E-3</v>
      </c>
      <c r="C77" s="21" t="s">
        <v>2</v>
      </c>
      <c r="G77">
        <v>68</v>
      </c>
      <c r="H77" s="612">
        <f t="shared" si="97"/>
        <v>19</v>
      </c>
      <c r="I77" s="4" t="str">
        <f t="shared" si="98"/>
        <v>BUCK</v>
      </c>
      <c r="J77">
        <f t="shared" si="136"/>
        <v>1</v>
      </c>
      <c r="K77" s="387">
        <f t="shared" si="137"/>
        <v>4.08</v>
      </c>
      <c r="L77" s="4">
        <f t="shared" si="99"/>
        <v>2.6842105263157898</v>
      </c>
      <c r="M77" s="4">
        <f t="shared" si="151"/>
        <v>4.08</v>
      </c>
      <c r="N77" s="387">
        <f t="shared" si="100"/>
        <v>0.63471888292953571</v>
      </c>
      <c r="O77" s="387">
        <f t="shared" si="101"/>
        <v>0</v>
      </c>
      <c r="P77" s="4">
        <f t="shared" si="102"/>
        <v>4.1914259497637021</v>
      </c>
      <c r="Q77" s="4">
        <f t="shared" si="103"/>
        <v>4.255632067158694</v>
      </c>
      <c r="R77" s="387">
        <f t="shared" si="138"/>
        <v>0.10961531099349425</v>
      </c>
      <c r="S77" s="387">
        <f t="shared" si="139"/>
        <v>0.34380935785822758</v>
      </c>
      <c r="T77" s="387">
        <f t="shared" si="140"/>
        <v>0.45342466885172183</v>
      </c>
      <c r="U77" s="4">
        <f t="shared" si="104"/>
        <v>1.2099604501922281</v>
      </c>
      <c r="V77" s="387">
        <f t="shared" si="141"/>
        <v>1.0248030037205655E-2</v>
      </c>
      <c r="W77" s="387">
        <f t="shared" si="142"/>
        <v>1.0248030037205655E-2</v>
      </c>
      <c r="X77" s="4">
        <f t="shared" si="105"/>
        <v>2.049124723429907</v>
      </c>
      <c r="Y77" s="387">
        <f t="shared" si="143"/>
        <v>8.3978242643433856E-3</v>
      </c>
      <c r="Z77" s="605">
        <f t="shared" si="144"/>
        <v>8.3978242643433856E-3</v>
      </c>
      <c r="AA77" s="387">
        <f t="shared" si="106"/>
        <v>3.390429999425506</v>
      </c>
      <c r="AB77" s="387">
        <f t="shared" si="107"/>
        <v>6.552158881172529E-2</v>
      </c>
      <c r="AC77" s="387">
        <f t="shared" si="108"/>
        <v>5.8944561951219498E-2</v>
      </c>
      <c r="AD77" s="387">
        <f t="shared" si="109"/>
        <v>0</v>
      </c>
      <c r="AE77" s="387">
        <f t="shared" si="110"/>
        <v>0.12611885227903147</v>
      </c>
      <c r="AF77" s="387">
        <f t="shared" si="111"/>
        <v>2.5720397955756718</v>
      </c>
      <c r="AG77" s="387">
        <f t="shared" si="112"/>
        <v>3.7707715647142176E-2</v>
      </c>
      <c r="AH77" s="387">
        <f t="shared" si="113"/>
        <v>7.3113600000000015E-2</v>
      </c>
      <c r="AI77" s="387">
        <f t="shared" si="114"/>
        <v>0.1116634302221424</v>
      </c>
      <c r="AJ77" s="387">
        <f t="shared" si="115"/>
        <v>0</v>
      </c>
      <c r="AK77" s="387">
        <f t="shared" si="116"/>
        <v>0</v>
      </c>
      <c r="AL77" s="387">
        <f t="shared" si="117"/>
        <v>0</v>
      </c>
      <c r="AM77" s="387">
        <f t="shared" si="118"/>
        <v>0</v>
      </c>
      <c r="AN77" s="387">
        <f t="shared" si="119"/>
        <v>0</v>
      </c>
      <c r="AO77" s="387">
        <f t="shared" si="145"/>
        <v>4.255632067158694</v>
      </c>
      <c r="AP77" s="387">
        <f t="shared" si="120"/>
        <v>3.4409768152955822E-2</v>
      </c>
      <c r="AQ77" s="387">
        <f t="shared" si="121"/>
        <v>0</v>
      </c>
      <c r="AR77" s="387">
        <f t="shared" si="122"/>
        <v>3.4648215565862818E-2</v>
      </c>
      <c r="AS77" s="387">
        <f t="shared" si="123"/>
        <v>3.4409768152955822E-2</v>
      </c>
      <c r="AT77" s="387">
        <f t="shared" si="124"/>
        <v>0</v>
      </c>
      <c r="AU77" s="387">
        <f t="shared" si="125"/>
        <v>0.18210387170303999</v>
      </c>
      <c r="AV77" s="387">
        <f t="shared" si="126"/>
        <v>5.2923109680199545E-2</v>
      </c>
      <c r="AW77" s="387">
        <f t="shared" si="127"/>
        <v>0</v>
      </c>
      <c r="AX77" s="387">
        <f t="shared" si="128"/>
        <v>3.6000000000000004E-2</v>
      </c>
      <c r="AY77" s="387">
        <f t="shared" si="129"/>
        <v>5.9136000000000001E-2</v>
      </c>
      <c r="AZ77" s="387">
        <f t="shared" si="130"/>
        <v>7.3471999999999996E-2</v>
      </c>
      <c r="BA77" s="387">
        <f t="shared" si="152"/>
        <v>9.5135999999999998E-2</v>
      </c>
      <c r="BB77" s="387">
        <f t="shared" si="153"/>
        <v>1.0746640026035472</v>
      </c>
      <c r="BC77">
        <f t="shared" si="131"/>
        <v>48.96</v>
      </c>
      <c r="BD77" s="606">
        <f t="shared" si="146"/>
        <v>0.97852161048692909</v>
      </c>
      <c r="BE77" s="616">
        <f t="shared" si="132"/>
        <v>12.315370380151894</v>
      </c>
      <c r="BF77" s="616">
        <f t="shared" si="133"/>
        <v>8.5878853942072801</v>
      </c>
      <c r="BG77" s="9"/>
      <c r="BH77" s="4">
        <f t="shared" si="147"/>
        <v>97.852161048692906</v>
      </c>
      <c r="BI77" s="387">
        <f t="shared" si="148"/>
        <v>0.45342466885172183</v>
      </c>
      <c r="BJ77" s="387">
        <f t="shared" si="149"/>
        <v>0.45453436977007666</v>
      </c>
      <c r="BK77" s="387">
        <f t="shared" si="134"/>
        <v>0.24630740760303788</v>
      </c>
      <c r="BL77" s="387">
        <f t="shared" si="135"/>
        <v>0.1717577078841456</v>
      </c>
      <c r="BM77" s="387">
        <f t="shared" si="150"/>
        <v>5.2923109680199545E-2</v>
      </c>
      <c r="BS77" s="18"/>
      <c r="BT77" s="19"/>
    </row>
    <row r="78" spans="1:72" x14ac:dyDescent="0.2">
      <c r="A78" s="34" t="s">
        <v>247</v>
      </c>
      <c r="B78" s="78">
        <f>Qrr_Q2*Fsw</f>
        <v>1.4112E-2</v>
      </c>
      <c r="C78" s="21" t="s">
        <v>2</v>
      </c>
      <c r="G78">
        <v>69</v>
      </c>
      <c r="H78" s="612">
        <f t="shared" si="97"/>
        <v>19</v>
      </c>
      <c r="I78" s="4" t="str">
        <f t="shared" si="98"/>
        <v>BUCK</v>
      </c>
      <c r="J78">
        <f t="shared" si="136"/>
        <v>1</v>
      </c>
      <c r="K78" s="387">
        <f t="shared" si="137"/>
        <v>4.1399999999999997</v>
      </c>
      <c r="L78" s="4">
        <f t="shared" si="99"/>
        <v>2.7236842105263155</v>
      </c>
      <c r="M78" s="4">
        <f t="shared" si="151"/>
        <v>4.1399999999999997</v>
      </c>
      <c r="N78" s="387">
        <f t="shared" si="100"/>
        <v>0.6347649781013307</v>
      </c>
      <c r="O78" s="387">
        <f t="shared" si="101"/>
        <v>0</v>
      </c>
      <c r="P78" s="4">
        <f t="shared" si="102"/>
        <v>4.1913070865311948</v>
      </c>
      <c r="Q78" s="4">
        <f t="shared" si="103"/>
        <v>4.3131799473011263</v>
      </c>
      <c r="R78" s="387">
        <f t="shared" si="138"/>
        <v>0.11262685042976452</v>
      </c>
      <c r="S78" s="387">
        <f t="shared" si="139"/>
        <v>0.34378689433480009</v>
      </c>
      <c r="T78" s="387">
        <f t="shared" si="140"/>
        <v>0.45641374476456459</v>
      </c>
      <c r="U78" s="4">
        <f t="shared" si="104"/>
        <v>1.2099261373325858</v>
      </c>
      <c r="V78" s="387">
        <f t="shared" si="141"/>
        <v>1.024744880460386E-2</v>
      </c>
      <c r="W78" s="387">
        <f t="shared" si="142"/>
        <v>1.024744880460386E-2</v>
      </c>
      <c r="X78" s="4">
        <f t="shared" si="105"/>
        <v>2.0767789038257107</v>
      </c>
      <c r="Y78" s="387">
        <f t="shared" si="143"/>
        <v>8.6260212307510409E-3</v>
      </c>
      <c r="Z78" s="605">
        <f t="shared" si="144"/>
        <v>8.6260212307510409E-3</v>
      </c>
      <c r="AA78" s="387">
        <f t="shared" si="106"/>
        <v>3.4364027359748457</v>
      </c>
      <c r="AB78" s="387">
        <f t="shared" si="107"/>
        <v>6.7310523453747814E-2</v>
      </c>
      <c r="AC78" s="387">
        <f t="shared" si="108"/>
        <v>5.9811393744619787E-2</v>
      </c>
      <c r="AD78" s="387">
        <f t="shared" si="109"/>
        <v>0</v>
      </c>
      <c r="AE78" s="387">
        <f t="shared" si="110"/>
        <v>0.12885659821361312</v>
      </c>
      <c r="AF78" s="387">
        <f t="shared" si="111"/>
        <v>2.6066563820314221</v>
      </c>
      <c r="AG78" s="387">
        <f t="shared" si="112"/>
        <v>3.8729547715715316E-2</v>
      </c>
      <c r="AH78" s="387">
        <f t="shared" si="113"/>
        <v>7.4188799999999999E-2</v>
      </c>
      <c r="AI78" s="387">
        <f t="shared" si="114"/>
        <v>0.11379983091198452</v>
      </c>
      <c r="AJ78" s="387">
        <f t="shared" si="115"/>
        <v>0</v>
      </c>
      <c r="AK78" s="387">
        <f t="shared" si="116"/>
        <v>0</v>
      </c>
      <c r="AL78" s="387">
        <f t="shared" si="117"/>
        <v>0</v>
      </c>
      <c r="AM78" s="387">
        <f t="shared" si="118"/>
        <v>0</v>
      </c>
      <c r="AN78" s="387">
        <f t="shared" si="119"/>
        <v>0</v>
      </c>
      <c r="AO78" s="387">
        <f t="shared" si="145"/>
        <v>4.3131799473011263</v>
      </c>
      <c r="AP78" s="387">
        <f t="shared" si="120"/>
        <v>3.5346690389821044E-2</v>
      </c>
      <c r="AQ78" s="387">
        <f t="shared" si="121"/>
        <v>0</v>
      </c>
      <c r="AR78" s="387">
        <f t="shared" si="122"/>
        <v>3.5598347140775921E-2</v>
      </c>
      <c r="AS78" s="387">
        <f t="shared" si="123"/>
        <v>3.5346690389821044E-2</v>
      </c>
      <c r="AT78" s="387">
        <f t="shared" si="124"/>
        <v>0</v>
      </c>
      <c r="AU78" s="387">
        <f t="shared" si="125"/>
        <v>0.18477853966655999</v>
      </c>
      <c r="AV78" s="387">
        <f t="shared" si="126"/>
        <v>5.4357259951881148E-2</v>
      </c>
      <c r="AW78" s="387">
        <f t="shared" si="127"/>
        <v>0</v>
      </c>
      <c r="AX78" s="387">
        <f t="shared" si="128"/>
        <v>3.6000000000000004E-2</v>
      </c>
      <c r="AY78" s="387">
        <f t="shared" si="129"/>
        <v>5.9136000000000001E-2</v>
      </c>
      <c r="AZ78" s="387">
        <f t="shared" si="130"/>
        <v>7.3471999999999996E-2</v>
      </c>
      <c r="BA78" s="387">
        <f t="shared" si="152"/>
        <v>9.5135999999999998E-2</v>
      </c>
      <c r="BB78" s="387">
        <f t="shared" si="153"/>
        <v>1.087813790684734</v>
      </c>
      <c r="BC78">
        <f t="shared" si="131"/>
        <v>49.679999999999993</v>
      </c>
      <c r="BD78" s="606">
        <f t="shared" si="146"/>
        <v>0.97857276669092386</v>
      </c>
      <c r="BE78" s="616">
        <f t="shared" si="132"/>
        <v>12.540521719677136</v>
      </c>
      <c r="BF78" s="616">
        <f t="shared" si="133"/>
        <v>8.7388374500974653</v>
      </c>
      <c r="BG78" s="9"/>
      <c r="BH78" s="4">
        <f t="shared" si="147"/>
        <v>97.857276669092386</v>
      </c>
      <c r="BI78" s="387">
        <f t="shared" si="148"/>
        <v>0.45641374476456459</v>
      </c>
      <c r="BJ78" s="387">
        <f t="shared" si="149"/>
        <v>0.46303331593293356</v>
      </c>
      <c r="BK78" s="387">
        <f t="shared" si="134"/>
        <v>0.25081043439354272</v>
      </c>
      <c r="BL78" s="387">
        <f t="shared" si="135"/>
        <v>0.17477674900194931</v>
      </c>
      <c r="BM78" s="387">
        <f t="shared" si="150"/>
        <v>5.4357259951881148E-2</v>
      </c>
      <c r="BS78" s="18"/>
      <c r="BT78" s="19"/>
    </row>
    <row r="79" spans="1:72" x14ac:dyDescent="0.2">
      <c r="A79" s="34" t="s">
        <v>248</v>
      </c>
      <c r="B79" s="78" t="e">
        <f>C79/Vin</f>
        <v>#NAME?</v>
      </c>
      <c r="C79" s="21" t="e">
        <f>Deadtime*Fsw*(Iripple_Vinnom/2)*(VsdTop+VsdBot)</f>
        <v>#NAME?</v>
      </c>
      <c r="G79">
        <v>70</v>
      </c>
      <c r="H79" s="612">
        <f t="shared" si="97"/>
        <v>19</v>
      </c>
      <c r="I79" s="4" t="str">
        <f t="shared" si="98"/>
        <v>BUCK</v>
      </c>
      <c r="J79">
        <f t="shared" si="136"/>
        <v>1</v>
      </c>
      <c r="K79" s="387">
        <f t="shared" si="137"/>
        <v>4.2</v>
      </c>
      <c r="L79" s="4">
        <f t="shared" si="99"/>
        <v>2.7631578947368425</v>
      </c>
      <c r="M79" s="4">
        <f t="shared" si="151"/>
        <v>4.2</v>
      </c>
      <c r="N79" s="387">
        <f t="shared" si="100"/>
        <v>0.63481107094821787</v>
      </c>
      <c r="O79" s="387">
        <f t="shared" si="101"/>
        <v>0</v>
      </c>
      <c r="P79" s="4">
        <f t="shared" si="102"/>
        <v>4.1911881464771357</v>
      </c>
      <c r="Q79" s="4">
        <f t="shared" si="103"/>
        <v>4.3707937692442327</v>
      </c>
      <c r="R79" s="387">
        <f t="shared" si="138"/>
        <v>0.11568383153409269</v>
      </c>
      <c r="S79" s="387">
        <f t="shared" si="139"/>
        <v>0.34376441712465911</v>
      </c>
      <c r="T79" s="387">
        <f t="shared" si="140"/>
        <v>0.45944824865875178</v>
      </c>
      <c r="U79" s="4">
        <f t="shared" si="104"/>
        <v>1.2098918022964715</v>
      </c>
      <c r="V79" s="387">
        <f t="shared" si="141"/>
        <v>1.0246867212849429E-2</v>
      </c>
      <c r="W79" s="387">
        <f t="shared" si="142"/>
        <v>1.0246867212849429E-2</v>
      </c>
      <c r="X79" s="4">
        <f t="shared" si="105"/>
        <v>2.1044633314982812</v>
      </c>
      <c r="Y79" s="387">
        <f t="shared" si="143"/>
        <v>8.8575318272416902E-3</v>
      </c>
      <c r="Z79" s="605">
        <f t="shared" si="144"/>
        <v>8.8575318272416902E-3</v>
      </c>
      <c r="AA79" s="387">
        <f t="shared" si="106"/>
        <v>3.4824313302621341</v>
      </c>
      <c r="AB79" s="387">
        <f t="shared" si="107"/>
        <v>6.9125769428950393E-2</v>
      </c>
      <c r="AC79" s="387">
        <f t="shared" si="108"/>
        <v>6.0678225538020075E-2</v>
      </c>
      <c r="AD79" s="387">
        <f t="shared" si="109"/>
        <v>0</v>
      </c>
      <c r="AE79" s="387">
        <f t="shared" si="110"/>
        <v>0.13162371305497458</v>
      </c>
      <c r="AF79" s="387">
        <f t="shared" si="111"/>
        <v>2.6413084263813094</v>
      </c>
      <c r="AG79" s="387">
        <f t="shared" si="112"/>
        <v>3.9766108158655583E-2</v>
      </c>
      <c r="AH79" s="387">
        <f t="shared" si="113"/>
        <v>7.5264000000000011E-2</v>
      </c>
      <c r="AI79" s="387">
        <f t="shared" si="114"/>
        <v>0.11595230251930112</v>
      </c>
      <c r="AJ79" s="387">
        <f t="shared" si="115"/>
        <v>0</v>
      </c>
      <c r="AK79" s="387">
        <f t="shared" si="116"/>
        <v>0</v>
      </c>
      <c r="AL79" s="387">
        <f t="shared" si="117"/>
        <v>0</v>
      </c>
      <c r="AM79" s="387">
        <f t="shared" si="118"/>
        <v>0</v>
      </c>
      <c r="AN79" s="387">
        <f t="shared" si="119"/>
        <v>0</v>
      </c>
      <c r="AO79" s="387">
        <f t="shared" si="145"/>
        <v>4.3707937692442327</v>
      </c>
      <c r="AP79" s="387">
        <f t="shared" si="120"/>
        <v>3.6297292529201997E-2</v>
      </c>
      <c r="AQ79" s="387">
        <f t="shared" si="121"/>
        <v>0</v>
      </c>
      <c r="AR79" s="387">
        <f t="shared" si="122"/>
        <v>3.6562718063847241E-2</v>
      </c>
      <c r="AS79" s="387">
        <f t="shared" si="123"/>
        <v>3.6297292529201997E-2</v>
      </c>
      <c r="AT79" s="387">
        <f t="shared" si="124"/>
        <v>0</v>
      </c>
      <c r="AU79" s="387">
        <f t="shared" si="125"/>
        <v>0.18745311110399998</v>
      </c>
      <c r="AV79" s="387">
        <f t="shared" si="126"/>
        <v>5.5812081626183271E-2</v>
      </c>
      <c r="AW79" s="387">
        <f t="shared" si="127"/>
        <v>0</v>
      </c>
      <c r="AX79" s="387">
        <f t="shared" si="128"/>
        <v>3.6000000000000004E-2</v>
      </c>
      <c r="AY79" s="387">
        <f t="shared" si="129"/>
        <v>5.9136000000000001E-2</v>
      </c>
      <c r="AZ79" s="387">
        <f t="shared" si="130"/>
        <v>7.3471999999999996E-2</v>
      </c>
      <c r="BA79" s="387">
        <f t="shared" si="152"/>
        <v>9.5135999999999998E-2</v>
      </c>
      <c r="BB79" s="387">
        <f t="shared" si="153"/>
        <v>1.1010925740671491</v>
      </c>
      <c r="BC79">
        <f t="shared" si="131"/>
        <v>50.400000000000006</v>
      </c>
      <c r="BD79" s="606">
        <f t="shared" si="146"/>
        <v>0.97862001524562614</v>
      </c>
      <c r="BE79" s="616">
        <f t="shared" si="132"/>
        <v>12.767138319180729</v>
      </c>
      <c r="BF79" s="616">
        <f t="shared" si="133"/>
        <v>8.8905914591810564</v>
      </c>
      <c r="BG79" s="9"/>
      <c r="BH79" s="4">
        <f t="shared" si="147"/>
        <v>97.862001524562615</v>
      </c>
      <c r="BI79" s="387">
        <f t="shared" si="148"/>
        <v>0.45944824865875178</v>
      </c>
      <c r="BJ79" s="387">
        <f t="shared" si="149"/>
        <v>0.47159184474212296</v>
      </c>
      <c r="BK79" s="387">
        <f t="shared" si="134"/>
        <v>0.25534276638361458</v>
      </c>
      <c r="BL79" s="387">
        <f t="shared" si="135"/>
        <v>0.17781182918362112</v>
      </c>
      <c r="BM79" s="387">
        <f t="shared" si="150"/>
        <v>5.5812081626183271E-2</v>
      </c>
      <c r="BS79" s="18"/>
      <c r="BT79" s="19"/>
    </row>
    <row r="80" spans="1:72" x14ac:dyDescent="0.2">
      <c r="A80" s="34" t="s">
        <v>49</v>
      </c>
      <c r="B80" s="78" t="e">
        <f>SUM(B77:B79)</f>
        <v>#NAME?</v>
      </c>
      <c r="C80" s="21" t="s">
        <v>2</v>
      </c>
      <c r="G80">
        <v>71</v>
      </c>
      <c r="H80" s="612">
        <f t="shared" si="97"/>
        <v>19</v>
      </c>
      <c r="I80" s="4" t="str">
        <f t="shared" si="98"/>
        <v>BUCK</v>
      </c>
      <c r="J80">
        <f t="shared" si="136"/>
        <v>1</v>
      </c>
      <c r="K80" s="387">
        <f t="shared" si="137"/>
        <v>4.26</v>
      </c>
      <c r="L80" s="4">
        <f t="shared" si="99"/>
        <v>2.8026315789473686</v>
      </c>
      <c r="M80" s="4">
        <f t="shared" si="151"/>
        <v>4.26</v>
      </c>
      <c r="N80" s="387">
        <f t="shared" si="100"/>
        <v>0.63485716147037308</v>
      </c>
      <c r="O80" s="387">
        <f t="shared" si="101"/>
        <v>0</v>
      </c>
      <c r="P80" s="4">
        <f t="shared" si="102"/>
        <v>4.191069129607337</v>
      </c>
      <c r="Q80" s="4">
        <f t="shared" si="103"/>
        <v>4.4284709593073952</v>
      </c>
      <c r="R80" s="387">
        <f t="shared" si="138"/>
        <v>0.11878631935212769</v>
      </c>
      <c r="S80" s="387">
        <f t="shared" si="139"/>
        <v>0.34374192623050709</v>
      </c>
      <c r="T80" s="387">
        <f t="shared" si="140"/>
        <v>0.46252824558263478</v>
      </c>
      <c r="U80" s="4">
        <f t="shared" si="104"/>
        <v>1.2098574450855633</v>
      </c>
      <c r="V80" s="387">
        <f t="shared" si="141"/>
        <v>1.0246285262002768E-2</v>
      </c>
      <c r="W80" s="387">
        <f t="shared" si="142"/>
        <v>1.0246285262002768E-2</v>
      </c>
      <c r="X80" s="4">
        <f t="shared" si="105"/>
        <v>2.1321767640358491</v>
      </c>
      <c r="Y80" s="387">
        <f t="shared" si="143"/>
        <v>9.0923555061887713E-3</v>
      </c>
      <c r="Z80" s="605">
        <f t="shared" si="144"/>
        <v>9.0923555061887713E-3</v>
      </c>
      <c r="AA80" s="387">
        <f t="shared" si="106"/>
        <v>3.5285137369223678</v>
      </c>
      <c r="AB80" s="387">
        <f t="shared" si="107"/>
        <v>7.0967332392404159E-2</v>
      </c>
      <c r="AC80" s="387">
        <f t="shared" si="108"/>
        <v>6.1545057331420364E-2</v>
      </c>
      <c r="AD80" s="387">
        <f t="shared" si="109"/>
        <v>0</v>
      </c>
      <c r="AE80" s="387">
        <f t="shared" si="110"/>
        <v>0.13442027945428697</v>
      </c>
      <c r="AF80" s="387">
        <f t="shared" si="111"/>
        <v>2.6759943657973402</v>
      </c>
      <c r="AG80" s="387">
        <f t="shared" si="112"/>
        <v>4.0817391320940921E-2</v>
      </c>
      <c r="AH80" s="387">
        <f t="shared" si="113"/>
        <v>7.633920000000001E-2</v>
      </c>
      <c r="AI80" s="387">
        <f t="shared" si="114"/>
        <v>0.11812086846318719</v>
      </c>
      <c r="AJ80" s="387">
        <f t="shared" si="115"/>
        <v>0</v>
      </c>
      <c r="AK80" s="387">
        <f t="shared" si="116"/>
        <v>0</v>
      </c>
      <c r="AL80" s="387">
        <f t="shared" si="117"/>
        <v>0</v>
      </c>
      <c r="AM80" s="387">
        <f t="shared" si="118"/>
        <v>0</v>
      </c>
      <c r="AN80" s="387">
        <f t="shared" si="119"/>
        <v>0</v>
      </c>
      <c r="AO80" s="387">
        <f t="shared" si="145"/>
        <v>4.4284709593073952</v>
      </c>
      <c r="AP80" s="387">
        <f t="shared" si="120"/>
        <v>3.7261574571115029E-2</v>
      </c>
      <c r="AQ80" s="387">
        <f t="shared" si="121"/>
        <v>0</v>
      </c>
      <c r="AR80" s="387">
        <f t="shared" si="122"/>
        <v>3.7541344492577046E-2</v>
      </c>
      <c r="AS80" s="387">
        <f t="shared" si="123"/>
        <v>3.7261574571115029E-2</v>
      </c>
      <c r="AT80" s="387">
        <f t="shared" si="124"/>
        <v>0</v>
      </c>
      <c r="AU80" s="387">
        <f t="shared" si="125"/>
        <v>0.19012758601535998</v>
      </c>
      <c r="AV80" s="387">
        <f t="shared" si="126"/>
        <v>5.7287566766232874E-2</v>
      </c>
      <c r="AW80" s="387">
        <f t="shared" si="127"/>
        <v>0</v>
      </c>
      <c r="AX80" s="387">
        <f t="shared" si="128"/>
        <v>3.6000000000000004E-2</v>
      </c>
      <c r="AY80" s="387">
        <f t="shared" si="129"/>
        <v>5.9136000000000001E-2</v>
      </c>
      <c r="AZ80" s="387">
        <f t="shared" si="130"/>
        <v>7.3471999999999996E-2</v>
      </c>
      <c r="BA80" s="387">
        <f t="shared" si="152"/>
        <v>9.5135999999999998E-2</v>
      </c>
      <c r="BB80" s="387">
        <f t="shared" si="153"/>
        <v>1.1145005315424703</v>
      </c>
      <c r="BC80">
        <f t="shared" si="131"/>
        <v>51.12</v>
      </c>
      <c r="BD80" s="606">
        <f t="shared" si="146"/>
        <v>0.97866351702033672</v>
      </c>
      <c r="BE80" s="616">
        <f t="shared" si="132"/>
        <v>12.995224311221227</v>
      </c>
      <c r="BF80" s="616">
        <f t="shared" si="133"/>
        <v>9.0431485924127983</v>
      </c>
      <c r="BG80" s="9"/>
      <c r="BH80" s="4">
        <f t="shared" si="147"/>
        <v>97.866351702033668</v>
      </c>
      <c r="BI80" s="387">
        <f t="shared" si="148"/>
        <v>0.46252824558263478</v>
      </c>
      <c r="BJ80" s="387">
        <f t="shared" si="149"/>
        <v>0.48021007842541119</v>
      </c>
      <c r="BK80" s="387">
        <f t="shared" si="134"/>
        <v>0.25990448622442452</v>
      </c>
      <c r="BL80" s="387">
        <f t="shared" si="135"/>
        <v>0.18086297184825598</v>
      </c>
      <c r="BM80" s="387">
        <f t="shared" si="150"/>
        <v>5.7287566766232874E-2</v>
      </c>
      <c r="BS80" s="18"/>
      <c r="BT80" s="19"/>
    </row>
    <row r="81" spans="1:72" x14ac:dyDescent="0.2">
      <c r="A81" s="2"/>
      <c r="G81">
        <v>72</v>
      </c>
      <c r="H81" s="612">
        <f t="shared" si="97"/>
        <v>19</v>
      </c>
      <c r="I81" s="4" t="str">
        <f t="shared" si="98"/>
        <v>BUCK</v>
      </c>
      <c r="J81">
        <f t="shared" si="136"/>
        <v>1</v>
      </c>
      <c r="K81" s="387">
        <f t="shared" si="137"/>
        <v>4.32</v>
      </c>
      <c r="L81" s="4">
        <f t="shared" si="99"/>
        <v>2.8421052631578951</v>
      </c>
      <c r="M81" s="4">
        <f t="shared" si="151"/>
        <v>4.32</v>
      </c>
      <c r="N81" s="387">
        <f t="shared" si="100"/>
        <v>0.6349032496679724</v>
      </c>
      <c r="O81" s="387">
        <f t="shared" si="101"/>
        <v>0</v>
      </c>
      <c r="P81" s="4">
        <f t="shared" si="102"/>
        <v>4.1909500359276119</v>
      </c>
      <c r="Q81" s="4">
        <f t="shared" si="103"/>
        <v>4.4862090734052362</v>
      </c>
      <c r="R81" s="387">
        <f t="shared" si="138"/>
        <v>0.12193437994589115</v>
      </c>
      <c r="S81" s="387">
        <f t="shared" si="139"/>
        <v>0.34371942165504898</v>
      </c>
      <c r="T81" s="387">
        <f t="shared" si="140"/>
        <v>0.46565380160094016</v>
      </c>
      <c r="U81" s="4">
        <f t="shared" si="104"/>
        <v>1.2098230657015394</v>
      </c>
      <c r="V81" s="387">
        <f t="shared" si="141"/>
        <v>1.02457029521243E-2</v>
      </c>
      <c r="W81" s="387">
        <f t="shared" si="142"/>
        <v>1.02457029521243E-2</v>
      </c>
      <c r="X81" s="4">
        <f t="shared" si="105"/>
        <v>2.1599180215525773</v>
      </c>
      <c r="Y81" s="387">
        <f t="shared" si="143"/>
        <v>9.3304917196551998E-3</v>
      </c>
      <c r="Z81" s="605">
        <f t="shared" si="144"/>
        <v>9.3304917196551998E-3</v>
      </c>
      <c r="AA81" s="387">
        <f t="shared" si="106"/>
        <v>3.5746480135544498</v>
      </c>
      <c r="AB81" s="387">
        <f t="shared" si="107"/>
        <v>7.2835217998610008E-2</v>
      </c>
      <c r="AC81" s="387">
        <f t="shared" si="108"/>
        <v>6.2411889124820659E-2</v>
      </c>
      <c r="AD81" s="387">
        <f t="shared" si="109"/>
        <v>0</v>
      </c>
      <c r="AE81" s="387">
        <f t="shared" si="110"/>
        <v>0.13724638114142182</v>
      </c>
      <c r="AF81" s="387">
        <f t="shared" si="111"/>
        <v>2.7107127161495175</v>
      </c>
      <c r="AG81" s="387">
        <f t="shared" si="112"/>
        <v>4.1883391548119764E-2</v>
      </c>
      <c r="AH81" s="387">
        <f t="shared" si="113"/>
        <v>7.7414400000000008E-2</v>
      </c>
      <c r="AI81" s="387">
        <f t="shared" si="114"/>
        <v>0.12030555245993826</v>
      </c>
      <c r="AJ81" s="387">
        <f t="shared" si="115"/>
        <v>0</v>
      </c>
      <c r="AK81" s="387">
        <f t="shared" si="116"/>
        <v>0</v>
      </c>
      <c r="AL81" s="387">
        <f t="shared" si="117"/>
        <v>0</v>
      </c>
      <c r="AM81" s="387">
        <f t="shared" si="118"/>
        <v>0</v>
      </c>
      <c r="AN81" s="387">
        <f t="shared" si="119"/>
        <v>0</v>
      </c>
      <c r="AO81" s="387">
        <f t="shared" si="145"/>
        <v>4.4862090734052362</v>
      </c>
      <c r="AP81" s="387">
        <f t="shared" si="120"/>
        <v>3.8239536515576586E-2</v>
      </c>
      <c r="AQ81" s="387">
        <f t="shared" si="121"/>
        <v>0</v>
      </c>
      <c r="AR81" s="387">
        <f t="shared" si="122"/>
        <v>3.8534242832757248E-2</v>
      </c>
      <c r="AS81" s="387">
        <f t="shared" si="123"/>
        <v>3.8239536515576586E-2</v>
      </c>
      <c r="AT81" s="387">
        <f t="shared" si="124"/>
        <v>0</v>
      </c>
      <c r="AU81" s="387">
        <f t="shared" si="125"/>
        <v>0.19280196440063999</v>
      </c>
      <c r="AV81" s="387">
        <f t="shared" si="126"/>
        <v>5.8783707435957559E-2</v>
      </c>
      <c r="AW81" s="387">
        <f t="shared" si="127"/>
        <v>0</v>
      </c>
      <c r="AX81" s="387">
        <f t="shared" si="128"/>
        <v>3.6000000000000004E-2</v>
      </c>
      <c r="AY81" s="387">
        <f t="shared" si="129"/>
        <v>5.9136000000000001E-2</v>
      </c>
      <c r="AZ81" s="387">
        <f t="shared" si="130"/>
        <v>7.3471999999999996E-2</v>
      </c>
      <c r="BA81" s="387">
        <f t="shared" si="152"/>
        <v>9.5135999999999998E-2</v>
      </c>
      <c r="BB81" s="387">
        <f t="shared" si="153"/>
        <v>1.1280378445434345</v>
      </c>
      <c r="BC81">
        <f t="shared" si="131"/>
        <v>51.84</v>
      </c>
      <c r="BD81" s="606">
        <f t="shared" si="146"/>
        <v>0.97870342398081411</v>
      </c>
      <c r="BE81" s="616">
        <f t="shared" si="132"/>
        <v>13.224783882292213</v>
      </c>
      <c r="BF81" s="616">
        <f t="shared" si="133"/>
        <v>9.1965100356074725</v>
      </c>
      <c r="BG81" s="9"/>
      <c r="BH81" s="4">
        <f t="shared" si="147"/>
        <v>97.870342398081405</v>
      </c>
      <c r="BI81" s="387">
        <f t="shared" si="148"/>
        <v>0.46565380160094016</v>
      </c>
      <c r="BJ81" s="387">
        <f t="shared" si="149"/>
        <v>0.48888814083475729</v>
      </c>
      <c r="BK81" s="387">
        <f t="shared" si="134"/>
        <v>0.26449567764584425</v>
      </c>
      <c r="BL81" s="387">
        <f t="shared" si="135"/>
        <v>0.18393020071214947</v>
      </c>
      <c r="BM81" s="387">
        <f t="shared" si="150"/>
        <v>5.8783707435957559E-2</v>
      </c>
      <c r="BS81" s="18"/>
      <c r="BT81" s="19"/>
    </row>
    <row r="82" spans="1:72" x14ac:dyDescent="0.2">
      <c r="A82" s="2"/>
      <c r="G82">
        <v>73</v>
      </c>
      <c r="H82" s="612">
        <f t="shared" si="97"/>
        <v>19</v>
      </c>
      <c r="I82" s="4" t="str">
        <f t="shared" si="98"/>
        <v>BUCK</v>
      </c>
      <c r="J82">
        <f t="shared" si="136"/>
        <v>1</v>
      </c>
      <c r="K82" s="387">
        <f t="shared" si="137"/>
        <v>4.38</v>
      </c>
      <c r="L82" s="4">
        <f t="shared" si="99"/>
        <v>2.8815789473684212</v>
      </c>
      <c r="M82" s="4">
        <f t="shared" si="151"/>
        <v>4.38</v>
      </c>
      <c r="N82" s="387">
        <f t="shared" si="100"/>
        <v>0.63494933554119137</v>
      </c>
      <c r="O82" s="387">
        <f t="shared" si="101"/>
        <v>0</v>
      </c>
      <c r="P82" s="4">
        <f t="shared" si="102"/>
        <v>4.1908308654437656</v>
      </c>
      <c r="Q82" s="4">
        <f t="shared" si="103"/>
        <v>4.5440057891574419</v>
      </c>
      <c r="R82" s="387">
        <f t="shared" si="138"/>
        <v>0.12512808039733292</v>
      </c>
      <c r="S82" s="387">
        <f t="shared" si="139"/>
        <v>0.3436969034009868</v>
      </c>
      <c r="T82" s="387">
        <f t="shared" si="140"/>
        <v>0.46882498379831972</v>
      </c>
      <c r="U82" s="4">
        <f t="shared" si="104"/>
        <v>1.2097886641460753</v>
      </c>
      <c r="V82" s="387">
        <f t="shared" si="141"/>
        <v>1.0245120283274418E-2</v>
      </c>
      <c r="W82" s="387">
        <f t="shared" si="142"/>
        <v>1.0245120283274418E-2</v>
      </c>
      <c r="X82" s="4">
        <f t="shared" si="105"/>
        <v>2.187685982881618</v>
      </c>
      <c r="Y82" s="387">
        <f t="shared" si="143"/>
        <v>9.5719399193934223E-3</v>
      </c>
      <c r="Z82" s="605">
        <f t="shared" si="144"/>
        <v>9.5719399193934223E-3</v>
      </c>
      <c r="AA82" s="387">
        <f t="shared" si="106"/>
        <v>3.6208323144528074</v>
      </c>
      <c r="AB82" s="387">
        <f t="shared" si="107"/>
        <v>7.4729431901498347E-2</v>
      </c>
      <c r="AC82" s="387">
        <f t="shared" si="108"/>
        <v>6.327872091822094E-2</v>
      </c>
      <c r="AD82" s="387">
        <f t="shared" si="109"/>
        <v>0</v>
      </c>
      <c r="AE82" s="387">
        <f t="shared" si="110"/>
        <v>0.14010210293177872</v>
      </c>
      <c r="AF82" s="387">
        <f t="shared" si="111"/>
        <v>2.7454620672139463</v>
      </c>
      <c r="AG82" s="387">
        <f t="shared" si="112"/>
        <v>4.2964103186310845E-2</v>
      </c>
      <c r="AH82" s="387">
        <f t="shared" si="113"/>
        <v>7.8489600000000007E-2</v>
      </c>
      <c r="AI82" s="387">
        <f t="shared" si="114"/>
        <v>0.12250637852388717</v>
      </c>
      <c r="AJ82" s="387">
        <f t="shared" si="115"/>
        <v>0</v>
      </c>
      <c r="AK82" s="387">
        <f t="shared" si="116"/>
        <v>0</v>
      </c>
      <c r="AL82" s="387">
        <f t="shared" si="117"/>
        <v>0</v>
      </c>
      <c r="AM82" s="387">
        <f t="shared" si="118"/>
        <v>0</v>
      </c>
      <c r="AN82" s="387">
        <f t="shared" si="119"/>
        <v>0</v>
      </c>
      <c r="AO82" s="387">
        <f t="shared" si="145"/>
        <v>4.5440057891574419</v>
      </c>
      <c r="AP82" s="387">
        <f t="shared" si="120"/>
        <v>3.9231178362603057E-2</v>
      </c>
      <c r="AQ82" s="387">
        <f t="shared" si="121"/>
        <v>0</v>
      </c>
      <c r="AR82" s="387">
        <f t="shared" si="122"/>
        <v>3.9541429739164961E-2</v>
      </c>
      <c r="AS82" s="387">
        <f t="shared" si="123"/>
        <v>3.9231178362603057E-2</v>
      </c>
      <c r="AT82" s="387">
        <f t="shared" si="124"/>
        <v>0</v>
      </c>
      <c r="AU82" s="387">
        <f t="shared" si="125"/>
        <v>0.19547624625984</v>
      </c>
      <c r="AV82" s="387">
        <f t="shared" si="126"/>
        <v>6.0300495700085402E-2</v>
      </c>
      <c r="AW82" s="387">
        <f t="shared" si="127"/>
        <v>0</v>
      </c>
      <c r="AX82" s="387">
        <f t="shared" si="128"/>
        <v>3.6000000000000004E-2</v>
      </c>
      <c r="AY82" s="387">
        <f t="shared" si="129"/>
        <v>5.9136000000000001E-2</v>
      </c>
      <c r="AZ82" s="387">
        <f t="shared" si="130"/>
        <v>7.3471999999999996E-2</v>
      </c>
      <c r="BA82" s="387">
        <f t="shared" si="152"/>
        <v>9.5135999999999998E-2</v>
      </c>
      <c r="BB82" s="387">
        <f t="shared" si="153"/>
        <v>1.1417046971557439</v>
      </c>
      <c r="BC82">
        <f t="shared" si="131"/>
        <v>52.56</v>
      </c>
      <c r="BD82" s="606">
        <f t="shared" si="146"/>
        <v>0.97873987979349542</v>
      </c>
      <c r="BE82" s="616">
        <f t="shared" si="132"/>
        <v>13.455821273163657</v>
      </c>
      <c r="BF82" s="616">
        <f t="shared" si="133"/>
        <v>9.3506769894817179</v>
      </c>
      <c r="BG82" s="9"/>
      <c r="BH82" s="4">
        <f t="shared" si="147"/>
        <v>97.873987979349536</v>
      </c>
      <c r="BI82" s="387">
        <f t="shared" si="148"/>
        <v>0.46882498379831972</v>
      </c>
      <c r="BJ82" s="387">
        <f t="shared" si="149"/>
        <v>0.49762615745467087</v>
      </c>
      <c r="BK82" s="387">
        <f t="shared" si="134"/>
        <v>0.26911642546327313</v>
      </c>
      <c r="BL82" s="387">
        <f t="shared" si="135"/>
        <v>0.18701353978963436</v>
      </c>
      <c r="BM82" s="387">
        <f t="shared" si="150"/>
        <v>6.0300495700085402E-2</v>
      </c>
      <c r="BS82" s="18"/>
      <c r="BT82" s="19"/>
    </row>
    <row r="83" spans="1:72" x14ac:dyDescent="0.2">
      <c r="A83" s="2"/>
      <c r="G83">
        <v>74</v>
      </c>
      <c r="H83" s="612">
        <f t="shared" si="97"/>
        <v>19</v>
      </c>
      <c r="I83" s="4" t="str">
        <f t="shared" si="98"/>
        <v>BUCK</v>
      </c>
      <c r="J83">
        <f t="shared" si="136"/>
        <v>1</v>
      </c>
      <c r="K83" s="387">
        <f t="shared" si="137"/>
        <v>4.4400000000000004</v>
      </c>
      <c r="L83" s="4">
        <f t="shared" si="99"/>
        <v>2.9210526315789478</v>
      </c>
      <c r="M83" s="4">
        <f t="shared" si="151"/>
        <v>4.4400000000000004</v>
      </c>
      <c r="N83" s="387">
        <f t="shared" si="100"/>
        <v>0.63499541909020596</v>
      </c>
      <c r="O83" s="387">
        <f t="shared" si="101"/>
        <v>0</v>
      </c>
      <c r="P83" s="4">
        <f t="shared" si="102"/>
        <v>4.1907116181616111</v>
      </c>
      <c r="Q83" s="4">
        <f t="shared" si="103"/>
        <v>4.6018588985556947</v>
      </c>
      <c r="R83" s="387">
        <f t="shared" si="138"/>
        <v>0.12836748881194651</v>
      </c>
      <c r="S83" s="387">
        <f t="shared" si="139"/>
        <v>0.34367437147102692</v>
      </c>
      <c r="T83" s="387">
        <f t="shared" si="140"/>
        <v>0.47204186028297346</v>
      </c>
      <c r="U83" s="4">
        <f t="shared" si="104"/>
        <v>1.2097542404208492</v>
      </c>
      <c r="V83" s="387">
        <f t="shared" si="141"/>
        <v>1.0244537255513582E-2</v>
      </c>
      <c r="W83" s="387">
        <f t="shared" si="142"/>
        <v>1.0244537255513582E-2</v>
      </c>
      <c r="X83" s="4">
        <f t="shared" si="105"/>
        <v>2.2154795820369793</v>
      </c>
      <c r="Y83" s="387">
        <f t="shared" si="143"/>
        <v>9.8166995568454967E-3</v>
      </c>
      <c r="Z83" s="605">
        <f t="shared" si="144"/>
        <v>9.8166995568454967E-3</v>
      </c>
      <c r="AA83" s="387">
        <f t="shared" si="106"/>
        <v>3.6670648847815781</v>
      </c>
      <c r="AB83" s="387">
        <f t="shared" si="107"/>
        <v>7.6649979754429332E-2</v>
      </c>
      <c r="AC83" s="387">
        <f t="shared" si="108"/>
        <v>6.4145552711621229E-2</v>
      </c>
      <c r="AD83" s="387">
        <f t="shared" si="109"/>
        <v>0</v>
      </c>
      <c r="AE83" s="387">
        <f t="shared" si="110"/>
        <v>0.14298753073321796</v>
      </c>
      <c r="AF83" s="387">
        <f t="shared" si="111"/>
        <v>2.7802410782193157</v>
      </c>
      <c r="AG83" s="387">
        <f t="shared" si="112"/>
        <v>4.4059520582203186E-2</v>
      </c>
      <c r="AH83" s="387">
        <f t="shared" si="113"/>
        <v>7.9564800000000019E-2</v>
      </c>
      <c r="AI83" s="387">
        <f t="shared" si="114"/>
        <v>0.12472337096825473</v>
      </c>
      <c r="AJ83" s="387">
        <f t="shared" si="115"/>
        <v>0</v>
      </c>
      <c r="AK83" s="387">
        <f t="shared" si="116"/>
        <v>0</v>
      </c>
      <c r="AL83" s="387">
        <f t="shared" si="117"/>
        <v>0</v>
      </c>
      <c r="AM83" s="387">
        <f t="shared" si="118"/>
        <v>0</v>
      </c>
      <c r="AN83" s="387">
        <f t="shared" si="119"/>
        <v>0</v>
      </c>
      <c r="AO83" s="387">
        <f t="shared" si="145"/>
        <v>4.6018588985556947</v>
      </c>
      <c r="AP83" s="387">
        <f t="shared" si="120"/>
        <v>4.0236500112210839E-2</v>
      </c>
      <c r="AQ83" s="387">
        <f t="shared" si="121"/>
        <v>0</v>
      </c>
      <c r="AR83" s="387">
        <f t="shared" si="122"/>
        <v>4.05629221162674E-2</v>
      </c>
      <c r="AS83" s="387">
        <f t="shared" si="123"/>
        <v>4.0236500112210839E-2</v>
      </c>
      <c r="AT83" s="387">
        <f t="shared" si="124"/>
        <v>0</v>
      </c>
      <c r="AU83" s="387">
        <f t="shared" si="125"/>
        <v>0.19815043159296</v>
      </c>
      <c r="AV83" s="387">
        <f t="shared" si="126"/>
        <v>6.1837923624144822E-2</v>
      </c>
      <c r="AW83" s="387">
        <f t="shared" si="127"/>
        <v>0</v>
      </c>
      <c r="AX83" s="387">
        <f t="shared" si="128"/>
        <v>3.6000000000000004E-2</v>
      </c>
      <c r="AY83" s="387">
        <f t="shared" si="129"/>
        <v>5.9136000000000001E-2</v>
      </c>
      <c r="AZ83" s="387">
        <f t="shared" si="130"/>
        <v>7.3471999999999996E-2</v>
      </c>
      <c r="BA83" s="387">
        <f t="shared" si="152"/>
        <v>9.5135999999999998E-2</v>
      </c>
      <c r="BB83" s="387">
        <f t="shared" si="153"/>
        <v>1.1555012761301775</v>
      </c>
      <c r="BC83">
        <f t="shared" si="131"/>
        <v>53.28</v>
      </c>
      <c r="BD83" s="606">
        <f t="shared" si="146"/>
        <v>0.9787730203811521</v>
      </c>
      <c r="BE83" s="616">
        <f t="shared" si="132"/>
        <v>13.688340779228577</v>
      </c>
      <c r="BF83" s="616">
        <f t="shared" si="133"/>
        <v>9.5056506696965766</v>
      </c>
      <c r="BG83" s="9"/>
      <c r="BH83" s="4">
        <f t="shared" si="147"/>
        <v>97.877302038115204</v>
      </c>
      <c r="BI83" s="387">
        <f t="shared" si="148"/>
        <v>0.47204186028297346</v>
      </c>
      <c r="BJ83" s="387">
        <f t="shared" si="149"/>
        <v>0.50642425541070013</v>
      </c>
      <c r="BK83" s="387">
        <f t="shared" si="134"/>
        <v>0.27376681558457155</v>
      </c>
      <c r="BL83" s="387">
        <f t="shared" si="135"/>
        <v>0.19011301339393152</v>
      </c>
      <c r="BM83" s="387">
        <f t="shared" si="150"/>
        <v>6.1837923624144822E-2</v>
      </c>
      <c r="BS83" s="18"/>
      <c r="BT83" s="19"/>
    </row>
    <row r="84" spans="1:72" x14ac:dyDescent="0.2">
      <c r="G84">
        <v>75</v>
      </c>
      <c r="H84" s="612">
        <f t="shared" si="97"/>
        <v>19</v>
      </c>
      <c r="I84" s="4" t="str">
        <f t="shared" si="98"/>
        <v>BUCK</v>
      </c>
      <c r="J84">
        <f t="shared" si="136"/>
        <v>1</v>
      </c>
      <c r="K84" s="387">
        <f t="shared" si="137"/>
        <v>4.5</v>
      </c>
      <c r="L84" s="4">
        <f t="shared" si="99"/>
        <v>2.9605263157894739</v>
      </c>
      <c r="M84" s="4">
        <f t="shared" si="151"/>
        <v>4.5</v>
      </c>
      <c r="N84" s="387">
        <f t="shared" si="100"/>
        <v>0.63504150031519224</v>
      </c>
      <c r="O84" s="387">
        <f t="shared" si="101"/>
        <v>0</v>
      </c>
      <c r="P84" s="4">
        <f t="shared" si="102"/>
        <v>4.1905922940869598</v>
      </c>
      <c r="Q84" s="4">
        <f t="shared" si="103"/>
        <v>4.6597663011434118</v>
      </c>
      <c r="R84" s="387">
        <f t="shared" si="138"/>
        <v>0.13165267432244307</v>
      </c>
      <c r="S84" s="387">
        <f t="shared" si="139"/>
        <v>0.34365182586787496</v>
      </c>
      <c r="T84" s="387">
        <f t="shared" si="140"/>
        <v>0.475304500190318</v>
      </c>
      <c r="U84" s="4">
        <f t="shared" si="104"/>
        <v>1.2097197945275389</v>
      </c>
      <c r="V84" s="387">
        <f t="shared" si="141"/>
        <v>1.0243953868902256E-2</v>
      </c>
      <c r="W84" s="387">
        <f t="shared" si="142"/>
        <v>1.0243953868902256E-2</v>
      </c>
      <c r="X84" s="4">
        <f t="shared" si="105"/>
        <v>2.2432978049228325</v>
      </c>
      <c r="Y84" s="387">
        <f t="shared" si="143"/>
        <v>1.0064770083143196E-2</v>
      </c>
      <c r="Z84" s="605">
        <f t="shared" si="144"/>
        <v>1.0064770083143196E-2</v>
      </c>
      <c r="AA84" s="387">
        <f t="shared" si="106"/>
        <v>3.7133440551561727</v>
      </c>
      <c r="AB84" s="387">
        <f t="shared" si="107"/>
        <v>7.859686721019303E-2</v>
      </c>
      <c r="AC84" s="387">
        <f t="shared" si="108"/>
        <v>6.5012384505021503E-2</v>
      </c>
      <c r="AD84" s="387">
        <f t="shared" si="109"/>
        <v>0</v>
      </c>
      <c r="AE84" s="387">
        <f t="shared" si="110"/>
        <v>0.1459027515530987</v>
      </c>
      <c r="AF84" s="387">
        <f t="shared" si="111"/>
        <v>2.8150484737048607</v>
      </c>
      <c r="AG84" s="387">
        <f t="shared" si="112"/>
        <v>4.5169638083055977E-2</v>
      </c>
      <c r="AH84" s="387">
        <f t="shared" si="113"/>
        <v>8.0640000000000003E-2</v>
      </c>
      <c r="AI84" s="387">
        <f t="shared" si="114"/>
        <v>0.12695655440601428</v>
      </c>
      <c r="AJ84" s="387">
        <f t="shared" si="115"/>
        <v>0</v>
      </c>
      <c r="AK84" s="387">
        <f t="shared" si="116"/>
        <v>0</v>
      </c>
      <c r="AL84" s="387">
        <f t="shared" si="117"/>
        <v>0</v>
      </c>
      <c r="AM84" s="387">
        <f t="shared" si="118"/>
        <v>0</v>
      </c>
      <c r="AN84" s="387">
        <f t="shared" si="119"/>
        <v>0</v>
      </c>
      <c r="AO84" s="387">
        <f t="shared" si="145"/>
        <v>4.6597663011434118</v>
      </c>
      <c r="AP84" s="387">
        <f t="shared" si="120"/>
        <v>4.1255501764416336E-2</v>
      </c>
      <c r="AQ84" s="387">
        <f t="shared" si="121"/>
        <v>0</v>
      </c>
      <c r="AR84" s="387">
        <f t="shared" si="122"/>
        <v>4.1598737118937898E-2</v>
      </c>
      <c r="AS84" s="387">
        <f t="shared" si="123"/>
        <v>4.1255501764416336E-2</v>
      </c>
      <c r="AT84" s="387">
        <f t="shared" si="124"/>
        <v>0</v>
      </c>
      <c r="AU84" s="387">
        <f t="shared" si="125"/>
        <v>0.20082452040000001</v>
      </c>
      <c r="AV84" s="387">
        <f t="shared" si="126"/>
        <v>6.3395983274464524E-2</v>
      </c>
      <c r="AW84" s="387">
        <f t="shared" si="127"/>
        <v>0</v>
      </c>
      <c r="AX84" s="387">
        <f t="shared" si="128"/>
        <v>3.6000000000000004E-2</v>
      </c>
      <c r="AY84" s="387">
        <f t="shared" si="129"/>
        <v>5.9136000000000001E-2</v>
      </c>
      <c r="AZ84" s="387">
        <f t="shared" si="130"/>
        <v>7.3471999999999996E-2</v>
      </c>
      <c r="BA84" s="387">
        <f t="shared" si="152"/>
        <v>9.5135999999999998E-2</v>
      </c>
      <c r="BB84" s="387">
        <f t="shared" si="153"/>
        <v>1.169427770894879</v>
      </c>
      <c r="BC84">
        <f t="shared" si="131"/>
        <v>54</v>
      </c>
      <c r="BD84" s="606">
        <f t="shared" si="146"/>
        <v>0.97880297443447806</v>
      </c>
      <c r="BE84" s="616">
        <f t="shared" si="132"/>
        <v>13.922346750854937</v>
      </c>
      <c r="BF84" s="616">
        <f t="shared" si="133"/>
        <v>9.6614323069007142</v>
      </c>
      <c r="BG84" s="9"/>
      <c r="BH84" s="4">
        <f t="shared" si="147"/>
        <v>97.880297443447802</v>
      </c>
      <c r="BI84" s="387">
        <f t="shared" si="148"/>
        <v>0.475304500190318</v>
      </c>
      <c r="BJ84" s="387">
        <f t="shared" si="149"/>
        <v>0.5152825634780509</v>
      </c>
      <c r="BK84" s="387">
        <f t="shared" si="134"/>
        <v>0.27844693501709872</v>
      </c>
      <c r="BL84" s="387">
        <f t="shared" si="135"/>
        <v>0.19322864613801427</v>
      </c>
      <c r="BM84" s="387">
        <f t="shared" si="150"/>
        <v>6.3395983274464524E-2</v>
      </c>
      <c r="BS84" s="18"/>
      <c r="BT84" s="19"/>
    </row>
    <row r="85" spans="1:72" x14ac:dyDescent="0.2">
      <c r="G85">
        <v>76</v>
      </c>
      <c r="H85" s="612">
        <f t="shared" si="97"/>
        <v>19</v>
      </c>
      <c r="I85" s="4" t="str">
        <f t="shared" si="98"/>
        <v>BUCK</v>
      </c>
      <c r="J85">
        <f t="shared" si="136"/>
        <v>1</v>
      </c>
      <c r="K85" s="387">
        <f t="shared" si="137"/>
        <v>4.5599999999999996</v>
      </c>
      <c r="L85" s="4">
        <f t="shared" si="99"/>
        <v>3</v>
      </c>
      <c r="M85" s="4">
        <f t="shared" si="151"/>
        <v>4.5599999999999996</v>
      </c>
      <c r="N85" s="387">
        <f t="shared" si="100"/>
        <v>0.63508757921632564</v>
      </c>
      <c r="O85" s="387">
        <f t="shared" si="101"/>
        <v>0</v>
      </c>
      <c r="P85" s="4">
        <f t="shared" si="102"/>
        <v>4.1904728932256177</v>
      </c>
      <c r="Q85" s="4">
        <f t="shared" si="103"/>
        <v>4.7177259976678974</v>
      </c>
      <c r="R85" s="387">
        <f t="shared" si="138"/>
        <v>0.134983707092485</v>
      </c>
      <c r="S85" s="387">
        <f t="shared" si="139"/>
        <v>0.34362926659423676</v>
      </c>
      <c r="T85" s="387">
        <f t="shared" si="140"/>
        <v>0.47861297368672173</v>
      </c>
      <c r="U85" s="4">
        <f t="shared" si="104"/>
        <v>1.2096853264678202</v>
      </c>
      <c r="V85" s="387">
        <f t="shared" si="141"/>
        <v>1.0243370123500899E-2</v>
      </c>
      <c r="W85" s="387">
        <f t="shared" si="142"/>
        <v>1.0243370123500899E-2</v>
      </c>
      <c r="X85" s="4">
        <f t="shared" si="105"/>
        <v>2.2711396862707591</v>
      </c>
      <c r="Y85" s="387">
        <f t="shared" si="143"/>
        <v>1.0316150949108085E-2</v>
      </c>
      <c r="Z85" s="605">
        <f t="shared" si="144"/>
        <v>1.0316150949108085E-2</v>
      </c>
      <c r="AA85" s="387">
        <f t="shared" si="106"/>
        <v>3.7596682366001231</v>
      </c>
      <c r="AB85" s="387">
        <f t="shared" si="107"/>
        <v>8.0570099921009317E-2</v>
      </c>
      <c r="AC85" s="387">
        <f t="shared" si="108"/>
        <v>6.5879216298421778E-2</v>
      </c>
      <c r="AD85" s="387">
        <f t="shared" si="109"/>
        <v>0</v>
      </c>
      <c r="AE85" s="387">
        <f t="shared" si="110"/>
        <v>0.14884785350542301</v>
      </c>
      <c r="AF85" s="387">
        <f t="shared" si="111"/>
        <v>2.8498830396652561</v>
      </c>
      <c r="AG85" s="387">
        <f t="shared" si="112"/>
        <v>4.6294450036698576E-2</v>
      </c>
      <c r="AH85" s="387">
        <f t="shared" si="113"/>
        <v>8.1715200000000002E-2</v>
      </c>
      <c r="AI85" s="387">
        <f t="shared" si="114"/>
        <v>0.12920595375077037</v>
      </c>
      <c r="AJ85" s="387">
        <f t="shared" si="115"/>
        <v>0</v>
      </c>
      <c r="AK85" s="387">
        <f t="shared" si="116"/>
        <v>0</v>
      </c>
      <c r="AL85" s="387">
        <f t="shared" si="117"/>
        <v>0</v>
      </c>
      <c r="AM85" s="387">
        <f t="shared" si="118"/>
        <v>0</v>
      </c>
      <c r="AN85" s="387">
        <f t="shared" si="119"/>
        <v>0</v>
      </c>
      <c r="AO85" s="387">
        <f t="shared" si="145"/>
        <v>4.7177259976678974</v>
      </c>
      <c r="AP85" s="387">
        <f t="shared" si="120"/>
        <v>4.2288183319235957E-2</v>
      </c>
      <c r="AQ85" s="387">
        <f t="shared" si="121"/>
        <v>0</v>
      </c>
      <c r="AR85" s="387">
        <f t="shared" si="122"/>
        <v>4.2648892153183189E-2</v>
      </c>
      <c r="AS85" s="387">
        <f t="shared" si="123"/>
        <v>4.2288183319235957E-2</v>
      </c>
      <c r="AT85" s="387">
        <f t="shared" si="124"/>
        <v>0</v>
      </c>
      <c r="AU85" s="387">
        <f t="shared" si="125"/>
        <v>0.20349851268096</v>
      </c>
      <c r="AV85" s="387">
        <f t="shared" si="126"/>
        <v>6.4974666718173438E-2</v>
      </c>
      <c r="AW85" s="387">
        <f t="shared" si="127"/>
        <v>0</v>
      </c>
      <c r="AX85" s="387">
        <f t="shared" si="128"/>
        <v>3.6000000000000004E-2</v>
      </c>
      <c r="AY85" s="387">
        <f t="shared" si="129"/>
        <v>5.9136000000000001E-2</v>
      </c>
      <c r="AZ85" s="387">
        <f t="shared" si="130"/>
        <v>7.3471999999999996E-2</v>
      </c>
      <c r="BA85" s="387">
        <f t="shared" si="152"/>
        <v>9.5135999999999998E-2</v>
      </c>
      <c r="BB85" s="387">
        <f t="shared" si="153"/>
        <v>1.1834843735678406</v>
      </c>
      <c r="BC85">
        <f t="shared" si="131"/>
        <v>54.72</v>
      </c>
      <c r="BD85" s="606">
        <f t="shared" si="146"/>
        <v>0.97882986388362914</v>
      </c>
      <c r="BE85" s="616">
        <f t="shared" si="132"/>
        <v>14.157843593742831</v>
      </c>
      <c r="BF85" s="616">
        <f t="shared" si="133"/>
        <v>9.8180231467743582</v>
      </c>
      <c r="BG85" s="9"/>
      <c r="BH85" s="4">
        <f t="shared" si="147"/>
        <v>97.882986388362909</v>
      </c>
      <c r="BI85" s="387">
        <f t="shared" si="148"/>
        <v>0.47861297368672173</v>
      </c>
      <c r="BJ85" s="387">
        <f t="shared" si="149"/>
        <v>0.52420121209033654</v>
      </c>
      <c r="BK85" s="387">
        <f t="shared" si="134"/>
        <v>0.28315687187485661</v>
      </c>
      <c r="BL85" s="387">
        <f t="shared" si="135"/>
        <v>0.19636046293548717</v>
      </c>
      <c r="BM85" s="387">
        <f t="shared" si="150"/>
        <v>6.4974666718173438E-2</v>
      </c>
      <c r="BS85" s="18"/>
      <c r="BT85" s="19"/>
    </row>
    <row r="86" spans="1:72" x14ac:dyDescent="0.2">
      <c r="G86">
        <v>77</v>
      </c>
      <c r="H86" s="612">
        <f t="shared" si="97"/>
        <v>19</v>
      </c>
      <c r="I86" s="4" t="str">
        <f t="shared" si="98"/>
        <v>BUCK</v>
      </c>
      <c r="J86">
        <f t="shared" si="136"/>
        <v>1</v>
      </c>
      <c r="K86" s="387">
        <f t="shared" si="137"/>
        <v>4.62</v>
      </c>
      <c r="L86" s="4">
        <f t="shared" si="99"/>
        <v>3.0394736842105265</v>
      </c>
      <c r="M86" s="4">
        <f t="shared" si="151"/>
        <v>4.62</v>
      </c>
      <c r="N86" s="387">
        <f t="shared" si="100"/>
        <v>0.63513365579378211</v>
      </c>
      <c r="O86" s="387">
        <f t="shared" si="101"/>
        <v>0</v>
      </c>
      <c r="P86" s="4">
        <f t="shared" si="102"/>
        <v>4.1903534155833944</v>
      </c>
      <c r="Q86" s="4">
        <f t="shared" si="103"/>
        <v>4.7757360841679981</v>
      </c>
      <c r="R86" s="387">
        <f t="shared" si="138"/>
        <v>0.13836065832047933</v>
      </c>
      <c r="S86" s="387">
        <f t="shared" si="139"/>
        <v>0.34360669365282037</v>
      </c>
      <c r="T86" s="387">
        <f t="shared" si="140"/>
        <v>0.48196735197329971</v>
      </c>
      <c r="U86" s="4">
        <f t="shared" si="104"/>
        <v>1.2096508362433702</v>
      </c>
      <c r="V86" s="387">
        <f t="shared" si="141"/>
        <v>1.0242786019369994E-2</v>
      </c>
      <c r="W86" s="387">
        <f t="shared" si="142"/>
        <v>1.0242786019369994E-2</v>
      </c>
      <c r="X86" s="4">
        <f t="shared" si="105"/>
        <v>2.2990043067871357</v>
      </c>
      <c r="Y86" s="387">
        <f t="shared" si="143"/>
        <v>1.0570841605251598E-2</v>
      </c>
      <c r="Z86" s="605">
        <f t="shared" si="144"/>
        <v>1.0570841605251598E-2</v>
      </c>
      <c r="AA86" s="387">
        <f t="shared" si="106"/>
        <v>3.8060359158479069</v>
      </c>
      <c r="AB86" s="387">
        <f t="shared" si="107"/>
        <v>8.2569683538528033E-2</v>
      </c>
      <c r="AC86" s="387">
        <f t="shared" si="108"/>
        <v>6.674604809182208E-2</v>
      </c>
      <c r="AD86" s="387">
        <f t="shared" si="109"/>
        <v>0</v>
      </c>
      <c r="AE86" s="387">
        <f t="shared" si="110"/>
        <v>0.15182292581808871</v>
      </c>
      <c r="AF86" s="387">
        <f t="shared" si="111"/>
        <v>2.8847436199600245</v>
      </c>
      <c r="AG86" s="387">
        <f t="shared" si="112"/>
        <v>4.7433950791530378E-2</v>
      </c>
      <c r="AH86" s="387">
        <f t="shared" si="113"/>
        <v>8.2790400000000014E-2</v>
      </c>
      <c r="AI86" s="387">
        <f t="shared" si="114"/>
        <v>0.13147159421765123</v>
      </c>
      <c r="AJ86" s="387">
        <f t="shared" si="115"/>
        <v>0</v>
      </c>
      <c r="AK86" s="387">
        <f t="shared" si="116"/>
        <v>0</v>
      </c>
      <c r="AL86" s="387">
        <f t="shared" si="117"/>
        <v>0</v>
      </c>
      <c r="AM86" s="387">
        <f t="shared" si="118"/>
        <v>0</v>
      </c>
      <c r="AN86" s="387">
        <f t="shared" si="119"/>
        <v>0</v>
      </c>
      <c r="AO86" s="387">
        <f t="shared" si="145"/>
        <v>4.7757360841679981</v>
      </c>
      <c r="AP86" s="387">
        <f t="shared" si="120"/>
        <v>4.3334544776686142E-2</v>
      </c>
      <c r="AQ86" s="387">
        <f t="shared" si="121"/>
        <v>0</v>
      </c>
      <c r="AR86" s="387">
        <f t="shared" si="122"/>
        <v>4.3713404876881877E-2</v>
      </c>
      <c r="AS86" s="387">
        <f t="shared" si="123"/>
        <v>4.3334544776686142E-2</v>
      </c>
      <c r="AT86" s="387">
        <f t="shared" si="124"/>
        <v>0</v>
      </c>
      <c r="AU86" s="387">
        <f t="shared" si="125"/>
        <v>0.20617240843584</v>
      </c>
      <c r="AV86" s="387">
        <f t="shared" si="126"/>
        <v>6.6573966023200523E-2</v>
      </c>
      <c r="AW86" s="387">
        <f t="shared" si="127"/>
        <v>0</v>
      </c>
      <c r="AX86" s="387">
        <f t="shared" si="128"/>
        <v>3.6000000000000004E-2</v>
      </c>
      <c r="AY86" s="387">
        <f t="shared" si="129"/>
        <v>5.9136000000000001E-2</v>
      </c>
      <c r="AZ86" s="387">
        <f t="shared" si="130"/>
        <v>7.3471999999999996E-2</v>
      </c>
      <c r="BA86" s="387">
        <f t="shared" si="152"/>
        <v>9.5135999999999998E-2</v>
      </c>
      <c r="BB86" s="387">
        <f t="shared" si="153"/>
        <v>1.1976712789695836</v>
      </c>
      <c r="BC86">
        <f t="shared" si="131"/>
        <v>55.44</v>
      </c>
      <c r="BD86" s="606">
        <f t="shared" si="146"/>
        <v>0.97885380433333069</v>
      </c>
      <c r="BE86" s="616">
        <f t="shared" si="132"/>
        <v>14.394835769287157</v>
      </c>
      <c r="BF86" s="616">
        <f t="shared" si="133"/>
        <v>9.9754244500739215</v>
      </c>
      <c r="BG86" s="9"/>
      <c r="BH86" s="4">
        <f t="shared" si="147"/>
        <v>97.885380433333069</v>
      </c>
      <c r="BI86" s="387">
        <f t="shared" si="148"/>
        <v>0.48196735197329971</v>
      </c>
      <c r="BJ86" s="387">
        <f t="shared" si="149"/>
        <v>0.53318033334846182</v>
      </c>
      <c r="BK86" s="387">
        <f t="shared" si="134"/>
        <v>0.28789671538574313</v>
      </c>
      <c r="BL86" s="387">
        <f t="shared" si="135"/>
        <v>0.19950848900147844</v>
      </c>
      <c r="BM86" s="387">
        <f t="shared" si="150"/>
        <v>6.6573966023200523E-2</v>
      </c>
      <c r="BS86" s="18"/>
      <c r="BT86" s="19"/>
    </row>
    <row r="87" spans="1:72" x14ac:dyDescent="0.2">
      <c r="G87">
        <v>78</v>
      </c>
      <c r="H87" s="612">
        <f t="shared" si="97"/>
        <v>19</v>
      </c>
      <c r="I87" s="4" t="str">
        <f t="shared" si="98"/>
        <v>BUCK</v>
      </c>
      <c r="J87">
        <f t="shared" si="136"/>
        <v>1</v>
      </c>
      <c r="K87" s="387">
        <f t="shared" si="137"/>
        <v>4.68</v>
      </c>
      <c r="L87" s="4">
        <f t="shared" si="99"/>
        <v>3.0789473684210527</v>
      </c>
      <c r="M87" s="4">
        <f t="shared" si="151"/>
        <v>4.68</v>
      </c>
      <c r="N87" s="387">
        <f t="shared" si="100"/>
        <v>0.63517973004773753</v>
      </c>
      <c r="O87" s="387">
        <f t="shared" si="101"/>
        <v>0</v>
      </c>
      <c r="P87" s="4">
        <f t="shared" si="102"/>
        <v>4.1902338611660976</v>
      </c>
      <c r="Q87" s="4">
        <f t="shared" si="103"/>
        <v>4.8337947464635462</v>
      </c>
      <c r="R87" s="387">
        <f t="shared" si="138"/>
        <v>0.14178360024343115</v>
      </c>
      <c r="S87" s="387">
        <f t="shared" si="139"/>
        <v>0.34358410704633346</v>
      </c>
      <c r="T87" s="387">
        <f t="shared" si="140"/>
        <v>0.48536770728976464</v>
      </c>
      <c r="U87" s="4">
        <f t="shared" si="104"/>
        <v>1.2096163238558657</v>
      </c>
      <c r="V87" s="387">
        <f t="shared" si="141"/>
        <v>1.024220155657005E-2</v>
      </c>
      <c r="W87" s="387">
        <f t="shared" si="142"/>
        <v>1.024220155657005E-2</v>
      </c>
      <c r="X87" s="4">
        <f t="shared" si="105"/>
        <v>2.3268907904943825</v>
      </c>
      <c r="Y87" s="387">
        <f t="shared" si="143"/>
        <v>1.0828841501775145E-2</v>
      </c>
      <c r="Z87" s="605">
        <f t="shared" si="144"/>
        <v>1.0828841501775145E-2</v>
      </c>
      <c r="AA87" s="387">
        <f t="shared" si="106"/>
        <v>3.8524456509669589</v>
      </c>
      <c r="AB87" s="387">
        <f t="shared" si="107"/>
        <v>8.4595623713829143E-2</v>
      </c>
      <c r="AC87" s="387">
        <f t="shared" si="108"/>
        <v>6.7612879885222354E-2</v>
      </c>
      <c r="AD87" s="387">
        <f t="shared" si="109"/>
        <v>0</v>
      </c>
      <c r="AE87" s="387">
        <f t="shared" si="110"/>
        <v>0.15482805884024997</v>
      </c>
      <c r="AF87" s="387">
        <f t="shared" si="111"/>
        <v>2.9196291129669785</v>
      </c>
      <c r="AG87" s="387">
        <f t="shared" si="112"/>
        <v>4.858813469652077E-2</v>
      </c>
      <c r="AH87" s="387">
        <f t="shared" si="113"/>
        <v>8.3865599999999998E-2</v>
      </c>
      <c r="AI87" s="387">
        <f t="shared" si="114"/>
        <v>0.13375350132421521</v>
      </c>
      <c r="AJ87" s="387">
        <f t="shared" si="115"/>
        <v>0</v>
      </c>
      <c r="AK87" s="387">
        <f t="shared" si="116"/>
        <v>0</v>
      </c>
      <c r="AL87" s="387">
        <f t="shared" si="117"/>
        <v>0</v>
      </c>
      <c r="AM87" s="387">
        <f t="shared" si="118"/>
        <v>0</v>
      </c>
      <c r="AN87" s="387">
        <f t="shared" si="119"/>
        <v>0</v>
      </c>
      <c r="AO87" s="387">
        <f t="shared" si="145"/>
        <v>4.8337947464635462</v>
      </c>
      <c r="AP87" s="387">
        <f t="shared" si="120"/>
        <v>4.43945861367833E-2</v>
      </c>
      <c r="AQ87" s="387">
        <f t="shared" si="121"/>
        <v>0</v>
      </c>
      <c r="AR87" s="387">
        <f t="shared" si="122"/>
        <v>4.4792293200534336E-2</v>
      </c>
      <c r="AS87" s="387">
        <f t="shared" si="123"/>
        <v>4.43945861367833E-2</v>
      </c>
      <c r="AT87" s="387">
        <f t="shared" si="124"/>
        <v>0</v>
      </c>
      <c r="AU87" s="387">
        <f t="shared" si="125"/>
        <v>0.20884620766463999</v>
      </c>
      <c r="AV87" s="387">
        <f t="shared" si="126"/>
        <v>6.8193873258274765E-2</v>
      </c>
      <c r="AW87" s="387">
        <f t="shared" si="127"/>
        <v>0</v>
      </c>
      <c r="AX87" s="387">
        <f t="shared" si="128"/>
        <v>3.6000000000000004E-2</v>
      </c>
      <c r="AY87" s="387">
        <f t="shared" si="129"/>
        <v>5.9136000000000001E-2</v>
      </c>
      <c r="AZ87" s="387">
        <f t="shared" si="130"/>
        <v>7.3471999999999996E-2</v>
      </c>
      <c r="BA87" s="387">
        <f t="shared" si="152"/>
        <v>9.5135999999999998E-2</v>
      </c>
      <c r="BB87" s="387">
        <f t="shared" si="153"/>
        <v>1.2119886846360239</v>
      </c>
      <c r="BC87">
        <f t="shared" si="131"/>
        <v>56.16</v>
      </c>
      <c r="BD87" s="606">
        <f t="shared" si="146"/>
        <v>0.97887490546478839</v>
      </c>
      <c r="BE87" s="616">
        <f t="shared" si="132"/>
        <v>14.633327794945616</v>
      </c>
      <c r="BF87" s="616">
        <f t="shared" si="133"/>
        <v>10.13363749267732</v>
      </c>
      <c r="BG87" s="9"/>
      <c r="BH87" s="4">
        <f t="shared" si="147"/>
        <v>97.887490546478844</v>
      </c>
      <c r="BI87" s="387">
        <f t="shared" si="148"/>
        <v>0.48536770728976464</v>
      </c>
      <c r="BJ87" s="387">
        <f t="shared" si="149"/>
        <v>0.54222006102963949</v>
      </c>
      <c r="BK87" s="387">
        <f t="shared" si="134"/>
        <v>0.29266655589891233</v>
      </c>
      <c r="BL87" s="387">
        <f t="shared" si="135"/>
        <v>0.20267274985354639</v>
      </c>
      <c r="BM87" s="387">
        <f t="shared" si="150"/>
        <v>6.8193873258274765E-2</v>
      </c>
      <c r="BS87" s="18"/>
      <c r="BT87" s="19"/>
    </row>
    <row r="88" spans="1:72" x14ac:dyDescent="0.2">
      <c r="G88">
        <v>79</v>
      </c>
      <c r="H88" s="612">
        <f t="shared" si="97"/>
        <v>19</v>
      </c>
      <c r="I88" s="4" t="str">
        <f t="shared" si="98"/>
        <v>BUCK</v>
      </c>
      <c r="J88">
        <f t="shared" si="136"/>
        <v>1</v>
      </c>
      <c r="K88" s="387">
        <f t="shared" si="137"/>
        <v>4.74</v>
      </c>
      <c r="L88" s="4">
        <f t="shared" si="99"/>
        <v>3.1184210526315792</v>
      </c>
      <c r="M88" s="4">
        <f t="shared" si="151"/>
        <v>4.74</v>
      </c>
      <c r="N88" s="387">
        <f t="shared" si="100"/>
        <v>0.63522580197836742</v>
      </c>
      <c r="O88" s="387">
        <f t="shared" si="101"/>
        <v>0</v>
      </c>
      <c r="P88" s="4">
        <f t="shared" si="102"/>
        <v>4.1901142299795353</v>
      </c>
      <c r="Q88" s="4">
        <f t="shared" si="103"/>
        <v>4.8919002550157424</v>
      </c>
      <c r="R88" s="387">
        <f t="shared" si="138"/>
        <v>0.14525260614085786</v>
      </c>
      <c r="S88" s="387">
        <f t="shared" si="139"/>
        <v>0.34356150677748432</v>
      </c>
      <c r="T88" s="387">
        <f t="shared" si="140"/>
        <v>0.4888141129183422</v>
      </c>
      <c r="U88" s="4">
        <f t="shared" si="104"/>
        <v>1.2095817893069831</v>
      </c>
      <c r="V88" s="387">
        <f t="shared" si="141"/>
        <v>1.0241616735161579E-2</v>
      </c>
      <c r="W88" s="387">
        <f t="shared" si="142"/>
        <v>1.0241616735161579E-2</v>
      </c>
      <c r="X88" s="4">
        <f t="shared" si="105"/>
        <v>2.3547983022511905</v>
      </c>
      <c r="Y88" s="387">
        <f t="shared" si="143"/>
        <v>1.1090150088570179E-2</v>
      </c>
      <c r="Z88" s="605">
        <f t="shared" si="144"/>
        <v>1.1090150088570179E-2</v>
      </c>
      <c r="AA88" s="387">
        <f t="shared" si="106"/>
        <v>3.8988960672743596</v>
      </c>
      <c r="AB88" s="387">
        <f t="shared" si="107"/>
        <v>8.6647926097422556E-2</v>
      </c>
      <c r="AC88" s="387">
        <f t="shared" si="108"/>
        <v>6.8479711678622657E-2</v>
      </c>
      <c r="AD88" s="387">
        <f t="shared" si="109"/>
        <v>0</v>
      </c>
      <c r="AE88" s="387">
        <f t="shared" si="110"/>
        <v>0.15786334404978883</v>
      </c>
      <c r="AF88" s="387">
        <f t="shared" si="111"/>
        <v>2.954538468460957</v>
      </c>
      <c r="AG88" s="387">
        <f t="shared" si="112"/>
        <v>4.9756996101209018E-2</v>
      </c>
      <c r="AH88" s="387">
        <f t="shared" si="113"/>
        <v>8.4940800000000011E-2</v>
      </c>
      <c r="AI88" s="387">
        <f t="shared" si="114"/>
        <v>0.136051700891372</v>
      </c>
      <c r="AJ88" s="387">
        <f t="shared" si="115"/>
        <v>0</v>
      </c>
      <c r="AK88" s="387">
        <f t="shared" si="116"/>
        <v>0</v>
      </c>
      <c r="AL88" s="387">
        <f t="shared" si="117"/>
        <v>0</v>
      </c>
      <c r="AM88" s="387">
        <f t="shared" si="118"/>
        <v>0</v>
      </c>
      <c r="AN88" s="387">
        <f t="shared" si="119"/>
        <v>0</v>
      </c>
      <c r="AO88" s="387">
        <f t="shared" si="145"/>
        <v>4.8919002550157424</v>
      </c>
      <c r="AP88" s="387">
        <f t="shared" si="120"/>
        <v>4.5468307399543863E-2</v>
      </c>
      <c r="AQ88" s="387">
        <f t="shared" si="121"/>
        <v>0</v>
      </c>
      <c r="AR88" s="387">
        <f t="shared" si="122"/>
        <v>4.5885575288024019E-2</v>
      </c>
      <c r="AS88" s="387">
        <f t="shared" si="123"/>
        <v>4.5468307399543863E-2</v>
      </c>
      <c r="AT88" s="387">
        <f t="shared" si="124"/>
        <v>0</v>
      </c>
      <c r="AU88" s="387">
        <f t="shared" si="125"/>
        <v>0.21151991036735998</v>
      </c>
      <c r="AV88" s="387">
        <f t="shared" si="126"/>
        <v>6.9834380492924938E-2</v>
      </c>
      <c r="AW88" s="387">
        <f t="shared" si="127"/>
        <v>0</v>
      </c>
      <c r="AX88" s="387">
        <f t="shared" si="128"/>
        <v>3.6000000000000004E-2</v>
      </c>
      <c r="AY88" s="387">
        <f t="shared" si="129"/>
        <v>5.9136000000000001E-2</v>
      </c>
      <c r="AZ88" s="387">
        <f t="shared" si="130"/>
        <v>7.3471999999999996E-2</v>
      </c>
      <c r="BA88" s="387">
        <f t="shared" si="152"/>
        <v>9.5135999999999998E-2</v>
      </c>
      <c r="BB88" s="387">
        <f t="shared" si="153"/>
        <v>1.2264367908315439</v>
      </c>
      <c r="BC88">
        <f t="shared" si="131"/>
        <v>56.88</v>
      </c>
      <c r="BD88" s="606">
        <f t="shared" si="146"/>
        <v>0.97889327140732441</v>
      </c>
      <c r="BE88" s="616">
        <f t="shared" si="132"/>
        <v>14.873324244612322</v>
      </c>
      <c r="BF88" s="616">
        <f t="shared" si="133"/>
        <v>10.29266356563004</v>
      </c>
      <c r="BG88" s="9"/>
      <c r="BH88" s="4">
        <f t="shared" si="147"/>
        <v>97.889327140732433</v>
      </c>
      <c r="BI88" s="387">
        <f t="shared" si="148"/>
        <v>0.4888141129183422</v>
      </c>
      <c r="BJ88" s="387">
        <f t="shared" si="149"/>
        <v>0.55132053059654484</v>
      </c>
      <c r="BK88" s="387">
        <f t="shared" si="134"/>
        <v>0.29746648489224642</v>
      </c>
      <c r="BL88" s="387">
        <f t="shared" si="135"/>
        <v>0.20585327131260078</v>
      </c>
      <c r="BM88" s="387">
        <f t="shared" si="150"/>
        <v>6.9834380492924938E-2</v>
      </c>
      <c r="BS88" s="18"/>
      <c r="BT88" s="19"/>
    </row>
    <row r="89" spans="1:72" x14ac:dyDescent="0.2">
      <c r="G89">
        <v>80</v>
      </c>
      <c r="H89" s="612">
        <f t="shared" si="97"/>
        <v>19</v>
      </c>
      <c r="I89" s="4" t="str">
        <f t="shared" si="98"/>
        <v>BUCK</v>
      </c>
      <c r="J89">
        <f t="shared" si="136"/>
        <v>1</v>
      </c>
      <c r="K89" s="387">
        <f t="shared" si="137"/>
        <v>4.8</v>
      </c>
      <c r="L89" s="4">
        <f t="shared" si="99"/>
        <v>3.1578947368421053</v>
      </c>
      <c r="M89" s="4">
        <f t="shared" si="151"/>
        <v>4.8</v>
      </c>
      <c r="N89" s="387">
        <f t="shared" si="100"/>
        <v>0.63527187158584753</v>
      </c>
      <c r="O89" s="387">
        <f t="shared" si="101"/>
        <v>0</v>
      </c>
      <c r="P89" s="4">
        <f t="shared" si="102"/>
        <v>4.1899945220295143</v>
      </c>
      <c r="Q89" s="4">
        <f t="shared" si="103"/>
        <v>4.9500509601302536</v>
      </c>
      <c r="R89" s="387">
        <f t="shared" si="138"/>
        <v>0.14876775033876452</v>
      </c>
      <c r="S89" s="387">
        <f t="shared" si="139"/>
        <v>0.34353889284898315</v>
      </c>
      <c r="T89" s="387">
        <f t="shared" si="140"/>
        <v>0.49230664318774764</v>
      </c>
      <c r="U89" s="4">
        <f t="shared" si="104"/>
        <v>1.2095472325983987</v>
      </c>
      <c r="V89" s="387">
        <f t="shared" si="141"/>
        <v>1.0241031555205114E-2</v>
      </c>
      <c r="W89" s="387">
        <f t="shared" si="142"/>
        <v>1.0241031555205114E-2</v>
      </c>
      <c r="X89" s="4">
        <f t="shared" si="105"/>
        <v>2.3827260454381105</v>
      </c>
      <c r="Y89" s="387">
        <f t="shared" si="143"/>
        <v>1.1354766815218274E-2</v>
      </c>
      <c r="Z89" s="605">
        <f t="shared" si="144"/>
        <v>1.1354766815218274E-2</v>
      </c>
      <c r="AA89" s="387">
        <f t="shared" si="106"/>
        <v>3.9453858535257966</v>
      </c>
      <c r="AB89" s="387">
        <f t="shared" si="107"/>
        <v>8.8726596339248426E-2</v>
      </c>
      <c r="AC89" s="387">
        <f t="shared" si="108"/>
        <v>6.9346543472022945E-2</v>
      </c>
      <c r="AD89" s="387">
        <f t="shared" si="109"/>
        <v>0</v>
      </c>
      <c r="AE89" s="387">
        <f t="shared" si="110"/>
        <v>0.16092887406089756</v>
      </c>
      <c r="AF89" s="387">
        <f t="shared" si="111"/>
        <v>2.9894706847007155</v>
      </c>
      <c r="AG89" s="387">
        <f t="shared" si="112"/>
        <v>5.0940529355704298E-2</v>
      </c>
      <c r="AH89" s="387">
        <f t="shared" si="113"/>
        <v>8.6016000000000009E-2</v>
      </c>
      <c r="AI89" s="387">
        <f t="shared" si="114"/>
        <v>0.13836621904431726</v>
      </c>
      <c r="AJ89" s="387">
        <f t="shared" si="115"/>
        <v>0</v>
      </c>
      <c r="AK89" s="387">
        <f t="shared" si="116"/>
        <v>0</v>
      </c>
      <c r="AL89" s="387">
        <f t="shared" si="117"/>
        <v>0</v>
      </c>
      <c r="AM89" s="387">
        <f t="shared" si="118"/>
        <v>0</v>
      </c>
      <c r="AN89" s="387">
        <f t="shared" si="119"/>
        <v>0</v>
      </c>
      <c r="AO89" s="387">
        <f t="shared" si="145"/>
        <v>4.9500509601302536</v>
      </c>
      <c r="AP89" s="387">
        <f t="shared" si="120"/>
        <v>4.6555708564984248E-2</v>
      </c>
      <c r="AQ89" s="387">
        <f t="shared" si="121"/>
        <v>0</v>
      </c>
      <c r="AR89" s="387">
        <f t="shared" si="122"/>
        <v>4.6993269557390166E-2</v>
      </c>
      <c r="AS89" s="387">
        <f t="shared" si="123"/>
        <v>4.6555708564984248E-2</v>
      </c>
      <c r="AT89" s="387">
        <f t="shared" si="124"/>
        <v>0</v>
      </c>
      <c r="AU89" s="387">
        <f t="shared" si="125"/>
        <v>0.21419351654399996</v>
      </c>
      <c r="AV89" s="387">
        <f t="shared" si="126"/>
        <v>7.1495479797479722E-2</v>
      </c>
      <c r="AW89" s="387">
        <f t="shared" si="127"/>
        <v>0</v>
      </c>
      <c r="AX89" s="387">
        <f t="shared" si="128"/>
        <v>3.6000000000000004E-2</v>
      </c>
      <c r="AY89" s="387">
        <f t="shared" si="129"/>
        <v>5.9136000000000001E-2</v>
      </c>
      <c r="AZ89" s="387">
        <f t="shared" si="130"/>
        <v>7.3471999999999996E-2</v>
      </c>
      <c r="BA89" s="387">
        <f t="shared" si="152"/>
        <v>9.5135999999999998E-2</v>
      </c>
      <c r="BB89" s="387">
        <f t="shared" si="153"/>
        <v>1.2410158005622556</v>
      </c>
      <c r="BC89">
        <f t="shared" si="131"/>
        <v>57.599999999999994</v>
      </c>
      <c r="BD89" s="606">
        <f t="shared" si="146"/>
        <v>0.97890900108236412</v>
      </c>
      <c r="BE89" s="616">
        <f t="shared" si="132"/>
        <v>15.114829748996877</v>
      </c>
      <c r="BF89" s="616">
        <f t="shared" si="133"/>
        <v>10.452503975191863</v>
      </c>
      <c r="BG89" s="9"/>
      <c r="BH89" s="4">
        <f t="shared" si="147"/>
        <v>97.890900108236409</v>
      </c>
      <c r="BI89" s="387">
        <f t="shared" si="148"/>
        <v>0.49230664318774764</v>
      </c>
      <c r="BJ89" s="387">
        <f t="shared" si="149"/>
        <v>0.56048187920660497</v>
      </c>
      <c r="BK89" s="387">
        <f t="shared" si="134"/>
        <v>0.30229659497993755</v>
      </c>
      <c r="BL89" s="387">
        <f t="shared" si="135"/>
        <v>0.20905007950383725</v>
      </c>
      <c r="BM89" s="387">
        <f t="shared" si="150"/>
        <v>7.1495479797479722E-2</v>
      </c>
      <c r="BS89" s="18"/>
      <c r="BT89" s="19"/>
    </row>
    <row r="90" spans="1:72" x14ac:dyDescent="0.2">
      <c r="G90">
        <v>81</v>
      </c>
      <c r="H90" s="612">
        <f t="shared" si="97"/>
        <v>19</v>
      </c>
      <c r="I90" s="4" t="str">
        <f t="shared" si="98"/>
        <v>BUCK</v>
      </c>
      <c r="J90">
        <f t="shared" si="136"/>
        <v>1</v>
      </c>
      <c r="K90" s="387">
        <f t="shared" si="137"/>
        <v>4.8600000000000003</v>
      </c>
      <c r="L90" s="4">
        <f t="shared" si="99"/>
        <v>3.1973684210526323</v>
      </c>
      <c r="M90" s="4">
        <f t="shared" si="151"/>
        <v>4.8600000000000003</v>
      </c>
      <c r="N90" s="387">
        <f t="shared" si="100"/>
        <v>0.6353179388703537</v>
      </c>
      <c r="O90" s="387">
        <f t="shared" si="101"/>
        <v>0</v>
      </c>
      <c r="P90" s="4">
        <f t="shared" si="102"/>
        <v>4.1898747373218379</v>
      </c>
      <c r="Q90" s="4">
        <f t="shared" si="103"/>
        <v>5.0082452874771732</v>
      </c>
      <c r="R90" s="387">
        <f t="shared" si="138"/>
        <v>0.15232910821368037</v>
      </c>
      <c r="S90" s="387">
        <f t="shared" si="139"/>
        <v>0.34351626526353901</v>
      </c>
      <c r="T90" s="387">
        <f t="shared" si="140"/>
        <v>0.49584537347721935</v>
      </c>
      <c r="U90" s="4">
        <f t="shared" si="104"/>
        <v>1.209512653731788</v>
      </c>
      <c r="V90" s="387">
        <f t="shared" si="141"/>
        <v>1.0240446016761185E-2</v>
      </c>
      <c r="W90" s="387">
        <f t="shared" si="142"/>
        <v>1.0240446016761185E-2</v>
      </c>
      <c r="X90" s="4">
        <f t="shared" si="105"/>
        <v>2.4106732597960301</v>
      </c>
      <c r="Y90" s="387">
        <f t="shared" si="143"/>
        <v>1.1622691130991236E-2</v>
      </c>
      <c r="Z90" s="605">
        <f t="shared" si="144"/>
        <v>1.1622691130991236E-2</v>
      </c>
      <c r="AA90" s="387">
        <f t="shared" si="106"/>
        <v>3.991913758356247</v>
      </c>
      <c r="AB90" s="387">
        <f t="shared" si="107"/>
        <v>9.0831640088677223E-2</v>
      </c>
      <c r="AC90" s="387">
        <f t="shared" si="108"/>
        <v>7.0213375265423233E-2</v>
      </c>
      <c r="AD90" s="387">
        <f t="shared" si="109"/>
        <v>0</v>
      </c>
      <c r="AE90" s="387">
        <f t="shared" si="110"/>
        <v>0.16402474263177388</v>
      </c>
      <c r="AF90" s="387">
        <f t="shared" si="111"/>
        <v>3.024424805708255</v>
      </c>
      <c r="AG90" s="387">
        <f t="shared" si="112"/>
        <v>5.2138728810685472E-2</v>
      </c>
      <c r="AH90" s="387">
        <f t="shared" si="113"/>
        <v>8.7091200000000021E-2</v>
      </c>
      <c r="AI90" s="387">
        <f t="shared" si="114"/>
        <v>0.14069708221348218</v>
      </c>
      <c r="AJ90" s="387">
        <f t="shared" si="115"/>
        <v>0</v>
      </c>
      <c r="AK90" s="387">
        <f t="shared" si="116"/>
        <v>0</v>
      </c>
      <c r="AL90" s="387">
        <f t="shared" si="117"/>
        <v>0</v>
      </c>
      <c r="AM90" s="387">
        <f t="shared" si="118"/>
        <v>0</v>
      </c>
      <c r="AN90" s="387">
        <f t="shared" si="119"/>
        <v>0</v>
      </c>
      <c r="AO90" s="387">
        <f t="shared" si="145"/>
        <v>5.0082452874771732</v>
      </c>
      <c r="AP90" s="387">
        <f t="shared" si="120"/>
        <v>4.7656789633120901E-2</v>
      </c>
      <c r="AQ90" s="387">
        <f t="shared" si="121"/>
        <v>0</v>
      </c>
      <c r="AR90" s="387">
        <f t="shared" si="122"/>
        <v>4.8115394681612134E-2</v>
      </c>
      <c r="AS90" s="387">
        <f t="shared" si="123"/>
        <v>4.7656789633120901E-2</v>
      </c>
      <c r="AT90" s="387">
        <f t="shared" si="124"/>
        <v>0</v>
      </c>
      <c r="AU90" s="387">
        <f t="shared" si="125"/>
        <v>0.21686702619456</v>
      </c>
      <c r="AV90" s="387">
        <f t="shared" si="126"/>
        <v>7.3177163243067334E-2</v>
      </c>
      <c r="AW90" s="387">
        <f t="shared" si="127"/>
        <v>0</v>
      </c>
      <c r="AX90" s="387">
        <f t="shared" si="128"/>
        <v>3.6000000000000004E-2</v>
      </c>
      <c r="AY90" s="387">
        <f t="shared" si="129"/>
        <v>5.9136000000000001E-2</v>
      </c>
      <c r="AZ90" s="387">
        <f t="shared" si="130"/>
        <v>7.3471999999999996E-2</v>
      </c>
      <c r="BA90" s="387">
        <f t="shared" si="152"/>
        <v>9.5135999999999998E-2</v>
      </c>
      <c r="BB90" s="387">
        <f t="shared" si="153"/>
        <v>1.2557259195894672</v>
      </c>
      <c r="BC90">
        <f t="shared" si="131"/>
        <v>58.320000000000007</v>
      </c>
      <c r="BD90" s="606">
        <f t="shared" si="146"/>
        <v>0.97892218852214496</v>
      </c>
      <c r="BE90" s="616">
        <f t="shared" si="132"/>
        <v>15.357848996009174</v>
      </c>
      <c r="BF90" s="616">
        <f t="shared" si="133"/>
        <v>10.613160042884347</v>
      </c>
      <c r="BG90" s="9"/>
      <c r="BH90" s="4">
        <f t="shared" si="147"/>
        <v>97.892218852214498</v>
      </c>
      <c r="BI90" s="387">
        <f t="shared" si="148"/>
        <v>0.49584537347721935</v>
      </c>
      <c r="BJ90" s="387">
        <f t="shared" si="149"/>
        <v>0.56970424572142819</v>
      </c>
      <c r="BK90" s="387">
        <f t="shared" si="134"/>
        <v>0.30715697992018348</v>
      </c>
      <c r="BL90" s="387">
        <f t="shared" si="135"/>
        <v>0.21226320085768696</v>
      </c>
      <c r="BM90" s="387">
        <f t="shared" si="150"/>
        <v>7.3177163243067334E-2</v>
      </c>
      <c r="BS90" s="18"/>
      <c r="BT90" s="19"/>
    </row>
    <row r="91" spans="1:72" x14ac:dyDescent="0.2">
      <c r="G91">
        <v>82</v>
      </c>
      <c r="H91" s="612">
        <f t="shared" si="97"/>
        <v>19</v>
      </c>
      <c r="I91" s="4" t="str">
        <f t="shared" si="98"/>
        <v>BUCK</v>
      </c>
      <c r="J91">
        <f t="shared" si="136"/>
        <v>1</v>
      </c>
      <c r="K91" s="387">
        <f t="shared" si="137"/>
        <v>4.92</v>
      </c>
      <c r="L91" s="4">
        <f t="shared" si="99"/>
        <v>3.236842105263158</v>
      </c>
      <c r="M91" s="4">
        <f t="shared" si="151"/>
        <v>4.92</v>
      </c>
      <c r="N91" s="387">
        <f t="shared" si="100"/>
        <v>0.6353640038320616</v>
      </c>
      <c r="O91" s="387">
        <f t="shared" si="101"/>
        <v>0</v>
      </c>
      <c r="P91" s="4">
        <f t="shared" si="102"/>
        <v>4.1897548758623131</v>
      </c>
      <c r="Q91" s="4">
        <f t="shared" si="103"/>
        <v>5.0664817339041432</v>
      </c>
      <c r="R91" s="387">
        <f t="shared" si="138"/>
        <v>0.15593675619675715</v>
      </c>
      <c r="S91" s="387">
        <f t="shared" si="139"/>
        <v>0.34349362402386369</v>
      </c>
      <c r="T91" s="387">
        <f t="shared" si="140"/>
        <v>0.49943038022062081</v>
      </c>
      <c r="U91" s="4">
        <f t="shared" si="104"/>
        <v>1.2094780527088269</v>
      </c>
      <c r="V91" s="387">
        <f t="shared" si="141"/>
        <v>1.0239860119890351E-2</v>
      </c>
      <c r="W91" s="387">
        <f t="shared" si="142"/>
        <v>1.0239860119890351E-2</v>
      </c>
      <c r="X91" s="4">
        <f t="shared" si="105"/>
        <v>2.4386392194060975</v>
      </c>
      <c r="Y91" s="387">
        <f t="shared" si="143"/>
        <v>1.1893922484851162E-2</v>
      </c>
      <c r="Z91" s="605">
        <f t="shared" si="144"/>
        <v>1.1893922484851162E-2</v>
      </c>
      <c r="AA91" s="387">
        <f t="shared" si="106"/>
        <v>4.0384785869535547</v>
      </c>
      <c r="AB91" s="387">
        <f t="shared" si="107"/>
        <v>9.2963062994509557E-2</v>
      </c>
      <c r="AC91" s="387">
        <f t="shared" si="108"/>
        <v>7.1080207058823522E-2</v>
      </c>
      <c r="AD91" s="387">
        <f t="shared" si="109"/>
        <v>0</v>
      </c>
      <c r="AE91" s="387">
        <f t="shared" si="110"/>
        <v>0.16715104467242931</v>
      </c>
      <c r="AF91" s="387">
        <f t="shared" si="111"/>
        <v>3.0593999187262111</v>
      </c>
      <c r="AG91" s="387">
        <f t="shared" si="112"/>
        <v>5.3351588817401097E-2</v>
      </c>
      <c r="AH91" s="387">
        <f t="shared" si="113"/>
        <v>8.8166400000000006E-2</v>
      </c>
      <c r="AI91" s="387">
        <f t="shared" si="114"/>
        <v>0.1430443171354969</v>
      </c>
      <c r="AJ91" s="387">
        <f t="shared" si="115"/>
        <v>0</v>
      </c>
      <c r="AK91" s="387">
        <f t="shared" si="116"/>
        <v>0</v>
      </c>
      <c r="AL91" s="387">
        <f t="shared" si="117"/>
        <v>0</v>
      </c>
      <c r="AM91" s="387">
        <f t="shared" si="118"/>
        <v>0</v>
      </c>
      <c r="AN91" s="387">
        <f t="shared" si="119"/>
        <v>0</v>
      </c>
      <c r="AO91" s="387">
        <f t="shared" si="145"/>
        <v>5.0664817339041432</v>
      </c>
      <c r="AP91" s="387">
        <f t="shared" si="120"/>
        <v>4.8771550603970232E-2</v>
      </c>
      <c r="AQ91" s="387">
        <f t="shared" si="121"/>
        <v>0</v>
      </c>
      <c r="AR91" s="387">
        <f t="shared" si="122"/>
        <v>4.9251969589405212E-2</v>
      </c>
      <c r="AS91" s="387">
        <f t="shared" si="123"/>
        <v>4.8771550603970232E-2</v>
      </c>
      <c r="AT91" s="387">
        <f t="shared" si="124"/>
        <v>0</v>
      </c>
      <c r="AU91" s="387">
        <f t="shared" si="125"/>
        <v>0.21954043931903994</v>
      </c>
      <c r="AV91" s="387">
        <f t="shared" si="126"/>
        <v>7.4879422901615575E-2</v>
      </c>
      <c r="AW91" s="387">
        <f t="shared" si="127"/>
        <v>0</v>
      </c>
      <c r="AX91" s="387">
        <f t="shared" si="128"/>
        <v>3.6000000000000004E-2</v>
      </c>
      <c r="AY91" s="387">
        <f t="shared" si="129"/>
        <v>5.9136000000000001E-2</v>
      </c>
      <c r="AZ91" s="387">
        <f t="shared" si="130"/>
        <v>7.3471999999999996E-2</v>
      </c>
      <c r="BA91" s="387">
        <f t="shared" si="152"/>
        <v>9.5135999999999998E-2</v>
      </c>
      <c r="BB91" s="387">
        <f t="shared" si="153"/>
        <v>1.2705673564433493</v>
      </c>
      <c r="BC91">
        <f t="shared" si="131"/>
        <v>59.04</v>
      </c>
      <c r="BD91" s="606">
        <f t="shared" si="146"/>
        <v>0.97893292316528657</v>
      </c>
      <c r="BE91" s="616">
        <f t="shared" si="132"/>
        <v>15.602386731149783</v>
      </c>
      <c r="BF91" s="616">
        <f t="shared" si="133"/>
        <v>10.774633105539005</v>
      </c>
      <c r="BG91" s="9"/>
      <c r="BH91" s="4">
        <f t="shared" si="147"/>
        <v>97.893292316528658</v>
      </c>
      <c r="BI91" s="387">
        <f t="shared" si="148"/>
        <v>0.49943038022062081</v>
      </c>
      <c r="BJ91" s="387">
        <f t="shared" si="149"/>
        <v>0.57898777071637131</v>
      </c>
      <c r="BK91" s="387">
        <f t="shared" si="134"/>
        <v>0.31204773462299568</v>
      </c>
      <c r="BL91" s="387">
        <f t="shared" si="135"/>
        <v>0.21549266211078008</v>
      </c>
      <c r="BM91" s="387">
        <f t="shared" si="150"/>
        <v>7.4879422901615575E-2</v>
      </c>
      <c r="BS91" s="18"/>
      <c r="BT91" s="19"/>
    </row>
    <row r="92" spans="1:72" x14ac:dyDescent="0.2">
      <c r="G92">
        <v>83</v>
      </c>
      <c r="H92" s="612">
        <f t="shared" si="97"/>
        <v>19</v>
      </c>
      <c r="I92" s="4" t="str">
        <f t="shared" si="98"/>
        <v>BUCK</v>
      </c>
      <c r="J92">
        <f t="shared" si="136"/>
        <v>1</v>
      </c>
      <c r="K92" s="387">
        <f t="shared" si="137"/>
        <v>4.9800000000000004</v>
      </c>
      <c r="L92" s="4">
        <f t="shared" si="99"/>
        <v>3.276315789473685</v>
      </c>
      <c r="M92" s="4">
        <f t="shared" si="151"/>
        <v>4.9800000000000004</v>
      </c>
      <c r="N92" s="387">
        <f t="shared" si="100"/>
        <v>0.63541006647114673</v>
      </c>
      <c r="O92" s="387">
        <f t="shared" si="101"/>
        <v>0</v>
      </c>
      <c r="P92" s="4">
        <f t="shared" si="102"/>
        <v>4.1896349376567432</v>
      </c>
      <c r="Q92" s="4">
        <f t="shared" si="103"/>
        <v>5.1247588635209143</v>
      </c>
      <c r="R92" s="387">
        <f t="shared" si="138"/>
        <v>0.15959077177793007</v>
      </c>
      <c r="S92" s="387">
        <f t="shared" si="139"/>
        <v>0.343470969132668</v>
      </c>
      <c r="T92" s="387">
        <f t="shared" si="140"/>
        <v>0.50306174091059808</v>
      </c>
      <c r="U92" s="4">
        <f t="shared" si="104"/>
        <v>1.2094434295311909</v>
      </c>
      <c r="V92" s="387">
        <f t="shared" si="141"/>
        <v>1.0239273864653181E-2</v>
      </c>
      <c r="W92" s="387">
        <f t="shared" si="142"/>
        <v>1.0239273864653181E-2</v>
      </c>
      <c r="X92" s="4">
        <f t="shared" si="105"/>
        <v>2.466623230800618</v>
      </c>
      <c r="Y92" s="387">
        <f t="shared" si="143"/>
        <v>1.2168460325450558E-2</v>
      </c>
      <c r="Z92" s="605">
        <f t="shared" si="144"/>
        <v>1.2168460325450558E-2</v>
      </c>
      <c r="AA92" s="387">
        <f t="shared" si="106"/>
        <v>4.0850791979476577</v>
      </c>
      <c r="AB92" s="387">
        <f t="shared" si="107"/>
        <v>9.5120870704976684E-2</v>
      </c>
      <c r="AC92" s="387">
        <f t="shared" si="108"/>
        <v>7.194703885222381E-2</v>
      </c>
      <c r="AD92" s="387">
        <f t="shared" si="109"/>
        <v>0</v>
      </c>
      <c r="AE92" s="387">
        <f t="shared" si="110"/>
        <v>0.17030787625261329</v>
      </c>
      <c r="AF92" s="387">
        <f t="shared" si="111"/>
        <v>3.0943951518400961</v>
      </c>
      <c r="AG92" s="387">
        <f t="shared" si="112"/>
        <v>5.4579103727669498E-2</v>
      </c>
      <c r="AH92" s="387">
        <f t="shared" si="113"/>
        <v>8.9241600000000018E-2</v>
      </c>
      <c r="AI92" s="387">
        <f t="shared" si="114"/>
        <v>0.14540795085416905</v>
      </c>
      <c r="AJ92" s="387">
        <f t="shared" si="115"/>
        <v>0</v>
      </c>
      <c r="AK92" s="387">
        <f t="shared" si="116"/>
        <v>0</v>
      </c>
      <c r="AL92" s="387">
        <f t="shared" si="117"/>
        <v>0</v>
      </c>
      <c r="AM92" s="387">
        <f t="shared" si="118"/>
        <v>0</v>
      </c>
      <c r="AN92" s="387">
        <f t="shared" si="119"/>
        <v>0</v>
      </c>
      <c r="AO92" s="387">
        <f t="shared" si="145"/>
        <v>5.1247588635209143</v>
      </c>
      <c r="AP92" s="387">
        <f t="shared" si="120"/>
        <v>4.9899991477548727E-2</v>
      </c>
      <c r="AQ92" s="387">
        <f t="shared" si="121"/>
        <v>0</v>
      </c>
      <c r="AR92" s="387">
        <f t="shared" si="122"/>
        <v>5.0403013466028247E-2</v>
      </c>
      <c r="AS92" s="387">
        <f t="shared" si="123"/>
        <v>4.9899991477548727E-2</v>
      </c>
      <c r="AT92" s="387">
        <f t="shared" si="124"/>
        <v>0</v>
      </c>
      <c r="AU92" s="387">
        <f t="shared" si="125"/>
        <v>0.22221375591743997</v>
      </c>
      <c r="AV92" s="387">
        <f t="shared" si="126"/>
        <v>7.6602250845851927E-2</v>
      </c>
      <c r="AW92" s="387">
        <f t="shared" si="127"/>
        <v>0</v>
      </c>
      <c r="AX92" s="387">
        <f t="shared" si="128"/>
        <v>3.6000000000000004E-2</v>
      </c>
      <c r="AY92" s="387">
        <f t="shared" si="129"/>
        <v>5.9136000000000001E-2</v>
      </c>
      <c r="AZ92" s="387">
        <f t="shared" si="130"/>
        <v>7.3471999999999996E-2</v>
      </c>
      <c r="BA92" s="387">
        <f t="shared" si="152"/>
        <v>9.5135999999999998E-2</v>
      </c>
      <c r="BB92" s="387">
        <f t="shared" si="153"/>
        <v>1.2855403224368045</v>
      </c>
      <c r="BC92">
        <f t="shared" si="131"/>
        <v>59.760000000000005</v>
      </c>
      <c r="BD92" s="606">
        <f t="shared" si="146"/>
        <v>0.97894129013115949</v>
      </c>
      <c r="BE92" s="616">
        <f t="shared" si="132"/>
        <v>15.848447757906184</v>
      </c>
      <c r="BF92" s="616">
        <f t="shared" si="133"/>
        <v>10.936924515346211</v>
      </c>
      <c r="BG92" s="9"/>
      <c r="BH92" s="4">
        <f t="shared" si="147"/>
        <v>97.894129013115943</v>
      </c>
      <c r="BI92" s="387">
        <f t="shared" si="148"/>
        <v>0.50306174091059808</v>
      </c>
      <c r="BJ92" s="387">
        <f t="shared" si="149"/>
        <v>0.5883325964902506</v>
      </c>
      <c r="BK92" s="387">
        <f t="shared" si="134"/>
        <v>0.31696895515812368</v>
      </c>
      <c r="BL92" s="387">
        <f t="shared" si="135"/>
        <v>0.21873849030692424</v>
      </c>
      <c r="BM92" s="387">
        <f t="shared" si="150"/>
        <v>7.6602250845851927E-2</v>
      </c>
      <c r="BS92" s="18"/>
      <c r="BT92" s="19"/>
    </row>
    <row r="93" spans="1:72" x14ac:dyDescent="0.2">
      <c r="G93">
        <v>84</v>
      </c>
      <c r="H93" s="612">
        <f t="shared" si="97"/>
        <v>19</v>
      </c>
      <c r="I93" s="4" t="str">
        <f t="shared" si="98"/>
        <v>BUCK</v>
      </c>
      <c r="J93">
        <f t="shared" si="136"/>
        <v>1</v>
      </c>
      <c r="K93" s="387">
        <f t="shared" si="137"/>
        <v>5.04</v>
      </c>
      <c r="L93" s="4">
        <f t="shared" si="99"/>
        <v>3.3157894736842111</v>
      </c>
      <c r="M93" s="4">
        <f t="shared" si="151"/>
        <v>5.04</v>
      </c>
      <c r="N93" s="387">
        <f t="shared" si="100"/>
        <v>0.63545612678778507</v>
      </c>
      <c r="O93" s="387">
        <f t="shared" si="101"/>
        <v>0</v>
      </c>
      <c r="P93" s="4">
        <f t="shared" si="102"/>
        <v>4.1895149227109361</v>
      </c>
      <c r="Q93" s="4">
        <f t="shared" si="103"/>
        <v>5.1830753040353823</v>
      </c>
      <c r="R93" s="387">
        <f t="shared" si="138"/>
        <v>0.16329123351014094</v>
      </c>
      <c r="S93" s="387">
        <f t="shared" si="139"/>
        <v>0.3434483005926654</v>
      </c>
      <c r="T93" s="387">
        <f t="shared" si="140"/>
        <v>0.50673953410280637</v>
      </c>
      <c r="U93" s="4">
        <f t="shared" si="104"/>
        <v>1.2094087842005565</v>
      </c>
      <c r="V93" s="387">
        <f t="shared" si="141"/>
        <v>1.0238687251110278E-2</v>
      </c>
      <c r="W93" s="387">
        <f t="shared" si="142"/>
        <v>1.0238687251110278E-2</v>
      </c>
      <c r="X93" s="4">
        <f t="shared" si="105"/>
        <v>2.49462463119528</v>
      </c>
      <c r="Y93" s="387">
        <f t="shared" si="143"/>
        <v>1.2446304101132373E-2</v>
      </c>
      <c r="Z93" s="605">
        <f t="shared" si="144"/>
        <v>1.2446304101132373E-2</v>
      </c>
      <c r="AA93" s="387">
        <f t="shared" si="106"/>
        <v>4.1317145004995934</v>
      </c>
      <c r="AB93" s="387">
        <f t="shared" si="107"/>
        <v>9.7305068867740055E-2</v>
      </c>
      <c r="AC93" s="387">
        <f t="shared" si="108"/>
        <v>7.2813870645624085E-2</v>
      </c>
      <c r="AD93" s="387">
        <f t="shared" si="109"/>
        <v>0</v>
      </c>
      <c r="AE93" s="387">
        <f t="shared" si="110"/>
        <v>0.17349533460985284</v>
      </c>
      <c r="AF93" s="387">
        <f t="shared" si="111"/>
        <v>3.1294096717532631</v>
      </c>
      <c r="AG93" s="387">
        <f t="shared" si="112"/>
        <v>5.5821267893878333E-2</v>
      </c>
      <c r="AH93" s="387">
        <f t="shared" si="113"/>
        <v>9.0316800000000017E-2</v>
      </c>
      <c r="AI93" s="387">
        <f t="shared" si="114"/>
        <v>0.14778801072147571</v>
      </c>
      <c r="AJ93" s="387">
        <f t="shared" si="115"/>
        <v>0</v>
      </c>
      <c r="AK93" s="387">
        <f t="shared" si="116"/>
        <v>0</v>
      </c>
      <c r="AL93" s="387">
        <f t="shared" si="117"/>
        <v>0</v>
      </c>
      <c r="AM93" s="387">
        <f t="shared" si="118"/>
        <v>0</v>
      </c>
      <c r="AN93" s="387">
        <f t="shared" si="119"/>
        <v>0</v>
      </c>
      <c r="AO93" s="387">
        <f t="shared" si="145"/>
        <v>5.1830753040353823</v>
      </c>
      <c r="AP93" s="387">
        <f t="shared" si="120"/>
        <v>5.1042112253872791E-2</v>
      </c>
      <c r="AQ93" s="387">
        <f t="shared" si="121"/>
        <v>0</v>
      </c>
      <c r="AR93" s="387">
        <f t="shared" si="122"/>
        <v>5.1568545754102774E-2</v>
      </c>
      <c r="AS93" s="387">
        <f t="shared" si="123"/>
        <v>5.1042112253872791E-2</v>
      </c>
      <c r="AT93" s="387">
        <f t="shared" si="124"/>
        <v>0</v>
      </c>
      <c r="AU93" s="387">
        <f t="shared" si="125"/>
        <v>0.22488697598975999</v>
      </c>
      <c r="AV93" s="387">
        <f t="shared" si="126"/>
        <v>7.8345639149302926E-2</v>
      </c>
      <c r="AW93" s="387">
        <f t="shared" si="127"/>
        <v>0</v>
      </c>
      <c r="AX93" s="387">
        <f t="shared" si="128"/>
        <v>3.6000000000000004E-2</v>
      </c>
      <c r="AY93" s="387">
        <f t="shared" si="129"/>
        <v>5.9136000000000001E-2</v>
      </c>
      <c r="AZ93" s="387">
        <f t="shared" si="130"/>
        <v>7.3471999999999996E-2</v>
      </c>
      <c r="BA93" s="387">
        <f t="shared" si="152"/>
        <v>9.5135999999999998E-2</v>
      </c>
      <c r="BB93" s="387">
        <f t="shared" si="153"/>
        <v>1.3006450316795433</v>
      </c>
      <c r="BC93">
        <f t="shared" si="131"/>
        <v>60.480000000000004</v>
      </c>
      <c r="BD93" s="606">
        <f t="shared" si="146"/>
        <v>0.97894737047480473</v>
      </c>
      <c r="BE93" s="616">
        <f t="shared" si="132"/>
        <v>16.096036938154722</v>
      </c>
      <c r="BF93" s="616">
        <f t="shared" si="133"/>
        <v>11.100035639904826</v>
      </c>
      <c r="BG93" s="9"/>
      <c r="BH93" s="4">
        <f t="shared" si="147"/>
        <v>97.894737047480476</v>
      </c>
      <c r="BI93" s="387">
        <f t="shared" si="148"/>
        <v>0.50673953410280637</v>
      </c>
      <c r="BJ93" s="387">
        <f t="shared" si="149"/>
        <v>0.5977388670751913</v>
      </c>
      <c r="BK93" s="387">
        <f t="shared" si="134"/>
        <v>0.32192073876309446</v>
      </c>
      <c r="BL93" s="387">
        <f t="shared" si="135"/>
        <v>0.22200071279809652</v>
      </c>
      <c r="BM93" s="387">
        <f t="shared" si="150"/>
        <v>7.8345639149302926E-2</v>
      </c>
      <c r="BS93" s="18"/>
      <c r="BT93" s="19"/>
    </row>
    <row r="94" spans="1:72" x14ac:dyDescent="0.2">
      <c r="G94">
        <v>85</v>
      </c>
      <c r="H94" s="612">
        <f t="shared" si="97"/>
        <v>19</v>
      </c>
      <c r="I94" s="4" t="str">
        <f t="shared" si="98"/>
        <v>BUCK</v>
      </c>
      <c r="J94">
        <f t="shared" si="136"/>
        <v>1</v>
      </c>
      <c r="K94" s="387">
        <f t="shared" si="137"/>
        <v>5.0999999999999996</v>
      </c>
      <c r="L94" s="4">
        <f t="shared" si="99"/>
        <v>3.3552631578947367</v>
      </c>
      <c r="M94" s="4">
        <f t="shared" si="151"/>
        <v>5.0999999999999996</v>
      </c>
      <c r="N94" s="387">
        <f t="shared" si="100"/>
        <v>0.63550218478215192</v>
      </c>
      <c r="O94" s="387">
        <f t="shared" si="101"/>
        <v>0</v>
      </c>
      <c r="P94" s="4">
        <f t="shared" si="102"/>
        <v>4.1893948310306914</v>
      </c>
      <c r="Q94" s="4">
        <f t="shared" si="103"/>
        <v>5.2414297433227972</v>
      </c>
      <c r="R94" s="387">
        <f t="shared" si="138"/>
        <v>0.16703822101362481</v>
      </c>
      <c r="S94" s="387">
        <f t="shared" si="139"/>
        <v>0.3434256184065681</v>
      </c>
      <c r="T94" s="387">
        <f t="shared" si="140"/>
        <v>0.51046383942019291</v>
      </c>
      <c r="U94" s="4">
        <f t="shared" si="104"/>
        <v>1.2093741167185983</v>
      </c>
      <c r="V94" s="387">
        <f t="shared" si="141"/>
        <v>1.0238100279322229E-2</v>
      </c>
      <c r="W94" s="387">
        <f t="shared" si="142"/>
        <v>1.0238100279322229E-2</v>
      </c>
      <c r="X94" s="4">
        <f t="shared" si="105"/>
        <v>2.522642786833893</v>
      </c>
      <c r="Y94" s="387">
        <f t="shared" si="143"/>
        <v>1.2727453259930141E-2</v>
      </c>
      <c r="Z94" s="605">
        <f t="shared" si="144"/>
        <v>1.2727453259930141E-2</v>
      </c>
      <c r="AA94" s="387">
        <f t="shared" si="106"/>
        <v>4.1783834515757476</v>
      </c>
      <c r="AB94" s="387">
        <f t="shared" si="107"/>
        <v>9.951566312989174E-2</v>
      </c>
      <c r="AC94" s="387">
        <f t="shared" si="108"/>
        <v>7.3680702439024359E-2</v>
      </c>
      <c r="AD94" s="387">
        <f t="shared" si="109"/>
        <v>0</v>
      </c>
      <c r="AE94" s="387">
        <f t="shared" si="110"/>
        <v>0.17671351815761024</v>
      </c>
      <c r="AF94" s="387">
        <f t="shared" si="111"/>
        <v>3.1644426817034983</v>
      </c>
      <c r="AG94" s="387">
        <f t="shared" si="112"/>
        <v>5.7078075668984922E-2</v>
      </c>
      <c r="AH94" s="387">
        <f t="shared" si="113"/>
        <v>9.1392000000000001E-2</v>
      </c>
      <c r="AI94" s="387">
        <f t="shared" si="114"/>
        <v>0.15018452439857136</v>
      </c>
      <c r="AJ94" s="387">
        <f t="shared" si="115"/>
        <v>0</v>
      </c>
      <c r="AK94" s="387">
        <f t="shared" si="116"/>
        <v>0</v>
      </c>
      <c r="AL94" s="387">
        <f t="shared" si="117"/>
        <v>0</v>
      </c>
      <c r="AM94" s="387">
        <f t="shared" si="118"/>
        <v>0</v>
      </c>
      <c r="AN94" s="387">
        <f t="shared" si="119"/>
        <v>0</v>
      </c>
      <c r="AO94" s="387">
        <f t="shared" si="145"/>
        <v>5.2414297433227972</v>
      </c>
      <c r="AP94" s="387">
        <f t="shared" si="120"/>
        <v>5.2197912932958883E-2</v>
      </c>
      <c r="AQ94" s="387">
        <f t="shared" si="121"/>
        <v>0</v>
      </c>
      <c r="AR94" s="387">
        <f t="shared" si="122"/>
        <v>5.2748586154444152E-2</v>
      </c>
      <c r="AS94" s="387">
        <f t="shared" si="123"/>
        <v>5.2197912932958883E-2</v>
      </c>
      <c r="AT94" s="387">
        <f t="shared" si="124"/>
        <v>0</v>
      </c>
      <c r="AU94" s="387">
        <f t="shared" si="125"/>
        <v>0.22756009953599998</v>
      </c>
      <c r="AV94" s="387">
        <f t="shared" si="126"/>
        <v>8.0109579886294621E-2</v>
      </c>
      <c r="AW94" s="387">
        <f t="shared" si="127"/>
        <v>0</v>
      </c>
      <c r="AX94" s="387">
        <f t="shared" si="128"/>
        <v>3.6000000000000004E-2</v>
      </c>
      <c r="AY94" s="387">
        <f t="shared" si="129"/>
        <v>5.9136000000000001E-2</v>
      </c>
      <c r="AZ94" s="387">
        <f t="shared" si="130"/>
        <v>7.3471999999999996E-2</v>
      </c>
      <c r="BA94" s="387">
        <f t="shared" si="152"/>
        <v>9.5135999999999998E-2</v>
      </c>
      <c r="BB94" s="387">
        <f t="shared" si="153"/>
        <v>1.3158817010923658</v>
      </c>
      <c r="BC94">
        <f t="shared" si="131"/>
        <v>61.199999999999996</v>
      </c>
      <c r="BD94" s="606">
        <f t="shared" si="146"/>
        <v>0.97895124142399526</v>
      </c>
      <c r="BE94" s="616">
        <f t="shared" si="132"/>
        <v>16.345159192568513</v>
      </c>
      <c r="BF94" s="616">
        <f t="shared" si="133"/>
        <v>11.263967862272567</v>
      </c>
      <c r="BG94" s="9"/>
      <c r="BH94" s="4">
        <f t="shared" si="147"/>
        <v>97.895124142399524</v>
      </c>
      <c r="BI94" s="387">
        <f t="shared" si="148"/>
        <v>0.51046383942019291</v>
      </c>
      <c r="BJ94" s="387">
        <f t="shared" si="149"/>
        <v>0.6072067282466258</v>
      </c>
      <c r="BK94" s="387">
        <f t="shared" si="134"/>
        <v>0.32690318385137024</v>
      </c>
      <c r="BL94" s="387">
        <f t="shared" si="135"/>
        <v>0.22527935724545134</v>
      </c>
      <c r="BM94" s="387">
        <f t="shared" si="150"/>
        <v>8.0109579886294621E-2</v>
      </c>
      <c r="BS94" s="18"/>
      <c r="BT94" s="19"/>
    </row>
    <row r="95" spans="1:72" x14ac:dyDescent="0.2">
      <c r="G95">
        <v>86</v>
      </c>
      <c r="H95" s="612">
        <f t="shared" si="97"/>
        <v>19</v>
      </c>
      <c r="I95" s="4" t="str">
        <f t="shared" si="98"/>
        <v>BUCK</v>
      </c>
      <c r="J95">
        <f t="shared" si="136"/>
        <v>1</v>
      </c>
      <c r="K95" s="387">
        <f t="shared" si="137"/>
        <v>5.16</v>
      </c>
      <c r="L95" s="4">
        <f t="shared" si="99"/>
        <v>3.3947368421052637</v>
      </c>
      <c r="M95" s="4">
        <f t="shared" si="151"/>
        <v>5.16</v>
      </c>
      <c r="N95" s="387">
        <f t="shared" si="100"/>
        <v>0.63554824045442315</v>
      </c>
      <c r="O95" s="387">
        <f t="shared" si="101"/>
        <v>0</v>
      </c>
      <c r="P95" s="4">
        <f t="shared" si="102"/>
        <v>4.1892746626218154</v>
      </c>
      <c r="Q95" s="4">
        <f t="shared" si="103"/>
        <v>5.2998209262112903</v>
      </c>
      <c r="R95" s="387">
        <f t="shared" si="138"/>
        <v>0.1708318149802602</v>
      </c>
      <c r="S95" s="387">
        <f t="shared" si="139"/>
        <v>0.34340292257708982</v>
      </c>
      <c r="T95" s="387">
        <f t="shared" si="140"/>
        <v>0.51423473755735005</v>
      </c>
      <c r="U95" s="4">
        <f t="shared" si="104"/>
        <v>1.2093394270869919</v>
      </c>
      <c r="V95" s="387">
        <f t="shared" si="141"/>
        <v>1.0237512949349657E-2</v>
      </c>
      <c r="W95" s="387">
        <f t="shared" si="142"/>
        <v>1.0237512949349657E-2</v>
      </c>
      <c r="X95" s="4">
        <f t="shared" si="105"/>
        <v>2.5506770914374899</v>
      </c>
      <c r="Y95" s="387">
        <f t="shared" si="143"/>
        <v>1.3011907249568026E-2</v>
      </c>
      <c r="Z95" s="605">
        <f t="shared" si="144"/>
        <v>1.3011907249568026E-2</v>
      </c>
      <c r="AA95" s="387">
        <f t="shared" si="106"/>
        <v>4.2250850533939648</v>
      </c>
      <c r="AB95" s="387">
        <f t="shared" si="107"/>
        <v>0.10175265913795457</v>
      </c>
      <c r="AC95" s="387">
        <f t="shared" si="108"/>
        <v>7.4547534232424661E-2</v>
      </c>
      <c r="AD95" s="387">
        <f t="shared" si="109"/>
        <v>0</v>
      </c>
      <c r="AE95" s="387">
        <f t="shared" si="110"/>
        <v>0.17996252649356009</v>
      </c>
      <c r="AF95" s="387">
        <f t="shared" si="111"/>
        <v>3.1994934195109725</v>
      </c>
      <c r="AG95" s="387">
        <f t="shared" si="112"/>
        <v>5.8349521406515899E-2</v>
      </c>
      <c r="AH95" s="387">
        <f t="shared" si="113"/>
        <v>9.2467200000000013E-2</v>
      </c>
      <c r="AI95" s="387">
        <f t="shared" si="114"/>
        <v>0.15259751985680914</v>
      </c>
      <c r="AJ95" s="387">
        <f t="shared" si="115"/>
        <v>0</v>
      </c>
      <c r="AK95" s="387">
        <f t="shared" si="116"/>
        <v>0</v>
      </c>
      <c r="AL95" s="387">
        <f t="shared" si="117"/>
        <v>0</v>
      </c>
      <c r="AM95" s="387">
        <f t="shared" si="118"/>
        <v>0</v>
      </c>
      <c r="AN95" s="387">
        <f t="shared" si="119"/>
        <v>0</v>
      </c>
      <c r="AO95" s="387">
        <f t="shared" si="145"/>
        <v>5.2998209262112903</v>
      </c>
      <c r="AP95" s="387">
        <f t="shared" si="120"/>
        <v>5.3367393514823488E-2</v>
      </c>
      <c r="AQ95" s="387">
        <f t="shared" si="121"/>
        <v>0</v>
      </c>
      <c r="AR95" s="387">
        <f t="shared" si="122"/>
        <v>5.394315462690448E-2</v>
      </c>
      <c r="AS95" s="387">
        <f t="shared" si="123"/>
        <v>5.3367393514823488E-2</v>
      </c>
      <c r="AT95" s="387">
        <f t="shared" si="124"/>
        <v>0</v>
      </c>
      <c r="AU95" s="387">
        <f t="shared" si="125"/>
        <v>0.23023312655615996</v>
      </c>
      <c r="AV95" s="387">
        <f t="shared" si="126"/>
        <v>8.1894065131952132E-2</v>
      </c>
      <c r="AW95" s="387">
        <f t="shared" si="127"/>
        <v>0</v>
      </c>
      <c r="AX95" s="387">
        <f t="shared" si="128"/>
        <v>3.6000000000000004E-2</v>
      </c>
      <c r="AY95" s="387">
        <f t="shared" si="129"/>
        <v>5.9136000000000001E-2</v>
      </c>
      <c r="AZ95" s="387">
        <f t="shared" si="130"/>
        <v>7.3471999999999996E-2</v>
      </c>
      <c r="BA95" s="387">
        <f t="shared" si="152"/>
        <v>9.5135999999999998E-2</v>
      </c>
      <c r="BB95" s="387">
        <f t="shared" si="153"/>
        <v>1.3312505504216536</v>
      </c>
      <c r="BC95">
        <f t="shared" si="131"/>
        <v>61.92</v>
      </c>
      <c r="BD95" s="606">
        <f t="shared" si="146"/>
        <v>0.9789529765998789</v>
      </c>
      <c r="BE95" s="616">
        <f t="shared" si="132"/>
        <v>16.595819501031283</v>
      </c>
      <c r="BF95" s="616">
        <f t="shared" si="133"/>
        <v>11.428722581017096</v>
      </c>
      <c r="BG95" s="9"/>
      <c r="BH95" s="4">
        <f t="shared" si="147"/>
        <v>97.895297659987889</v>
      </c>
      <c r="BI95" s="387">
        <f t="shared" si="148"/>
        <v>0.51423473755735005</v>
      </c>
      <c r="BJ95" s="387">
        <f t="shared" si="149"/>
        <v>0.61673632753343366</v>
      </c>
      <c r="BK95" s="387">
        <f t="shared" si="134"/>
        <v>0.33191639002062567</v>
      </c>
      <c r="BL95" s="387">
        <f t="shared" si="135"/>
        <v>0.22857445162034193</v>
      </c>
      <c r="BM95" s="387">
        <f t="shared" si="150"/>
        <v>8.1894065131952132E-2</v>
      </c>
      <c r="BS95" s="18"/>
      <c r="BT95" s="19"/>
    </row>
    <row r="96" spans="1:72" x14ac:dyDescent="0.2">
      <c r="G96">
        <v>87</v>
      </c>
      <c r="H96" s="612">
        <f t="shared" si="97"/>
        <v>19</v>
      </c>
      <c r="I96" s="4" t="str">
        <f t="shared" si="98"/>
        <v>BUCK</v>
      </c>
      <c r="J96">
        <f t="shared" si="136"/>
        <v>1</v>
      </c>
      <c r="K96" s="387">
        <f t="shared" si="137"/>
        <v>5.22</v>
      </c>
      <c r="L96" s="4">
        <f t="shared" si="99"/>
        <v>3.4342105263157898</v>
      </c>
      <c r="M96" s="4">
        <f t="shared" si="151"/>
        <v>5.22</v>
      </c>
      <c r="N96" s="387">
        <f t="shared" si="100"/>
        <v>0.63559429380477428</v>
      </c>
      <c r="O96" s="387">
        <f t="shared" si="101"/>
        <v>0</v>
      </c>
      <c r="P96" s="4">
        <f t="shared" si="102"/>
        <v>4.1891544174901085</v>
      </c>
      <c r="Q96" s="4">
        <f t="shared" si="103"/>
        <v>5.3582476514682238</v>
      </c>
      <c r="R96" s="387">
        <f t="shared" si="138"/>
        <v>0.17467209717798265</v>
      </c>
      <c r="S96" s="387">
        <f t="shared" si="139"/>
        <v>0.343380213106946</v>
      </c>
      <c r="T96" s="387">
        <f t="shared" si="140"/>
        <v>0.5180523102849286</v>
      </c>
      <c r="U96" s="4">
        <f t="shared" si="104"/>
        <v>1.2093047153074121</v>
      </c>
      <c r="V96" s="387">
        <f t="shared" si="141"/>
        <v>1.0236925261253187E-2</v>
      </c>
      <c r="W96" s="387">
        <f t="shared" si="142"/>
        <v>1.0236925261253187E-2</v>
      </c>
      <c r="X96" s="4">
        <f t="shared" si="105"/>
        <v>2.5787269647503308</v>
      </c>
      <c r="Y96" s="387">
        <f t="shared" si="143"/>
        <v>1.3299665517460908E-2</v>
      </c>
      <c r="Z96" s="605">
        <f t="shared" si="144"/>
        <v>1.3299665517460908E-2</v>
      </c>
      <c r="AA96" s="387">
        <f t="shared" si="106"/>
        <v>4.2718183510291947</v>
      </c>
      <c r="AB96" s="387">
        <f t="shared" si="107"/>
        <v>0.1040160625378818</v>
      </c>
      <c r="AC96" s="387">
        <f t="shared" si="108"/>
        <v>7.541436602582495E-2</v>
      </c>
      <c r="AD96" s="387">
        <f t="shared" si="109"/>
        <v>0</v>
      </c>
      <c r="AE96" s="387">
        <f t="shared" si="110"/>
        <v>0.1832424604079852</v>
      </c>
      <c r="AF96" s="387">
        <f t="shared" si="111"/>
        <v>3.234561155748171</v>
      </c>
      <c r="AG96" s="387">
        <f t="shared" si="112"/>
        <v>5.9635599460567186E-2</v>
      </c>
      <c r="AH96" s="387">
        <f t="shared" si="113"/>
        <v>9.3542400000000012E-2</v>
      </c>
      <c r="AI96" s="387">
        <f t="shared" si="114"/>
        <v>0.15502702537877761</v>
      </c>
      <c r="AJ96" s="387">
        <f t="shared" si="115"/>
        <v>0</v>
      </c>
      <c r="AK96" s="387">
        <f t="shared" si="116"/>
        <v>0</v>
      </c>
      <c r="AL96" s="387">
        <f t="shared" si="117"/>
        <v>0</v>
      </c>
      <c r="AM96" s="387">
        <f t="shared" si="118"/>
        <v>0</v>
      </c>
      <c r="AN96" s="387">
        <f t="shared" si="119"/>
        <v>0</v>
      </c>
      <c r="AO96" s="387">
        <f t="shared" si="145"/>
        <v>5.3582476514682238</v>
      </c>
      <c r="AP96" s="387">
        <f t="shared" si="120"/>
        <v>5.4550553999482998E-2</v>
      </c>
      <c r="AQ96" s="387">
        <f t="shared" si="121"/>
        <v>0</v>
      </c>
      <c r="AR96" s="387">
        <f t="shared" si="122"/>
        <v>5.5152271391227255E-2</v>
      </c>
      <c r="AS96" s="387">
        <f t="shared" si="123"/>
        <v>5.4550553999482998E-2</v>
      </c>
      <c r="AT96" s="387">
        <f t="shared" si="124"/>
        <v>0</v>
      </c>
      <c r="AU96" s="387">
        <f t="shared" si="125"/>
        <v>0.23290605705023998</v>
      </c>
      <c r="AV96" s="387">
        <f t="shared" si="126"/>
        <v>8.3699086962199562E-2</v>
      </c>
      <c r="AW96" s="387">
        <f t="shared" si="127"/>
        <v>0</v>
      </c>
      <c r="AX96" s="387">
        <f t="shared" si="128"/>
        <v>3.6000000000000004E-2</v>
      </c>
      <c r="AY96" s="387">
        <f t="shared" si="129"/>
        <v>5.9136000000000001E-2</v>
      </c>
      <c r="AZ96" s="387">
        <f t="shared" si="130"/>
        <v>7.3471999999999996E-2</v>
      </c>
      <c r="BA96" s="387">
        <f t="shared" si="152"/>
        <v>9.5135999999999998E-2</v>
      </c>
      <c r="BB96" s="387">
        <f t="shared" si="153"/>
        <v>1.3467518022540725</v>
      </c>
      <c r="BC96">
        <f t="shared" si="131"/>
        <v>62.64</v>
      </c>
      <c r="BD96" s="606">
        <f t="shared" si="146"/>
        <v>0.97895264622251643</v>
      </c>
      <c r="BE96" s="616">
        <f t="shared" si="132"/>
        <v>16.848022903057181</v>
      </c>
      <c r="BF96" s="616">
        <f t="shared" si="133"/>
        <v>11.59430121026784</v>
      </c>
      <c r="BG96" s="9"/>
      <c r="BH96" s="4">
        <f t="shared" si="147"/>
        <v>97.895264622251645</v>
      </c>
      <c r="BI96" s="387">
        <f t="shared" si="148"/>
        <v>0.5180523102849286</v>
      </c>
      <c r="BJ96" s="387">
        <f t="shared" si="149"/>
        <v>0.62632781422823003</v>
      </c>
      <c r="BK96" s="387">
        <f t="shared" si="134"/>
        <v>0.33696045806114361</v>
      </c>
      <c r="BL96" s="387">
        <f t="shared" si="135"/>
        <v>0.23188602420535681</v>
      </c>
      <c r="BM96" s="387">
        <f t="shared" si="150"/>
        <v>8.3699086962199562E-2</v>
      </c>
      <c r="BS96" s="18"/>
      <c r="BT96" s="19"/>
    </row>
    <row r="97" spans="7:72" x14ac:dyDescent="0.2">
      <c r="G97">
        <v>88</v>
      </c>
      <c r="H97" s="612">
        <f t="shared" si="97"/>
        <v>19</v>
      </c>
      <c r="I97" s="4" t="str">
        <f t="shared" si="98"/>
        <v>BUCK</v>
      </c>
      <c r="J97">
        <f t="shared" si="136"/>
        <v>1</v>
      </c>
      <c r="K97" s="387">
        <f t="shared" si="137"/>
        <v>5.28</v>
      </c>
      <c r="L97" s="4">
        <f t="shared" si="99"/>
        <v>3.4736842105263159</v>
      </c>
      <c r="M97" s="4">
        <f t="shared" si="151"/>
        <v>5.28</v>
      </c>
      <c r="N97" s="387">
        <f t="shared" si="100"/>
        <v>0.63564034483338094</v>
      </c>
      <c r="O97" s="387">
        <f t="shared" si="101"/>
        <v>0</v>
      </c>
      <c r="P97" s="4">
        <f t="shared" si="102"/>
        <v>4.1890340956413761</v>
      </c>
      <c r="Q97" s="4">
        <f t="shared" si="103"/>
        <v>5.4167087689731392</v>
      </c>
      <c r="R97" s="387">
        <f t="shared" si="138"/>
        <v>0.17855915045526405</v>
      </c>
      <c r="S97" s="387">
        <f t="shared" si="139"/>
        <v>0.34335748999885196</v>
      </c>
      <c r="T97" s="387">
        <f t="shared" si="140"/>
        <v>0.52191664045411601</v>
      </c>
      <c r="U97" s="4">
        <f t="shared" si="104"/>
        <v>1.2092699813815346</v>
      </c>
      <c r="V97" s="387">
        <f t="shared" si="141"/>
        <v>1.0236337215093479E-2</v>
      </c>
      <c r="W97" s="387">
        <f t="shared" si="142"/>
        <v>1.0236337215093479E-2</v>
      </c>
      <c r="X97" s="4">
        <f t="shared" si="105"/>
        <v>2.6067918511759345</v>
      </c>
      <c r="Y97" s="387">
        <f t="shared" si="143"/>
        <v>1.3590727510714511E-2</v>
      </c>
      <c r="Z97" s="605">
        <f t="shared" si="144"/>
        <v>1.3590727510714511E-2</v>
      </c>
      <c r="AA97" s="387">
        <f t="shared" si="106"/>
        <v>4.318582430167389</v>
      </c>
      <c r="AB97" s="387">
        <f t="shared" si="107"/>
        <v>0.10630587897505769</v>
      </c>
      <c r="AC97" s="387">
        <f t="shared" si="108"/>
        <v>7.6281197819225238E-2</v>
      </c>
      <c r="AD97" s="387">
        <f t="shared" si="109"/>
        <v>0</v>
      </c>
      <c r="AE97" s="387">
        <f t="shared" si="110"/>
        <v>0.18655342189229598</v>
      </c>
      <c r="AF97" s="387">
        <f t="shared" si="111"/>
        <v>3.2696451920231389</v>
      </c>
      <c r="AG97" s="387">
        <f t="shared" si="112"/>
        <v>6.0936304185804167E-2</v>
      </c>
      <c r="AH97" s="387">
        <f t="shared" si="113"/>
        <v>9.461760000000001E-2</v>
      </c>
      <c r="AI97" s="387">
        <f t="shared" si="114"/>
        <v>0.15747306955935236</v>
      </c>
      <c r="AJ97" s="387">
        <f t="shared" si="115"/>
        <v>0</v>
      </c>
      <c r="AK97" s="387">
        <f t="shared" si="116"/>
        <v>0</v>
      </c>
      <c r="AL97" s="387">
        <f t="shared" si="117"/>
        <v>0</v>
      </c>
      <c r="AM97" s="387">
        <f t="shared" si="118"/>
        <v>0</v>
      </c>
      <c r="AN97" s="387">
        <f t="shared" si="119"/>
        <v>0</v>
      </c>
      <c r="AO97" s="387">
        <f t="shared" si="145"/>
        <v>5.4167087689731392</v>
      </c>
      <c r="AP97" s="387">
        <f t="shared" si="120"/>
        <v>5.5747394386953954E-2</v>
      </c>
      <c r="AQ97" s="387">
        <f t="shared" si="121"/>
        <v>0</v>
      </c>
      <c r="AR97" s="387">
        <f t="shared" si="122"/>
        <v>5.6375956927914431E-2</v>
      </c>
      <c r="AS97" s="387">
        <f t="shared" si="123"/>
        <v>5.5747394386953954E-2</v>
      </c>
      <c r="AT97" s="387">
        <f t="shared" si="124"/>
        <v>0</v>
      </c>
      <c r="AU97" s="387">
        <f t="shared" si="125"/>
        <v>0.23557889101824001</v>
      </c>
      <c r="AV97" s="387">
        <f t="shared" si="126"/>
        <v>8.5524637453760238E-2</v>
      </c>
      <c r="AW97" s="387">
        <f t="shared" si="127"/>
        <v>0</v>
      </c>
      <c r="AX97" s="387">
        <f t="shared" si="128"/>
        <v>3.6000000000000004E-2</v>
      </c>
      <c r="AY97" s="387">
        <f t="shared" si="129"/>
        <v>5.9136000000000001E-2</v>
      </c>
      <c r="AZ97" s="387">
        <f t="shared" si="130"/>
        <v>7.3471999999999996E-2</v>
      </c>
      <c r="BA97" s="387">
        <f t="shared" si="152"/>
        <v>9.5135999999999998E-2</v>
      </c>
      <c r="BB97" s="387">
        <f t="shared" si="153"/>
        <v>1.3623856820314868</v>
      </c>
      <c r="BC97">
        <f t="shared" si="131"/>
        <v>63.36</v>
      </c>
      <c r="BD97" s="606">
        <f t="shared" si="146"/>
        <v>0.97895031730250759</v>
      </c>
      <c r="BE97" s="616">
        <f t="shared" si="132"/>
        <v>17.10177449821672</v>
      </c>
      <c r="BF97" s="616">
        <f t="shared" si="133"/>
        <v>11.760705179768578</v>
      </c>
      <c r="BG97" s="9"/>
      <c r="BH97" s="4">
        <f t="shared" si="147"/>
        <v>97.895031730250764</v>
      </c>
      <c r="BI97" s="387">
        <f t="shared" si="148"/>
        <v>0.52191664045411601</v>
      </c>
      <c r="BJ97" s="387">
        <f t="shared" si="149"/>
        <v>0.63598133939780277</v>
      </c>
      <c r="BK97" s="387">
        <f t="shared" si="134"/>
        <v>0.34203548996433442</v>
      </c>
      <c r="BL97" s="387">
        <f t="shared" si="135"/>
        <v>0.23521410359537157</v>
      </c>
      <c r="BM97" s="387">
        <f t="shared" si="150"/>
        <v>8.5524637453760238E-2</v>
      </c>
      <c r="BS97" s="18"/>
      <c r="BT97" s="19"/>
    </row>
    <row r="98" spans="7:72" x14ac:dyDescent="0.2">
      <c r="G98">
        <v>89</v>
      </c>
      <c r="H98" s="612">
        <f t="shared" si="97"/>
        <v>19</v>
      </c>
      <c r="I98" s="4" t="str">
        <f t="shared" si="98"/>
        <v>BUCK</v>
      </c>
      <c r="J98">
        <f t="shared" si="136"/>
        <v>1</v>
      </c>
      <c r="K98" s="387">
        <f t="shared" si="137"/>
        <v>5.34</v>
      </c>
      <c r="L98" s="4">
        <f t="shared" si="99"/>
        <v>3.5131578947368425</v>
      </c>
      <c r="M98" s="4">
        <f t="shared" si="151"/>
        <v>5.34</v>
      </c>
      <c r="N98" s="387">
        <f t="shared" si="100"/>
        <v>0.63568639354041856</v>
      </c>
      <c r="O98" s="387">
        <f t="shared" si="101"/>
        <v>0</v>
      </c>
      <c r="P98" s="4">
        <f t="shared" si="102"/>
        <v>4.1889136970814134</v>
      </c>
      <c r="Q98" s="4">
        <f t="shared" si="103"/>
        <v>5.4752031770641185</v>
      </c>
      <c r="R98" s="387">
        <f t="shared" si="138"/>
        <v>0.18249305874565519</v>
      </c>
      <c r="S98" s="387">
        <f t="shared" si="139"/>
        <v>0.34333475325552232</v>
      </c>
      <c r="T98" s="387">
        <f t="shared" si="140"/>
        <v>0.52582781200117745</v>
      </c>
      <c r="U98" s="4">
        <f t="shared" si="104"/>
        <v>1.2092352253110323</v>
      </c>
      <c r="V98" s="387">
        <f t="shared" si="141"/>
        <v>1.0235748810931162E-2</v>
      </c>
      <c r="W98" s="387">
        <f t="shared" si="142"/>
        <v>1.0235748810931162E-2</v>
      </c>
      <c r="X98" s="4">
        <f t="shared" si="105"/>
        <v>2.6348712184967815</v>
      </c>
      <c r="Y98" s="387">
        <f t="shared" si="143"/>
        <v>1.3885092676125428E-2</v>
      </c>
      <c r="Z98" s="605">
        <f t="shared" si="144"/>
        <v>1.3885092676125428E-2</v>
      </c>
      <c r="AA98" s="387">
        <f t="shared" si="106"/>
        <v>4.3653764149971659</v>
      </c>
      <c r="AB98" s="387">
        <f t="shared" si="107"/>
        <v>0.10862211409429699</v>
      </c>
      <c r="AC98" s="387">
        <f t="shared" si="108"/>
        <v>7.7148029612625527E-2</v>
      </c>
      <c r="AD98" s="387">
        <f t="shared" si="109"/>
        <v>0</v>
      </c>
      <c r="AE98" s="387">
        <f t="shared" si="110"/>
        <v>0.18989551414767122</v>
      </c>
      <c r="AF98" s="387">
        <f t="shared" si="111"/>
        <v>3.3047448593680437</v>
      </c>
      <c r="AG98" s="387">
        <f t="shared" si="112"/>
        <v>6.2251629937461216E-2</v>
      </c>
      <c r="AH98" s="387">
        <f t="shared" si="113"/>
        <v>9.5692800000000008E-2</v>
      </c>
      <c r="AI98" s="387">
        <f t="shared" si="114"/>
        <v>0.15993568130676208</v>
      </c>
      <c r="AJ98" s="387">
        <f t="shared" si="115"/>
        <v>0</v>
      </c>
      <c r="AK98" s="387">
        <f t="shared" si="116"/>
        <v>0</v>
      </c>
      <c r="AL98" s="387">
        <f t="shared" si="117"/>
        <v>0</v>
      </c>
      <c r="AM98" s="387">
        <f t="shared" si="118"/>
        <v>0</v>
      </c>
      <c r="AN98" s="387">
        <f t="shared" si="119"/>
        <v>0</v>
      </c>
      <c r="AO98" s="387">
        <f t="shared" si="145"/>
        <v>5.4752031770641185</v>
      </c>
      <c r="AP98" s="387">
        <f t="shared" si="120"/>
        <v>5.6957914677252731E-2</v>
      </c>
      <c r="AQ98" s="387">
        <f t="shared" si="121"/>
        <v>0</v>
      </c>
      <c r="AR98" s="387">
        <f t="shared" si="122"/>
        <v>5.7614231979104993E-2</v>
      </c>
      <c r="AS98" s="387">
        <f t="shared" si="123"/>
        <v>5.6957914677252731E-2</v>
      </c>
      <c r="AT98" s="387">
        <f t="shared" si="124"/>
        <v>0</v>
      </c>
      <c r="AU98" s="387">
        <f t="shared" si="125"/>
        <v>0.23825162846016001</v>
      </c>
      <c r="AV98" s="387">
        <f t="shared" si="126"/>
        <v>8.7370708684156084E-2</v>
      </c>
      <c r="AW98" s="387">
        <f t="shared" si="127"/>
        <v>0</v>
      </c>
      <c r="AX98" s="387">
        <f t="shared" si="128"/>
        <v>3.6000000000000004E-2</v>
      </c>
      <c r="AY98" s="387">
        <f t="shared" si="129"/>
        <v>5.9136000000000001E-2</v>
      </c>
      <c r="AZ98" s="387">
        <f t="shared" si="130"/>
        <v>7.3471999999999996E-2</v>
      </c>
      <c r="BA98" s="387">
        <f t="shared" si="152"/>
        <v>9.5135999999999998E-2</v>
      </c>
      <c r="BB98" s="387">
        <f t="shared" si="153"/>
        <v>1.3781524180660885</v>
      </c>
      <c r="BC98">
        <f t="shared" si="131"/>
        <v>64.08</v>
      </c>
      <c r="BD98" s="606">
        <f t="shared" si="146"/>
        <v>0.97894605381978772</v>
      </c>
      <c r="BE98" s="616">
        <f t="shared" si="132"/>
        <v>17.357079446568839</v>
      </c>
      <c r="BF98" s="616">
        <f t="shared" si="133"/>
        <v>11.927935934930744</v>
      </c>
      <c r="BG98" s="9"/>
      <c r="BH98" s="4">
        <f t="shared" si="147"/>
        <v>97.894605381978778</v>
      </c>
      <c r="BI98" s="387">
        <f t="shared" si="148"/>
        <v>0.52582781200117745</v>
      </c>
      <c r="BJ98" s="387">
        <f t="shared" si="149"/>
        <v>0.6456970558936983</v>
      </c>
      <c r="BK98" s="387">
        <f t="shared" si="134"/>
        <v>0.34714158893137681</v>
      </c>
      <c r="BL98" s="387">
        <f t="shared" si="135"/>
        <v>0.23855871869861489</v>
      </c>
      <c r="BM98" s="387">
        <f t="shared" si="150"/>
        <v>8.7370708684156084E-2</v>
      </c>
      <c r="BS98" s="18"/>
      <c r="BT98" s="19"/>
    </row>
    <row r="99" spans="7:72" x14ac:dyDescent="0.2">
      <c r="G99">
        <v>90</v>
      </c>
      <c r="H99" s="612">
        <f t="shared" si="97"/>
        <v>19</v>
      </c>
      <c r="I99" s="4" t="str">
        <f t="shared" si="98"/>
        <v>BUCK</v>
      </c>
      <c r="J99">
        <f t="shared" si="136"/>
        <v>1</v>
      </c>
      <c r="K99" s="387">
        <f t="shared" si="137"/>
        <v>5.4</v>
      </c>
      <c r="L99" s="4">
        <f t="shared" si="99"/>
        <v>3.5526315789473695</v>
      </c>
      <c r="M99" s="4">
        <f t="shared" si="151"/>
        <v>5.4</v>
      </c>
      <c r="N99" s="387">
        <f t="shared" si="100"/>
        <v>0.63573243992606288</v>
      </c>
      <c r="O99" s="387">
        <f t="shared" si="101"/>
        <v>0</v>
      </c>
      <c r="P99" s="4">
        <f t="shared" si="102"/>
        <v>4.1887932218160255</v>
      </c>
      <c r="Q99" s="4">
        <f t="shared" si="103"/>
        <v>5.5337298200455178</v>
      </c>
      <c r="R99" s="387">
        <f t="shared" si="138"/>
        <v>0.18647390707239572</v>
      </c>
      <c r="S99" s="387">
        <f t="shared" si="139"/>
        <v>0.34331200287967517</v>
      </c>
      <c r="T99" s="387">
        <f t="shared" si="140"/>
        <v>0.52978590995207087</v>
      </c>
      <c r="U99" s="4">
        <f t="shared" si="104"/>
        <v>1.2092004470975812</v>
      </c>
      <c r="V99" s="387">
        <f t="shared" si="141"/>
        <v>1.0235160048826934E-2</v>
      </c>
      <c r="W99" s="387">
        <f t="shared" si="142"/>
        <v>1.0235160048826934E-2</v>
      </c>
      <c r="X99" s="4">
        <f t="shared" si="105"/>
        <v>2.662964556671874</v>
      </c>
      <c r="Y99" s="387">
        <f t="shared" si="143"/>
        <v>1.4182760460181262E-2</v>
      </c>
      <c r="Z99" s="605">
        <f t="shared" si="144"/>
        <v>1.4182760460181262E-2</v>
      </c>
      <c r="AA99" s="387">
        <f t="shared" si="106"/>
        <v>4.4121994662296826</v>
      </c>
      <c r="AB99" s="387">
        <f t="shared" si="107"/>
        <v>0.11096477353984574</v>
      </c>
      <c r="AC99" s="387">
        <f t="shared" si="108"/>
        <v>7.8014861406025829E-2</v>
      </c>
      <c r="AD99" s="387">
        <f t="shared" si="109"/>
        <v>0</v>
      </c>
      <c r="AE99" s="387">
        <f t="shared" si="110"/>
        <v>0.19326884159382496</v>
      </c>
      <c r="AF99" s="387">
        <f t="shared" si="111"/>
        <v>3.339859516725741</v>
      </c>
      <c r="AG99" s="387">
        <f t="shared" si="112"/>
        <v>6.358157107134195E-2</v>
      </c>
      <c r="AH99" s="387">
        <f t="shared" si="113"/>
        <v>9.6768000000000021E-2</v>
      </c>
      <c r="AI99" s="387">
        <f t="shared" si="114"/>
        <v>0.16241488984366986</v>
      </c>
      <c r="AJ99" s="387">
        <f t="shared" si="115"/>
        <v>0</v>
      </c>
      <c r="AK99" s="387">
        <f t="shared" si="116"/>
        <v>0</v>
      </c>
      <c r="AL99" s="387">
        <f t="shared" si="117"/>
        <v>0</v>
      </c>
      <c r="AM99" s="387">
        <f t="shared" si="118"/>
        <v>0</v>
      </c>
      <c r="AN99" s="387">
        <f t="shared" si="119"/>
        <v>0</v>
      </c>
      <c r="AO99" s="387">
        <f t="shared" si="145"/>
        <v>5.5337298200455178</v>
      </c>
      <c r="AP99" s="387">
        <f t="shared" si="120"/>
        <v>5.8182114870395894E-2</v>
      </c>
      <c r="AQ99" s="387">
        <f t="shared" si="121"/>
        <v>0</v>
      </c>
      <c r="AR99" s="387">
        <f t="shared" si="122"/>
        <v>5.8867117549466323E-2</v>
      </c>
      <c r="AS99" s="387">
        <f t="shared" si="123"/>
        <v>5.8182114870395894E-2</v>
      </c>
      <c r="AT99" s="387">
        <f t="shared" si="124"/>
        <v>0</v>
      </c>
      <c r="AU99" s="387">
        <f t="shared" si="125"/>
        <v>0.24092426937600001</v>
      </c>
      <c r="AV99" s="387">
        <f t="shared" si="126"/>
        <v>8.9237292731707996E-2</v>
      </c>
      <c r="AW99" s="387">
        <f t="shared" si="127"/>
        <v>0</v>
      </c>
      <c r="AX99" s="387">
        <f t="shared" si="128"/>
        <v>3.6000000000000004E-2</v>
      </c>
      <c r="AY99" s="387">
        <f t="shared" si="129"/>
        <v>5.9136000000000001E-2</v>
      </c>
      <c r="AZ99" s="387">
        <f t="shared" si="130"/>
        <v>7.3471999999999996E-2</v>
      </c>
      <c r="BA99" s="387">
        <f t="shared" si="152"/>
        <v>9.5135999999999998E-2</v>
      </c>
      <c r="BB99" s="387">
        <f t="shared" si="153"/>
        <v>1.3940522415557481</v>
      </c>
      <c r="BC99">
        <f t="shared" si="131"/>
        <v>64.800000000000011</v>
      </c>
      <c r="BD99" s="606">
        <f t="shared" si="146"/>
        <v>0.97893991689059057</v>
      </c>
      <c r="BE99" s="616">
        <f t="shared" si="132"/>
        <v>17.613942969099249</v>
      </c>
      <c r="BF99" s="616">
        <f t="shared" si="133"/>
        <v>12.095994936887495</v>
      </c>
      <c r="BG99" s="9"/>
      <c r="BH99" s="4">
        <f t="shared" si="147"/>
        <v>97.89399168905905</v>
      </c>
      <c r="BI99" s="387">
        <f t="shared" si="148"/>
        <v>0.52978590995207087</v>
      </c>
      <c r="BJ99" s="387">
        <f t="shared" si="149"/>
        <v>0.65547511836296113</v>
      </c>
      <c r="BK99" s="387">
        <f t="shared" si="134"/>
        <v>0.352278859381985</v>
      </c>
      <c r="BL99" s="387">
        <f t="shared" si="135"/>
        <v>0.24191989873774988</v>
      </c>
      <c r="BM99" s="387">
        <f t="shared" si="150"/>
        <v>8.9237292731707996E-2</v>
      </c>
      <c r="BS99" s="18"/>
      <c r="BT99" s="19"/>
    </row>
    <row r="100" spans="7:72" x14ac:dyDescent="0.2">
      <c r="G100">
        <v>91</v>
      </c>
      <c r="H100" s="612">
        <f t="shared" si="97"/>
        <v>19</v>
      </c>
      <c r="I100" s="4" t="str">
        <f t="shared" si="98"/>
        <v>BUCK</v>
      </c>
      <c r="J100">
        <f t="shared" si="136"/>
        <v>1</v>
      </c>
      <c r="K100" s="387">
        <f t="shared" si="137"/>
        <v>5.46</v>
      </c>
      <c r="L100" s="4">
        <f t="shared" si="99"/>
        <v>3.5921052631578947</v>
      </c>
      <c r="M100" s="4">
        <f t="shared" si="151"/>
        <v>5.46</v>
      </c>
      <c r="N100" s="387">
        <f t="shared" si="100"/>
        <v>0.63577848399048931</v>
      </c>
      <c r="O100" s="387">
        <f t="shared" si="101"/>
        <v>0</v>
      </c>
      <c r="P100" s="4">
        <f t="shared" si="102"/>
        <v>4.1886726698510124</v>
      </c>
      <c r="Q100" s="4">
        <f t="shared" si="103"/>
        <v>5.5922876858458439</v>
      </c>
      <c r="R100" s="387">
        <f t="shared" si="138"/>
        <v>0.19050178155308781</v>
      </c>
      <c r="S100" s="387">
        <f t="shared" si="139"/>
        <v>0.34328923887402801</v>
      </c>
      <c r="T100" s="387">
        <f t="shared" si="140"/>
        <v>0.53379102042711579</v>
      </c>
      <c r="U100" s="4">
        <f t="shared" si="104"/>
        <v>1.2091656467428553</v>
      </c>
      <c r="V100" s="387">
        <f t="shared" si="141"/>
        <v>1.0234570928841473E-2</v>
      </c>
      <c r="W100" s="387">
        <f t="shared" si="142"/>
        <v>1.0234570928841473E-2</v>
      </c>
      <c r="X100" s="4">
        <f t="shared" si="105"/>
        <v>2.6910713767067422</v>
      </c>
      <c r="Y100" s="387">
        <f t="shared" si="143"/>
        <v>1.4483730309060642E-2</v>
      </c>
      <c r="Z100" s="605">
        <f t="shared" si="144"/>
        <v>1.4483730309060642E-2</v>
      </c>
      <c r="AA100" s="387">
        <f t="shared" si="106"/>
        <v>4.4590507792377903</v>
      </c>
      <c r="AB100" s="387">
        <f t="shared" si="107"/>
        <v>0.11333386295538053</v>
      </c>
      <c r="AC100" s="387">
        <f t="shared" si="108"/>
        <v>7.8881693199426103E-2</v>
      </c>
      <c r="AD100" s="387">
        <f t="shared" si="109"/>
        <v>0</v>
      </c>
      <c r="AE100" s="387">
        <f t="shared" si="110"/>
        <v>0.1966735098778977</v>
      </c>
      <c r="AF100" s="387">
        <f t="shared" si="111"/>
        <v>3.3749885495275262</v>
      </c>
      <c r="AG100" s="387">
        <f t="shared" si="112"/>
        <v>6.4926121943818915E-2</v>
      </c>
      <c r="AH100" s="387">
        <f t="shared" si="113"/>
        <v>9.7843200000000005E-2</v>
      </c>
      <c r="AI100" s="387">
        <f t="shared" si="114"/>
        <v>0.16491072470826948</v>
      </c>
      <c r="AJ100" s="387">
        <f t="shared" si="115"/>
        <v>0</v>
      </c>
      <c r="AK100" s="387">
        <f t="shared" si="116"/>
        <v>0</v>
      </c>
      <c r="AL100" s="387">
        <f t="shared" si="117"/>
        <v>0</v>
      </c>
      <c r="AM100" s="387">
        <f t="shared" si="118"/>
        <v>0</v>
      </c>
      <c r="AN100" s="387">
        <f t="shared" si="119"/>
        <v>0</v>
      </c>
      <c r="AO100" s="387">
        <f t="shared" si="145"/>
        <v>5.5922876858458439</v>
      </c>
      <c r="AP100" s="387">
        <f t="shared" si="120"/>
        <v>5.9419994966399825E-2</v>
      </c>
      <c r="AQ100" s="387">
        <f t="shared" si="121"/>
        <v>0</v>
      </c>
      <c r="AR100" s="387">
        <f t="shared" si="122"/>
        <v>6.0134634907097022E-2</v>
      </c>
      <c r="AS100" s="387">
        <f t="shared" si="123"/>
        <v>5.9419994966399825E-2</v>
      </c>
      <c r="AT100" s="387">
        <f t="shared" si="124"/>
        <v>0</v>
      </c>
      <c r="AU100" s="387">
        <f t="shared" si="125"/>
        <v>0.24359681376576001</v>
      </c>
      <c r="AV100" s="387">
        <f t="shared" si="126"/>
        <v>9.1124381675535326E-2</v>
      </c>
      <c r="AW100" s="387">
        <f t="shared" si="127"/>
        <v>0</v>
      </c>
      <c r="AX100" s="387">
        <f t="shared" si="128"/>
        <v>3.6000000000000004E-2</v>
      </c>
      <c r="AY100" s="387">
        <f t="shared" si="129"/>
        <v>5.9136000000000001E-2</v>
      </c>
      <c r="AZ100" s="387">
        <f t="shared" si="130"/>
        <v>7.3471999999999996E-2</v>
      </c>
      <c r="BA100" s="387">
        <f t="shared" si="152"/>
        <v>9.5135999999999998E-2</v>
      </c>
      <c r="BB100" s="387">
        <f t="shared" si="153"/>
        <v>1.4100853865995777</v>
      </c>
      <c r="BC100">
        <f t="shared" si="131"/>
        <v>65.52</v>
      </c>
      <c r="BD100" s="606">
        <f t="shared" si="146"/>
        <v>0.97893196492347678</v>
      </c>
      <c r="BE100" s="616">
        <f t="shared" si="132"/>
        <v>17.872370348164964</v>
      </c>
      <c r="BF100" s="616">
        <f t="shared" si="133"/>
        <v>12.264883662548515</v>
      </c>
      <c r="BG100" s="9"/>
      <c r="BH100" s="4">
        <f t="shared" si="147"/>
        <v>97.893196492347684</v>
      </c>
      <c r="BI100" s="387">
        <f t="shared" si="148"/>
        <v>0.53379102042711579</v>
      </c>
      <c r="BJ100" s="387">
        <f t="shared" si="149"/>
        <v>0.66531568325902424</v>
      </c>
      <c r="BK100" s="387">
        <f t="shared" si="134"/>
        <v>0.3574474069632993</v>
      </c>
      <c r="BL100" s="387">
        <f t="shared" si="135"/>
        <v>0.24529767325097029</v>
      </c>
      <c r="BM100" s="387">
        <f t="shared" si="150"/>
        <v>9.1124381675535326E-2</v>
      </c>
      <c r="BS100" s="18"/>
      <c r="BT100" s="19"/>
    </row>
    <row r="101" spans="7:72" x14ac:dyDescent="0.2">
      <c r="G101">
        <v>92</v>
      </c>
      <c r="H101" s="612">
        <f t="shared" si="97"/>
        <v>19</v>
      </c>
      <c r="I101" s="4" t="str">
        <f t="shared" si="98"/>
        <v>BUCK</v>
      </c>
      <c r="J101">
        <f t="shared" si="136"/>
        <v>1</v>
      </c>
      <c r="K101" s="387">
        <f t="shared" si="137"/>
        <v>5.52</v>
      </c>
      <c r="L101" s="4">
        <f t="shared" si="99"/>
        <v>3.6315789473684212</v>
      </c>
      <c r="M101" s="4">
        <f t="shared" si="151"/>
        <v>5.52</v>
      </c>
      <c r="N101" s="387">
        <f t="shared" si="100"/>
        <v>0.63582452573387316</v>
      </c>
      <c r="O101" s="387">
        <f t="shared" si="101"/>
        <v>0</v>
      </c>
      <c r="P101" s="4">
        <f t="shared" si="102"/>
        <v>4.1885520411921693</v>
      </c>
      <c r="Q101" s="4">
        <f t="shared" si="103"/>
        <v>5.6508758038155396</v>
      </c>
      <c r="R101" s="387">
        <f t="shared" si="138"/>
        <v>0.19457676940443824</v>
      </c>
      <c r="S101" s="387">
        <f t="shared" si="139"/>
        <v>0.34326646124129789</v>
      </c>
      <c r="T101" s="387">
        <f t="shared" si="140"/>
        <v>0.53784323064573614</v>
      </c>
      <c r="U101" s="4">
        <f t="shared" si="104"/>
        <v>1.2091308242485277</v>
      </c>
      <c r="V101" s="387">
        <f t="shared" si="141"/>
        <v>1.0233981451035467E-2</v>
      </c>
      <c r="W101" s="387">
        <f t="shared" si="142"/>
        <v>1.0233981451035467E-2</v>
      </c>
      <c r="X101" s="4">
        <f t="shared" si="105"/>
        <v>2.7191912095909512</v>
      </c>
      <c r="Y101" s="387">
        <f t="shared" si="143"/>
        <v>1.4788001668633401E-2</v>
      </c>
      <c r="Z101" s="605">
        <f t="shared" si="144"/>
        <v>1.4788001668633401E-2</v>
      </c>
      <c r="AA101" s="387">
        <f t="shared" si="106"/>
        <v>4.5059295823063401</v>
      </c>
      <c r="AB101" s="387">
        <f t="shared" si="107"/>
        <v>0.11572938798400932</v>
      </c>
      <c r="AC101" s="387">
        <f t="shared" si="108"/>
        <v>7.9748524992826378E-2</v>
      </c>
      <c r="AD101" s="387">
        <f t="shared" si="109"/>
        <v>0</v>
      </c>
      <c r="AE101" s="387">
        <f t="shared" si="110"/>
        <v>0.20010962588347647</v>
      </c>
      <c r="AF101" s="387">
        <f t="shared" si="111"/>
        <v>3.4101313683558483</v>
      </c>
      <c r="AG101" s="387">
        <f t="shared" si="112"/>
        <v>6.6285276911833821E-2</v>
      </c>
      <c r="AH101" s="387">
        <f t="shared" si="113"/>
        <v>9.8918400000000004E-2</v>
      </c>
      <c r="AI101" s="387">
        <f t="shared" si="114"/>
        <v>0.16742321575539706</v>
      </c>
      <c r="AJ101" s="387">
        <f t="shared" si="115"/>
        <v>0</v>
      </c>
      <c r="AK101" s="387">
        <f t="shared" si="116"/>
        <v>0</v>
      </c>
      <c r="AL101" s="387">
        <f t="shared" si="117"/>
        <v>0</v>
      </c>
      <c r="AM101" s="387">
        <f t="shared" si="118"/>
        <v>0</v>
      </c>
      <c r="AN101" s="387">
        <f t="shared" si="119"/>
        <v>0</v>
      </c>
      <c r="AO101" s="387">
        <f t="shared" si="145"/>
        <v>5.6508758038155396</v>
      </c>
      <c r="AP101" s="387">
        <f t="shared" si="120"/>
        <v>6.0671554965281045E-2</v>
      </c>
      <c r="AQ101" s="387">
        <f t="shared" si="121"/>
        <v>0</v>
      </c>
      <c r="AR101" s="387">
        <f t="shared" si="122"/>
        <v>6.1416805584442742E-2</v>
      </c>
      <c r="AS101" s="387">
        <f t="shared" si="123"/>
        <v>6.0671554965281045E-2</v>
      </c>
      <c r="AT101" s="387">
        <f t="shared" si="124"/>
        <v>0</v>
      </c>
      <c r="AU101" s="387">
        <f t="shared" si="125"/>
        <v>0.24626926162943996</v>
      </c>
      <c r="AV101" s="387">
        <f t="shared" si="126"/>
        <v>9.3031967595556236E-2</v>
      </c>
      <c r="AW101" s="387">
        <f t="shared" si="127"/>
        <v>0</v>
      </c>
      <c r="AX101" s="387">
        <f t="shared" si="128"/>
        <v>3.6000000000000004E-2</v>
      </c>
      <c r="AY101" s="387">
        <f t="shared" si="129"/>
        <v>5.9136000000000001E-2</v>
      </c>
      <c r="AZ101" s="387">
        <f t="shared" si="130"/>
        <v>7.3471999999999996E-2</v>
      </c>
      <c r="BA101" s="387">
        <f t="shared" si="152"/>
        <v>9.5135999999999998E-2</v>
      </c>
      <c r="BB101" s="387">
        <f t="shared" si="153"/>
        <v>1.4262520902137175</v>
      </c>
      <c r="BC101">
        <f t="shared" si="131"/>
        <v>66.239999999999995</v>
      </c>
      <c r="BD101" s="606">
        <f t="shared" si="146"/>
        <v>0.97892225376525621</v>
      </c>
      <c r="BE101" s="616">
        <f t="shared" si="132"/>
        <v>18.132366927945341</v>
      </c>
      <c r="BF101" s="616">
        <f t="shared" si="133"/>
        <v>12.434603604655612</v>
      </c>
      <c r="BG101" s="9"/>
      <c r="BH101" s="4">
        <f t="shared" si="147"/>
        <v>97.892225376525616</v>
      </c>
      <c r="BI101" s="387">
        <f t="shared" si="148"/>
        <v>0.53784323064573614</v>
      </c>
      <c r="BJ101" s="387">
        <f t="shared" si="149"/>
        <v>0.67521890885275626</v>
      </c>
      <c r="BK101" s="387">
        <f t="shared" si="134"/>
        <v>0.36264733855890685</v>
      </c>
      <c r="BL101" s="387">
        <f t="shared" si="135"/>
        <v>0.24869207209311225</v>
      </c>
      <c r="BM101" s="387">
        <f t="shared" si="150"/>
        <v>9.3031967595556236E-2</v>
      </c>
      <c r="BS101" s="18"/>
      <c r="BT101" s="19"/>
    </row>
    <row r="102" spans="7:72" x14ac:dyDescent="0.2">
      <c r="G102">
        <v>93</v>
      </c>
      <c r="H102" s="612">
        <f t="shared" si="97"/>
        <v>19</v>
      </c>
      <c r="I102" s="4" t="str">
        <f t="shared" si="98"/>
        <v>BUCK</v>
      </c>
      <c r="J102">
        <f t="shared" si="136"/>
        <v>1</v>
      </c>
      <c r="K102" s="387">
        <f t="shared" si="137"/>
        <v>5.58</v>
      </c>
      <c r="L102" s="4">
        <f t="shared" si="99"/>
        <v>3.6710526315789482</v>
      </c>
      <c r="M102" s="4">
        <f t="shared" si="151"/>
        <v>5.58</v>
      </c>
      <c r="N102" s="387">
        <f t="shared" si="100"/>
        <v>0.6358705651563904</v>
      </c>
      <c r="O102" s="387">
        <f t="shared" si="101"/>
        <v>0</v>
      </c>
      <c r="P102" s="4">
        <f t="shared" si="102"/>
        <v>4.1884313358453014</v>
      </c>
      <c r="Q102" s="4">
        <f t="shared" si="103"/>
        <v>5.7094932426550988</v>
      </c>
      <c r="R102" s="387">
        <f t="shared" si="138"/>
        <v>0.19869895894706591</v>
      </c>
      <c r="S102" s="387">
        <f t="shared" si="139"/>
        <v>0.34324366998420497</v>
      </c>
      <c r="T102" s="387">
        <f t="shared" si="140"/>
        <v>0.54194262893127088</v>
      </c>
      <c r="U102" s="4">
        <f t="shared" si="104"/>
        <v>1.2090959796162744</v>
      </c>
      <c r="V102" s="387">
        <f t="shared" si="141"/>
        <v>1.0233391615469668E-2</v>
      </c>
      <c r="W102" s="387">
        <f t="shared" si="142"/>
        <v>1.0233391615469668E-2</v>
      </c>
      <c r="X102" s="4">
        <f t="shared" si="105"/>
        <v>2.7473236052984888</v>
      </c>
      <c r="Y102" s="387">
        <f t="shared" si="143"/>
        <v>1.5095573984460573E-2</v>
      </c>
      <c r="Z102" s="605">
        <f t="shared" si="144"/>
        <v>1.5095573984460573E-2</v>
      </c>
      <c r="AA102" s="387">
        <f t="shared" si="106"/>
        <v>4.5528351349860392</v>
      </c>
      <c r="AB102" s="387">
        <f t="shared" si="107"/>
        <v>0.11815135426827109</v>
      </c>
      <c r="AC102" s="387">
        <f t="shared" si="108"/>
        <v>8.0615356786226666E-2</v>
      </c>
      <c r="AD102" s="387">
        <f t="shared" si="109"/>
        <v>0</v>
      </c>
      <c r="AE102" s="387">
        <f t="shared" si="110"/>
        <v>0.2035772977397429</v>
      </c>
      <c r="AF102" s="387">
        <f t="shared" si="111"/>
        <v>3.4452874076861706</v>
      </c>
      <c r="AG102" s="387">
        <f t="shared" si="112"/>
        <v>6.7659030332897094E-2</v>
      </c>
      <c r="AH102" s="387">
        <f t="shared" si="113"/>
        <v>9.9993600000000016E-2</v>
      </c>
      <c r="AI102" s="387">
        <f t="shared" si="114"/>
        <v>0.16995239315765762</v>
      </c>
      <c r="AJ102" s="387">
        <f t="shared" si="115"/>
        <v>0</v>
      </c>
      <c r="AK102" s="387">
        <f t="shared" si="116"/>
        <v>0</v>
      </c>
      <c r="AL102" s="387">
        <f t="shared" si="117"/>
        <v>0</v>
      </c>
      <c r="AM102" s="387">
        <f t="shared" si="118"/>
        <v>0</v>
      </c>
      <c r="AN102" s="387">
        <f t="shared" si="119"/>
        <v>0</v>
      </c>
      <c r="AO102" s="387">
        <f t="shared" si="145"/>
        <v>5.7094932426550988</v>
      </c>
      <c r="AP102" s="387">
        <f t="shared" si="120"/>
        <v>6.1936794867056041E-2</v>
      </c>
      <c r="AQ102" s="387">
        <f t="shared" si="121"/>
        <v>0</v>
      </c>
      <c r="AR102" s="387">
        <f t="shared" si="122"/>
        <v>6.2713651379223856E-2</v>
      </c>
      <c r="AS102" s="387">
        <f t="shared" si="123"/>
        <v>6.1936794867056041E-2</v>
      </c>
      <c r="AT102" s="387">
        <f t="shared" si="124"/>
        <v>0</v>
      </c>
      <c r="AU102" s="387">
        <f t="shared" si="125"/>
        <v>0.24894161296703998</v>
      </c>
      <c r="AV102" s="387">
        <f t="shared" si="126"/>
        <v>9.4960042572487149E-2</v>
      </c>
      <c r="AW102" s="387">
        <f t="shared" si="127"/>
        <v>0</v>
      </c>
      <c r="AX102" s="387">
        <f t="shared" si="128"/>
        <v>3.6000000000000004E-2</v>
      </c>
      <c r="AY102" s="387">
        <f t="shared" si="129"/>
        <v>5.9136000000000001E-2</v>
      </c>
      <c r="AZ102" s="387">
        <f t="shared" si="130"/>
        <v>7.3471999999999996E-2</v>
      </c>
      <c r="BA102" s="387">
        <f t="shared" si="152"/>
        <v>9.5135999999999998E-2</v>
      </c>
      <c r="BB102" s="387">
        <f t="shared" si="153"/>
        <v>1.442552592347353</v>
      </c>
      <c r="BC102">
        <f t="shared" si="131"/>
        <v>66.960000000000008</v>
      </c>
      <c r="BD102" s="606">
        <f t="shared" si="146"/>
        <v>0.97891083683756064</v>
      </c>
      <c r="BE102" s="616">
        <f t="shared" si="132"/>
        <v>18.393938114899466</v>
      </c>
      <c r="BF102" s="616">
        <f t="shared" si="133"/>
        <v>12.605156271839041</v>
      </c>
      <c r="BG102" s="9"/>
      <c r="BH102" s="4">
        <f t="shared" si="147"/>
        <v>97.891083683756065</v>
      </c>
      <c r="BI102" s="387">
        <f t="shared" si="148"/>
        <v>0.54194262893127088</v>
      </c>
      <c r="BJ102" s="387">
        <f t="shared" si="149"/>
        <v>0.68518495524366441</v>
      </c>
      <c r="BK102" s="387">
        <f t="shared" si="134"/>
        <v>0.36787876229798933</v>
      </c>
      <c r="BL102" s="387">
        <f t="shared" si="135"/>
        <v>0.25210312543678082</v>
      </c>
      <c r="BM102" s="387">
        <f t="shared" si="150"/>
        <v>9.4960042572487149E-2</v>
      </c>
      <c r="BS102" s="18"/>
      <c r="BT102" s="19"/>
    </row>
    <row r="103" spans="7:72" x14ac:dyDescent="0.2">
      <c r="G103">
        <v>94</v>
      </c>
      <c r="H103" s="612">
        <f t="shared" si="97"/>
        <v>19</v>
      </c>
      <c r="I103" s="4" t="str">
        <f t="shared" si="98"/>
        <v>BUCK</v>
      </c>
      <c r="J103">
        <f t="shared" si="136"/>
        <v>1</v>
      </c>
      <c r="K103" s="387">
        <f t="shared" si="137"/>
        <v>5.64</v>
      </c>
      <c r="L103" s="4">
        <f t="shared" si="99"/>
        <v>3.7105263157894735</v>
      </c>
      <c r="M103" s="4">
        <f t="shared" si="151"/>
        <v>5.64</v>
      </c>
      <c r="N103" s="387">
        <f t="shared" si="100"/>
        <v>0.63591660225821622</v>
      </c>
      <c r="O103" s="387">
        <f t="shared" si="101"/>
        <v>0</v>
      </c>
      <c r="P103" s="4">
        <f t="shared" si="102"/>
        <v>4.1883105538162022</v>
      </c>
      <c r="Q103" s="4">
        <f t="shared" si="103"/>
        <v>5.768139108464764</v>
      </c>
      <c r="R103" s="387">
        <f t="shared" si="138"/>
        <v>0.2028684396103774</v>
      </c>
      <c r="S103" s="387">
        <f t="shared" si="139"/>
        <v>0.3432208651054684</v>
      </c>
      <c r="T103" s="387">
        <f t="shared" si="140"/>
        <v>0.54608930471584582</v>
      </c>
      <c r="U103" s="4">
        <f t="shared" si="104"/>
        <v>1.2090611128477675</v>
      </c>
      <c r="V103" s="387">
        <f t="shared" si="141"/>
        <v>1.0232801422204774E-2</v>
      </c>
      <c r="W103" s="387">
        <f t="shared" si="142"/>
        <v>1.0232801422204774E-2</v>
      </c>
      <c r="X103" s="4">
        <f t="shared" si="105"/>
        <v>2.775468131846818</v>
      </c>
      <c r="Y103" s="387">
        <f t="shared" si="143"/>
        <v>1.5406446701794531E-2</v>
      </c>
      <c r="Z103" s="605">
        <f t="shared" si="144"/>
        <v>1.5406446701794531E-2</v>
      </c>
      <c r="AA103" s="387">
        <f t="shared" si="106"/>
        <v>4.5997667265438924</v>
      </c>
      <c r="AB103" s="387">
        <f t="shared" si="107"/>
        <v>0.12059976745013581</v>
      </c>
      <c r="AC103" s="387">
        <f t="shared" si="108"/>
        <v>8.1482188579626955E-2</v>
      </c>
      <c r="AD103" s="387">
        <f t="shared" si="109"/>
        <v>0</v>
      </c>
      <c r="AE103" s="387">
        <f t="shared" si="110"/>
        <v>0.20707663483075184</v>
      </c>
      <c r="AF103" s="387">
        <f t="shared" si="111"/>
        <v>3.480456124702676</v>
      </c>
      <c r="AG103" s="387">
        <f t="shared" si="112"/>
        <v>6.9047376565088109E-2</v>
      </c>
      <c r="AH103" s="387">
        <f t="shared" si="113"/>
        <v>0.1010688</v>
      </c>
      <c r="AI103" s="387">
        <f t="shared" si="114"/>
        <v>0.17249828740656689</v>
      </c>
      <c r="AJ103" s="387">
        <f t="shared" si="115"/>
        <v>0</v>
      </c>
      <c r="AK103" s="387">
        <f t="shared" si="116"/>
        <v>0</v>
      </c>
      <c r="AL103" s="387">
        <f t="shared" si="117"/>
        <v>0</v>
      </c>
      <c r="AM103" s="387">
        <f t="shared" si="118"/>
        <v>0</v>
      </c>
      <c r="AN103" s="387">
        <f t="shared" si="119"/>
        <v>0</v>
      </c>
      <c r="AO103" s="387">
        <f t="shared" si="145"/>
        <v>5.768139108464764</v>
      </c>
      <c r="AP103" s="387">
        <f t="shared" si="120"/>
        <v>6.3215714671741294E-2</v>
      </c>
      <c r="AQ103" s="387">
        <f t="shared" si="121"/>
        <v>0</v>
      </c>
      <c r="AR103" s="387">
        <f t="shared" si="122"/>
        <v>6.4025194355375736E-2</v>
      </c>
      <c r="AS103" s="387">
        <f t="shared" si="123"/>
        <v>6.3215714671741294E-2</v>
      </c>
      <c r="AT103" s="387">
        <f t="shared" si="124"/>
        <v>0</v>
      </c>
      <c r="AU103" s="387">
        <f t="shared" si="125"/>
        <v>0.25161386777855999</v>
      </c>
      <c r="AV103" s="387">
        <f t="shared" si="126"/>
        <v>9.6908598687842962E-2</v>
      </c>
      <c r="AW103" s="387">
        <f t="shared" si="127"/>
        <v>0</v>
      </c>
      <c r="AX103" s="387">
        <f t="shared" si="128"/>
        <v>3.6000000000000004E-2</v>
      </c>
      <c r="AY103" s="387">
        <f t="shared" si="129"/>
        <v>5.9136000000000001E-2</v>
      </c>
      <c r="AZ103" s="387">
        <f t="shared" si="130"/>
        <v>7.3471999999999996E-2</v>
      </c>
      <c r="BA103" s="387">
        <f t="shared" si="152"/>
        <v>9.5135999999999998E-2</v>
      </c>
      <c r="BB103" s="387">
        <f t="shared" si="153"/>
        <v>1.4589871358989424</v>
      </c>
      <c r="BC103">
        <f t="shared" si="131"/>
        <v>67.679999999999993</v>
      </c>
      <c r="BD103" s="606">
        <f t="shared" si="146"/>
        <v>0.97889776526475336</v>
      </c>
      <c r="BE103" s="616">
        <f t="shared" si="132"/>
        <v>18.657089378230072</v>
      </c>
      <c r="BF103" s="616">
        <f t="shared" si="133"/>
        <v>12.776543188674584</v>
      </c>
      <c r="BG103" s="9"/>
      <c r="BH103" s="4">
        <f t="shared" si="147"/>
        <v>97.88977652647533</v>
      </c>
      <c r="BI103" s="387">
        <f t="shared" si="148"/>
        <v>0.54608930471584582</v>
      </c>
      <c r="BJ103" s="387">
        <f t="shared" si="149"/>
        <v>0.69521398437125437</v>
      </c>
      <c r="BK103" s="387">
        <f t="shared" si="134"/>
        <v>0.37314178756460142</v>
      </c>
      <c r="BL103" s="387">
        <f t="shared" si="135"/>
        <v>0.25553086377349166</v>
      </c>
      <c r="BM103" s="387">
        <f t="shared" si="150"/>
        <v>9.6908598687842962E-2</v>
      </c>
      <c r="BS103" s="18"/>
      <c r="BT103" s="19"/>
    </row>
    <row r="104" spans="7:72" x14ac:dyDescent="0.2">
      <c r="G104">
        <v>95</v>
      </c>
      <c r="H104" s="612">
        <f t="shared" si="97"/>
        <v>19</v>
      </c>
      <c r="I104" s="4" t="str">
        <f t="shared" si="98"/>
        <v>BUCK</v>
      </c>
      <c r="J104">
        <f t="shared" si="136"/>
        <v>1</v>
      </c>
      <c r="K104" s="387">
        <f t="shared" si="137"/>
        <v>5.7</v>
      </c>
      <c r="L104" s="4">
        <f t="shared" si="99"/>
        <v>3.7500000000000004</v>
      </c>
      <c r="M104" s="4">
        <f t="shared" si="151"/>
        <v>5.7</v>
      </c>
      <c r="N104" s="387">
        <f t="shared" si="100"/>
        <v>0.63596263703952616</v>
      </c>
      <c r="O104" s="387">
        <f t="shared" si="101"/>
        <v>0</v>
      </c>
      <c r="P104" s="4">
        <f t="shared" si="102"/>
        <v>4.1881896951106734</v>
      </c>
      <c r="Q104" s="4">
        <f t="shared" si="103"/>
        <v>5.8268125429076516</v>
      </c>
      <c r="R104" s="387">
        <f t="shared" si="138"/>
        <v>0.2070853019375101</v>
      </c>
      <c r="S104" s="387">
        <f t="shared" si="139"/>
        <v>0.34319804660780867</v>
      </c>
      <c r="T104" s="387">
        <f t="shared" si="140"/>
        <v>0.5502833485453188</v>
      </c>
      <c r="U104" s="4">
        <f t="shared" si="104"/>
        <v>1.2090262239446821</v>
      </c>
      <c r="V104" s="387">
        <f t="shared" si="141"/>
        <v>1.0232210871301555E-2</v>
      </c>
      <c r="W104" s="387">
        <f t="shared" si="142"/>
        <v>1.0232210871301555E-2</v>
      </c>
      <c r="X104" s="4">
        <f t="shared" si="105"/>
        <v>2.8036243744106524</v>
      </c>
      <c r="Y104" s="387">
        <f t="shared" si="143"/>
        <v>1.5720619265579043E-2</v>
      </c>
      <c r="Z104" s="605">
        <f t="shared" si="144"/>
        <v>1.5720619265579043E-2</v>
      </c>
      <c r="AA104" s="387">
        <f t="shared" si="106"/>
        <v>4.6467236745037717</v>
      </c>
      <c r="AB104" s="387">
        <f t="shared" si="107"/>
        <v>0.12307463317100485</v>
      </c>
      <c r="AC104" s="387">
        <f t="shared" si="108"/>
        <v>8.2349020373027243E-2</v>
      </c>
      <c r="AD104" s="387">
        <f t="shared" si="109"/>
        <v>0</v>
      </c>
      <c r="AE104" s="387">
        <f t="shared" si="110"/>
        <v>0.21060774780484257</v>
      </c>
      <c r="AF104" s="387">
        <f t="shared" si="111"/>
        <v>3.5156369981828464</v>
      </c>
      <c r="AG104" s="387">
        <f t="shared" si="112"/>
        <v>7.0450309967054953E-2</v>
      </c>
      <c r="AH104" s="387">
        <f t="shared" si="113"/>
        <v>0.10214400000000001</v>
      </c>
      <c r="AI104" s="387">
        <f t="shared" si="114"/>
        <v>0.17506092931370928</v>
      </c>
      <c r="AJ104" s="387">
        <f t="shared" si="115"/>
        <v>0</v>
      </c>
      <c r="AK104" s="387">
        <f t="shared" si="116"/>
        <v>0</v>
      </c>
      <c r="AL104" s="387">
        <f t="shared" si="117"/>
        <v>0</v>
      </c>
      <c r="AM104" s="387">
        <f t="shared" si="118"/>
        <v>0</v>
      </c>
      <c r="AN104" s="387">
        <f t="shared" si="119"/>
        <v>0</v>
      </c>
      <c r="AO104" s="387">
        <f t="shared" si="145"/>
        <v>5.8268125429076516</v>
      </c>
      <c r="AP104" s="387">
        <f t="shared" si="120"/>
        <v>6.4508314379353268E-2</v>
      </c>
      <c r="AQ104" s="387">
        <f t="shared" si="121"/>
        <v>0</v>
      </c>
      <c r="AR104" s="387">
        <f t="shared" si="122"/>
        <v>6.5351456844001593E-2</v>
      </c>
      <c r="AS104" s="387">
        <f t="shared" si="123"/>
        <v>6.4508314379353268E-2</v>
      </c>
      <c r="AT104" s="387">
        <f t="shared" si="124"/>
        <v>0</v>
      </c>
      <c r="AU104" s="387">
        <f t="shared" si="125"/>
        <v>0.25428602606399997</v>
      </c>
      <c r="AV104" s="387">
        <f t="shared" si="126"/>
        <v>9.8877628023936764E-2</v>
      </c>
      <c r="AW104" s="387">
        <f t="shared" si="127"/>
        <v>0</v>
      </c>
      <c r="AX104" s="387">
        <f t="shared" si="128"/>
        <v>3.6000000000000004E-2</v>
      </c>
      <c r="AY104" s="387">
        <f t="shared" si="129"/>
        <v>5.9136000000000001E-2</v>
      </c>
      <c r="AZ104" s="387">
        <f t="shared" si="130"/>
        <v>7.3471999999999996E-2</v>
      </c>
      <c r="BA104" s="387">
        <f t="shared" si="152"/>
        <v>9.5135999999999998E-2</v>
      </c>
      <c r="BB104" s="387">
        <f t="shared" si="153"/>
        <v>1.4755559667326898</v>
      </c>
      <c r="BC104">
        <f t="shared" si="131"/>
        <v>68.400000000000006</v>
      </c>
      <c r="BD104" s="606">
        <f t="shared" si="146"/>
        <v>0.97888308799381596</v>
      </c>
      <c r="BE104" s="616">
        <f t="shared" si="132"/>
        <v>18.92182625035413</v>
      </c>
      <c r="BF104" s="616">
        <f t="shared" si="133"/>
        <v>12.948765895741465</v>
      </c>
      <c r="BG104" s="9"/>
      <c r="BH104" s="4">
        <f t="shared" si="147"/>
        <v>97.888308799381591</v>
      </c>
      <c r="BI104" s="387">
        <f t="shared" si="148"/>
        <v>0.5502833485453188</v>
      </c>
      <c r="BJ104" s="387">
        <f t="shared" si="149"/>
        <v>0.70530616002655344</v>
      </c>
      <c r="BK104" s="387">
        <f t="shared" si="134"/>
        <v>0.37843652500708258</v>
      </c>
      <c r="BL104" s="387">
        <f t="shared" si="135"/>
        <v>0.25897531791482931</v>
      </c>
      <c r="BM104" s="387">
        <f t="shared" si="150"/>
        <v>9.8877628023936764E-2</v>
      </c>
      <c r="BS104" s="18"/>
      <c r="BT104" s="19"/>
    </row>
    <row r="105" spans="7:72" x14ac:dyDescent="0.2">
      <c r="G105">
        <v>96</v>
      </c>
      <c r="H105" s="612">
        <f t="shared" si="97"/>
        <v>19</v>
      </c>
      <c r="I105" s="4" t="str">
        <f t="shared" ref="I105:I109" si="154">IF(H105&gt;VIN_BB_to_buck, "BUCK", IF(H105&lt;VIN_boost_to_BB,"BOOST","BUCK-BST"))</f>
        <v>BUCK</v>
      </c>
      <c r="J105">
        <f t="shared" si="136"/>
        <v>1</v>
      </c>
      <c r="K105" s="387">
        <f t="shared" si="137"/>
        <v>5.76</v>
      </c>
      <c r="L105" s="4">
        <f t="shared" ref="L105:L109" si="155">Vout*K105/(Vin*Efficiency)</f>
        <v>3.789473684210527</v>
      </c>
      <c r="M105" s="4">
        <f t="shared" si="151"/>
        <v>5.76</v>
      </c>
      <c r="N105" s="387">
        <f t="shared" si="100"/>
        <v>0.63600866950049562</v>
      </c>
      <c r="O105" s="387">
        <f t="shared" si="101"/>
        <v>0</v>
      </c>
      <c r="P105" s="4">
        <f t="shared" ref="P105:P109" si="156">MAX(0, CHOOSE(J105, (Vin-(Rdson1+Rdcr)*K105-Vout)*N105/(Fsw*Lf), (Vin-(Rdson4+Rdcr+Rs)*L105)*O105/(Fsw*Lf), IF(Vin&lt;Vout, (Vin-(Rdson4+Rdcr+Rs)*L105)*O105/(0.5*Fsw*Lf),(Vin-(Rdson1+Rdcr)*K105-Vout)*N105/(0.5*Fsw*Lf))))</f>
        <v>4.1880687597345085</v>
      </c>
      <c r="Q105" s="4">
        <f t="shared" ref="Q105:Q109" si="157">CHOOSE(J105, SQRT(K105^2+(P105^2)/12), SQRT(L105^2+(P105^2)/12), SQRT(M105^2+(P105^2)/12))</f>
        <v>5.8855127214787908</v>
      </c>
      <c r="R105" s="387">
        <f t="shared" si="138"/>
        <v>0.21134963759034417</v>
      </c>
      <c r="S105" s="387">
        <f t="shared" si="139"/>
        <v>0.34317521449394733</v>
      </c>
      <c r="T105" s="387">
        <f t="shared" si="140"/>
        <v>0.55452485208429148</v>
      </c>
      <c r="U105" s="4">
        <f t="shared" si="104"/>
        <v>1.2089913129086904</v>
      </c>
      <c r="V105" s="387">
        <f t="shared" si="141"/>
        <v>1.0231619962820753E-2</v>
      </c>
      <c r="W105" s="387">
        <f t="shared" si="142"/>
        <v>1.0231619962820753E-2</v>
      </c>
      <c r="X105" s="4">
        <f t="shared" si="105"/>
        <v>2.8317919344868354</v>
      </c>
      <c r="Y105" s="387">
        <f t="shared" si="143"/>
        <v>1.6038091120449387E-2</v>
      </c>
      <c r="Z105" s="605">
        <f t="shared" si="144"/>
        <v>1.6038091120449387E-2</v>
      </c>
      <c r="AA105" s="387">
        <f t="shared" si="106"/>
        <v>4.693705323271125</v>
      </c>
      <c r="AB105" s="387">
        <f t="shared" ref="AB105:AB109" si="158">Rdson1*AA105^2</f>
        <v>0.12557595707171107</v>
      </c>
      <c r="AC105" s="387">
        <f t="shared" si="108"/>
        <v>8.3215852166427531E-2</v>
      </c>
      <c r="AD105" s="387">
        <f t="shared" si="109"/>
        <v>0</v>
      </c>
      <c r="AE105" s="387">
        <f t="shared" ref="AE105:AE109" si="159">(AD105+AC105+AB105*(1+RdsonTopTc*Ta-RdsonTopTc*25))/(1-AB105*RdsonTopTc*ThetaJA_Q1)</f>
        <v>0.21417074858418336</v>
      </c>
      <c r="AF105" s="387">
        <f t="shared" si="111"/>
        <v>3.5508295274463664</v>
      </c>
      <c r="AG105" s="387">
        <f t="shared" ref="AG105:AG109" si="160">Rdson2*AF105^2</f>
        <v>7.1867824898014424E-2</v>
      </c>
      <c r="AH105" s="387">
        <f t="shared" si="113"/>
        <v>0.10321920000000001</v>
      </c>
      <c r="AI105" s="387">
        <f t="shared" ref="AI105:AI109" si="161">(AH105+AG105*(1+RdsonBotTc*Ta-RdsonBotTc*25))/(1-AG105*RdsonBotTc*ThetaJA_Q2)</f>
        <v>0.17764035001191</v>
      </c>
      <c r="AJ105" s="387">
        <f t="shared" si="115"/>
        <v>0</v>
      </c>
      <c r="AK105" s="387">
        <f t="shared" ref="AK105:AK109" si="162">Rdson4*AJ105^2</f>
        <v>0</v>
      </c>
      <c r="AL105" s="387">
        <f t="shared" si="117"/>
        <v>0</v>
      </c>
      <c r="AM105" s="387">
        <f t="shared" si="118"/>
        <v>0</v>
      </c>
      <c r="AN105" s="387">
        <f t="shared" ref="AN105:AN109" si="163">(AM105+AL105+AK105*(1+RdsonTopTc*Ta-RdsonTopTc*25))/(1-AK105*RdsonTopTc*ThetaJA_Q4)</f>
        <v>0</v>
      </c>
      <c r="AO105" s="387">
        <f t="shared" si="145"/>
        <v>5.8855127214787908</v>
      </c>
      <c r="AP105" s="387">
        <f t="shared" ref="AP105:AP109" si="164">Rdson3*AO105^2</f>
        <v>6.5814593989908493E-2</v>
      </c>
      <c r="AQ105" s="387">
        <f t="shared" si="121"/>
        <v>0</v>
      </c>
      <c r="AR105" s="387">
        <f t="shared" ref="AR105:AR109" si="165">(AQ105+AP105*(1+RdsonBotTc*Ta-RdsonBotTc*25))/(1-AP105*RdsonBotTc*ThetaJA_Q3)</f>
        <v>6.6692461444337839E-2</v>
      </c>
      <c r="AS105" s="387">
        <f t="shared" si="123"/>
        <v>6.5814593989908493E-2</v>
      </c>
      <c r="AT105" s="387">
        <f t="shared" si="124"/>
        <v>0</v>
      </c>
      <c r="AU105" s="387">
        <f t="shared" si="125"/>
        <v>0.25695808782335999</v>
      </c>
      <c r="AV105" s="387">
        <f t="shared" si="126"/>
        <v>0.10086712266387989</v>
      </c>
      <c r="AW105" s="387">
        <f t="shared" si="127"/>
        <v>0</v>
      </c>
      <c r="AX105" s="387">
        <f t="shared" si="128"/>
        <v>3.6000000000000004E-2</v>
      </c>
      <c r="AY105" s="387">
        <f t="shared" si="129"/>
        <v>5.9136000000000001E-2</v>
      </c>
      <c r="AZ105" s="387">
        <f t="shared" si="130"/>
        <v>7.3471999999999996E-2</v>
      </c>
      <c r="BA105" s="387">
        <f t="shared" si="152"/>
        <v>9.5135999999999998E-2</v>
      </c>
      <c r="BB105" s="387">
        <f t="shared" si="153"/>
        <v>1.492259333695233</v>
      </c>
      <c r="BC105">
        <f t="shared" si="131"/>
        <v>69.12</v>
      </c>
      <c r="BD105" s="606">
        <f t="shared" si="146"/>
        <v>0.97886685190678857</v>
      </c>
      <c r="BE105" s="616">
        <f t="shared" si="132"/>
        <v>19.188154327380047</v>
      </c>
      <c r="BF105" s="616">
        <f t="shared" si="133"/>
        <v>13.12182594968094</v>
      </c>
      <c r="BG105" s="9"/>
      <c r="BH105" s="4">
        <f t="shared" si="147"/>
        <v>97.886685190678861</v>
      </c>
      <c r="BI105" s="387">
        <f t="shared" si="148"/>
        <v>0.55452485208429148</v>
      </c>
      <c r="BJ105" s="387">
        <f t="shared" si="149"/>
        <v>0.71546164786379118</v>
      </c>
      <c r="BK105" s="387">
        <f t="shared" si="134"/>
        <v>0.38376308654760094</v>
      </c>
      <c r="BL105" s="387">
        <f t="shared" si="135"/>
        <v>0.26243651899361881</v>
      </c>
      <c r="BM105" s="387">
        <f t="shared" si="150"/>
        <v>0.10086712266387989</v>
      </c>
      <c r="BS105" s="18"/>
      <c r="BT105" s="19"/>
    </row>
    <row r="106" spans="7:72" x14ac:dyDescent="0.2">
      <c r="G106">
        <v>97</v>
      </c>
      <c r="H106" s="612">
        <f t="shared" si="97"/>
        <v>19</v>
      </c>
      <c r="I106" s="4" t="str">
        <f t="shared" si="154"/>
        <v>BUCK</v>
      </c>
      <c r="J106">
        <f t="shared" si="136"/>
        <v>1</v>
      </c>
      <c r="K106" s="387">
        <f t="shared" si="137"/>
        <v>5.82</v>
      </c>
      <c r="L106" s="4">
        <f t="shared" si="155"/>
        <v>3.8289473684210531</v>
      </c>
      <c r="M106" s="4">
        <f t="shared" si="151"/>
        <v>5.82</v>
      </c>
      <c r="N106" s="387">
        <f t="shared" si="100"/>
        <v>0.63605469964130001</v>
      </c>
      <c r="O106" s="387">
        <f t="shared" si="101"/>
        <v>0</v>
      </c>
      <c r="P106" s="4">
        <f t="shared" si="156"/>
        <v>4.1879477476935101</v>
      </c>
      <c r="Q106" s="4">
        <f t="shared" si="157"/>
        <v>5.9442388518730978</v>
      </c>
      <c r="R106" s="387">
        <f t="shared" si="138"/>
        <v>0.2156615393545829</v>
      </c>
      <c r="S106" s="387">
        <f t="shared" si="139"/>
        <v>0.3431523687666066</v>
      </c>
      <c r="T106" s="387">
        <f t="shared" si="140"/>
        <v>0.55881390812118947</v>
      </c>
      <c r="U106" s="4">
        <f t="shared" si="104"/>
        <v>1.2089563797414675</v>
      </c>
      <c r="V106" s="387">
        <f t="shared" si="141"/>
        <v>1.0231028696823168E-2</v>
      </c>
      <c r="W106" s="387">
        <f t="shared" si="142"/>
        <v>1.0231028696823168E-2</v>
      </c>
      <c r="X106" s="4">
        <f t="shared" si="105"/>
        <v>2.8599704291069514</v>
      </c>
      <c r="Y106" s="387">
        <f t="shared" si="143"/>
        <v>1.6358861710732399E-2</v>
      </c>
      <c r="Z106" s="605">
        <f t="shared" si="144"/>
        <v>1.6358861710732399E-2</v>
      </c>
      <c r="AA106" s="387">
        <f t="shared" si="106"/>
        <v>4.740711042836284</v>
      </c>
      <c r="AB106" s="387">
        <f t="shared" si="158"/>
        <v>0.12810374479251835</v>
      </c>
      <c r="AC106" s="387">
        <f t="shared" si="108"/>
        <v>8.4082683959827834E-2</v>
      </c>
      <c r="AD106" s="387">
        <f t="shared" si="109"/>
        <v>0</v>
      </c>
      <c r="AE106" s="387">
        <f t="shared" si="159"/>
        <v>0.21776575037445012</v>
      </c>
      <c r="AF106" s="387">
        <f t="shared" si="111"/>
        <v>3.5860332313641092</v>
      </c>
      <c r="AG106" s="387">
        <f t="shared" si="160"/>
        <v>7.3299915717751976E-2</v>
      </c>
      <c r="AH106" s="387">
        <f t="shared" si="113"/>
        <v>0.10429440000000001</v>
      </c>
      <c r="AI106" s="387">
        <f t="shared" si="161"/>
        <v>0.18023658095642431</v>
      </c>
      <c r="AJ106" s="387">
        <f t="shared" si="115"/>
        <v>0</v>
      </c>
      <c r="AK106" s="387">
        <f t="shared" si="162"/>
        <v>0</v>
      </c>
      <c r="AL106" s="387">
        <f t="shared" si="117"/>
        <v>0</v>
      </c>
      <c r="AM106" s="387">
        <f t="shared" si="118"/>
        <v>0</v>
      </c>
      <c r="AN106" s="387">
        <f t="shared" si="163"/>
        <v>0</v>
      </c>
      <c r="AO106" s="387">
        <f t="shared" si="145"/>
        <v>5.9442388518730978</v>
      </c>
      <c r="AP106" s="387">
        <f t="shared" si="164"/>
        <v>6.7134553503423455E-2</v>
      </c>
      <c r="AQ106" s="387">
        <f t="shared" si="121"/>
        <v>0</v>
      </c>
      <c r="AR106" s="387">
        <f t="shared" si="165"/>
        <v>6.8048231024732092E-2</v>
      </c>
      <c r="AS106" s="387">
        <f t="shared" si="123"/>
        <v>6.7134553503423455E-2</v>
      </c>
      <c r="AT106" s="387">
        <f t="shared" si="124"/>
        <v>0</v>
      </c>
      <c r="AU106" s="387">
        <f t="shared" si="125"/>
        <v>0.25963005305664</v>
      </c>
      <c r="AV106" s="387">
        <f t="shared" si="126"/>
        <v>0.10287707469158172</v>
      </c>
      <c r="AW106" s="387">
        <f t="shared" si="127"/>
        <v>0</v>
      </c>
      <c r="AX106" s="387">
        <f t="shared" si="128"/>
        <v>3.6000000000000004E-2</v>
      </c>
      <c r="AY106" s="387">
        <f t="shared" si="129"/>
        <v>5.9136000000000001E-2</v>
      </c>
      <c r="AZ106" s="387">
        <f t="shared" si="130"/>
        <v>7.3471999999999996E-2</v>
      </c>
      <c r="BA106" s="387">
        <f t="shared" si="152"/>
        <v>9.5135999999999998E-2</v>
      </c>
      <c r="BB106" s="387">
        <f t="shared" si="153"/>
        <v>1.5090974886325732</v>
      </c>
      <c r="BC106">
        <f t="shared" si="131"/>
        <v>69.84</v>
      </c>
      <c r="BD106" s="606">
        <f t="shared" si="146"/>
        <v>0.9788491019262997</v>
      </c>
      <c r="BE106" s="616">
        <f t="shared" si="132"/>
        <v>19.456079269591626</v>
      </c>
      <c r="BF106" s="616">
        <f t="shared" si="133"/>
        <v>13.295724923255776</v>
      </c>
      <c r="BG106" s="9"/>
      <c r="BH106" s="4">
        <f t="shared" si="147"/>
        <v>97.884910192629974</v>
      </c>
      <c r="BI106" s="387">
        <f t="shared" si="148"/>
        <v>0.55881390812118947</v>
      </c>
      <c r="BJ106" s="387">
        <f t="shared" si="149"/>
        <v>0.72568061541224649</v>
      </c>
      <c r="BK106" s="387">
        <f t="shared" si="134"/>
        <v>0.3891215853918325</v>
      </c>
      <c r="BL106" s="387">
        <f t="shared" si="135"/>
        <v>0.2659144984651155</v>
      </c>
      <c r="BM106" s="387">
        <f t="shared" si="150"/>
        <v>0.10287707469158172</v>
      </c>
      <c r="BS106" s="18"/>
      <c r="BT106" s="19"/>
    </row>
    <row r="107" spans="7:72" x14ac:dyDescent="0.2">
      <c r="G107">
        <v>98</v>
      </c>
      <c r="H107" s="612">
        <f t="shared" si="97"/>
        <v>19</v>
      </c>
      <c r="I107" s="4" t="str">
        <f t="shared" si="154"/>
        <v>BUCK</v>
      </c>
      <c r="J107">
        <f t="shared" si="136"/>
        <v>1</v>
      </c>
      <c r="K107" s="387">
        <f t="shared" si="137"/>
        <v>5.88</v>
      </c>
      <c r="L107" s="4">
        <f t="shared" si="155"/>
        <v>3.8684210526315792</v>
      </c>
      <c r="M107" s="4">
        <f t="shared" si="151"/>
        <v>5.88</v>
      </c>
      <c r="N107" s="387">
        <f t="shared" si="100"/>
        <v>0.63610072746211488</v>
      </c>
      <c r="O107" s="387">
        <f t="shared" si="101"/>
        <v>0</v>
      </c>
      <c r="P107" s="4">
        <f t="shared" si="156"/>
        <v>4.1878266589934663</v>
      </c>
      <c r="Q107" s="4">
        <f t="shared" si="157"/>
        <v>6.0029901724458421</v>
      </c>
      <c r="R107" s="387">
        <f t="shared" si="138"/>
        <v>0.22002110114490284</v>
      </c>
      <c r="S107" s="387">
        <f t="shared" si="139"/>
        <v>0.34312950942850773</v>
      </c>
      <c r="T107" s="387">
        <f t="shared" si="140"/>
        <v>0.56315061057341054</v>
      </c>
      <c r="U107" s="4">
        <f t="shared" si="104"/>
        <v>1.2089214244446844</v>
      </c>
      <c r="V107" s="387">
        <f t="shared" si="141"/>
        <v>1.0230437073369554E-2</v>
      </c>
      <c r="W107" s="387">
        <f t="shared" si="142"/>
        <v>1.0230437073369554E-2</v>
      </c>
      <c r="X107" s="4">
        <f t="shared" si="105"/>
        <v>2.8881594900945635</v>
      </c>
      <c r="Y107" s="387">
        <f t="shared" si="143"/>
        <v>1.668293048044658E-2</v>
      </c>
      <c r="Z107" s="605">
        <f t="shared" si="144"/>
        <v>1.668293048044658E-2</v>
      </c>
      <c r="AA107" s="387">
        <f t="shared" si="106"/>
        <v>4.7877402275512688</v>
      </c>
      <c r="AB107" s="387">
        <f t="shared" si="158"/>
        <v>0.13065800197312225</v>
      </c>
      <c r="AC107" s="387">
        <f t="shared" si="108"/>
        <v>8.4949515753228108E-2</v>
      </c>
      <c r="AD107" s="387">
        <f t="shared" si="109"/>
        <v>0</v>
      </c>
      <c r="AE107" s="387">
        <f t="shared" si="159"/>
        <v>0.22139286767464411</v>
      </c>
      <c r="AF107" s="387">
        <f t="shared" si="111"/>
        <v>3.6212476474232855</v>
      </c>
      <c r="AG107" s="387">
        <f t="shared" si="160"/>
        <v>7.4746576786621471E-2</v>
      </c>
      <c r="AH107" s="387">
        <f t="shared" si="113"/>
        <v>0.10536960000000001</v>
      </c>
      <c r="AI107" s="387">
        <f t="shared" si="161"/>
        <v>0.18284965392614097</v>
      </c>
      <c r="AJ107" s="387">
        <f t="shared" si="115"/>
        <v>0</v>
      </c>
      <c r="AK107" s="387">
        <f t="shared" si="162"/>
        <v>0</v>
      </c>
      <c r="AL107" s="387">
        <f t="shared" si="117"/>
        <v>0</v>
      </c>
      <c r="AM107" s="387">
        <f t="shared" si="118"/>
        <v>0</v>
      </c>
      <c r="AN107" s="387">
        <f t="shared" si="163"/>
        <v>0</v>
      </c>
      <c r="AO107" s="387">
        <f t="shared" si="145"/>
        <v>6.0029901724458421</v>
      </c>
      <c r="AP107" s="387">
        <f t="shared" si="164"/>
        <v>6.8468192919914586E-2</v>
      </c>
      <c r="AQ107" s="387">
        <f t="shared" si="121"/>
        <v>0</v>
      </c>
      <c r="AR107" s="387">
        <f t="shared" si="165"/>
        <v>6.9418788723633898E-2</v>
      </c>
      <c r="AS107" s="387">
        <f t="shared" si="123"/>
        <v>6.8468192919914586E-2</v>
      </c>
      <c r="AT107" s="387">
        <f t="shared" si="124"/>
        <v>0</v>
      </c>
      <c r="AU107" s="387">
        <f t="shared" si="125"/>
        <v>0.26230192176383998</v>
      </c>
      <c r="AV107" s="387">
        <f t="shared" si="126"/>
        <v>0.10490747619174944</v>
      </c>
      <c r="AW107" s="387">
        <f t="shared" si="127"/>
        <v>0</v>
      </c>
      <c r="AX107" s="387">
        <f t="shared" si="128"/>
        <v>3.6000000000000004E-2</v>
      </c>
      <c r="AY107" s="387">
        <f t="shared" si="129"/>
        <v>5.9136000000000001E-2</v>
      </c>
      <c r="AZ107" s="387">
        <f t="shared" si="130"/>
        <v>7.3471999999999996E-2</v>
      </c>
      <c r="BA107" s="387">
        <f t="shared" si="152"/>
        <v>9.5135999999999998E-2</v>
      </c>
      <c r="BB107" s="387">
        <f t="shared" si="153"/>
        <v>1.5260706864072349</v>
      </c>
      <c r="BC107">
        <f t="shared" si="131"/>
        <v>70.56</v>
      </c>
      <c r="BD107" s="606">
        <f t="shared" si="146"/>
        <v>0.97882988111467428</v>
      </c>
      <c r="BE107" s="616">
        <f t="shared" si="132"/>
        <v>19.725606801938927</v>
      </c>
      <c r="BF107" s="616">
        <f t="shared" si="133"/>
        <v>13.470464405410409</v>
      </c>
      <c r="BG107" s="9"/>
      <c r="BH107" s="4">
        <f t="shared" si="147"/>
        <v>97.882988111467427</v>
      </c>
      <c r="BI107" s="387">
        <f t="shared" si="148"/>
        <v>0.56315061057341054</v>
      </c>
      <c r="BJ107" s="387">
        <f t="shared" si="149"/>
        <v>0.73596323208825898</v>
      </c>
      <c r="BK107" s="387">
        <f t="shared" si="134"/>
        <v>0.39451213603877855</v>
      </c>
      <c r="BL107" s="387">
        <f t="shared" si="135"/>
        <v>0.26940928810820819</v>
      </c>
      <c r="BM107" s="387">
        <f t="shared" si="150"/>
        <v>0.10490747619174944</v>
      </c>
      <c r="BS107" s="18"/>
      <c r="BT107" s="19"/>
    </row>
    <row r="108" spans="7:72" x14ac:dyDescent="0.2">
      <c r="G108">
        <v>99</v>
      </c>
      <c r="H108" s="612">
        <f t="shared" si="97"/>
        <v>19</v>
      </c>
      <c r="I108" s="4" t="str">
        <f t="shared" si="154"/>
        <v>BUCK</v>
      </c>
      <c r="J108">
        <f t="shared" si="136"/>
        <v>1</v>
      </c>
      <c r="K108" s="387">
        <f t="shared" si="137"/>
        <v>5.94</v>
      </c>
      <c r="L108" s="4">
        <f t="shared" si="155"/>
        <v>3.9078947368421058</v>
      </c>
      <c r="M108" s="4">
        <f t="shared" si="151"/>
        <v>5.94</v>
      </c>
      <c r="N108" s="387">
        <f t="shared" si="100"/>
        <v>0.6361467529631154</v>
      </c>
      <c r="O108" s="387">
        <f t="shared" si="101"/>
        <v>0</v>
      </c>
      <c r="P108" s="4">
        <f t="shared" si="156"/>
        <v>4.187705493640177</v>
      </c>
      <c r="Q108" s="4">
        <f t="shared" si="157"/>
        <v>6.0617659507596198</v>
      </c>
      <c r="R108" s="387">
        <f t="shared" si="138"/>
        <v>0.2244284180101741</v>
      </c>
      <c r="S108" s="387">
        <f t="shared" si="139"/>
        <v>0.34310663648237488</v>
      </c>
      <c r="T108" s="387">
        <f t="shared" si="140"/>
        <v>0.56753505449254904</v>
      </c>
      <c r="U108" s="4">
        <f t="shared" si="104"/>
        <v>1.2088864470200156</v>
      </c>
      <c r="V108" s="387">
        <f t="shared" si="141"/>
        <v>1.0229845092520739E-2</v>
      </c>
      <c r="W108" s="387">
        <f t="shared" si="142"/>
        <v>1.0229845092520739E-2</v>
      </c>
      <c r="X108" s="4">
        <f t="shared" si="105"/>
        <v>2.9163587633641885</v>
      </c>
      <c r="Y108" s="387">
        <f t="shared" si="143"/>
        <v>1.7010296873302199E-2</v>
      </c>
      <c r="Z108" s="605">
        <f t="shared" si="144"/>
        <v>1.7010296873302199E-2</v>
      </c>
      <c r="AA108" s="387">
        <f t="shared" si="106"/>
        <v>4.8347922949753102</v>
      </c>
      <c r="AB108" s="387">
        <f t="shared" si="158"/>
        <v>0.13323873425264998</v>
      </c>
      <c r="AC108" s="387">
        <f t="shared" si="108"/>
        <v>8.581634754662841E-2</v>
      </c>
      <c r="AD108" s="387">
        <f t="shared" si="109"/>
        <v>0</v>
      </c>
      <c r="AE108" s="387">
        <f t="shared" si="159"/>
        <v>0.22505221628704633</v>
      </c>
      <c r="AF108" s="387">
        <f t="shared" si="111"/>
        <v>3.6564723308451348</v>
      </c>
      <c r="AG108" s="387">
        <f t="shared" si="160"/>
        <v>7.6207802465545496E-2</v>
      </c>
      <c r="AH108" s="387">
        <f t="shared" si="113"/>
        <v>0.10644480000000002</v>
      </c>
      <c r="AI108" s="387">
        <f t="shared" si="161"/>
        <v>0.18547960102480279</v>
      </c>
      <c r="AJ108" s="387">
        <f t="shared" si="115"/>
        <v>0</v>
      </c>
      <c r="AK108" s="387">
        <f t="shared" si="162"/>
        <v>0</v>
      </c>
      <c r="AL108" s="387">
        <f t="shared" si="117"/>
        <v>0</v>
      </c>
      <c r="AM108" s="387">
        <f t="shared" si="118"/>
        <v>0</v>
      </c>
      <c r="AN108" s="387">
        <f t="shared" si="163"/>
        <v>0</v>
      </c>
      <c r="AO108" s="387">
        <f t="shared" si="145"/>
        <v>6.0617659507596198</v>
      </c>
      <c r="AP108" s="387">
        <f t="shared" si="164"/>
        <v>6.9815512239398483E-2</v>
      </c>
      <c r="AQ108" s="387">
        <f t="shared" si="121"/>
        <v>0</v>
      </c>
      <c r="AR108" s="387">
        <f t="shared" si="165"/>
        <v>7.0804157950598551E-2</v>
      </c>
      <c r="AS108" s="387">
        <f t="shared" si="123"/>
        <v>6.9815512239398483E-2</v>
      </c>
      <c r="AT108" s="387">
        <f t="shared" si="124"/>
        <v>0</v>
      </c>
      <c r="AU108" s="387">
        <f t="shared" si="125"/>
        <v>0.26497369394496001</v>
      </c>
      <c r="AV108" s="387">
        <f t="shared" si="126"/>
        <v>0.10695831924988843</v>
      </c>
      <c r="AW108" s="387">
        <f t="shared" si="127"/>
        <v>0</v>
      </c>
      <c r="AX108" s="387">
        <f t="shared" si="128"/>
        <v>3.6000000000000004E-2</v>
      </c>
      <c r="AY108" s="387">
        <f t="shared" si="129"/>
        <v>5.9136000000000001E-2</v>
      </c>
      <c r="AZ108" s="387">
        <f t="shared" si="130"/>
        <v>7.3471999999999996E-2</v>
      </c>
      <c r="BA108" s="387">
        <f t="shared" si="152"/>
        <v>9.5135999999999998E-2</v>
      </c>
      <c r="BB108" s="387">
        <f t="shared" si="153"/>
        <v>1.543179184915668</v>
      </c>
      <c r="BC108">
        <f t="shared" si="131"/>
        <v>71.28</v>
      </c>
      <c r="BD108" s="606">
        <f t="shared" si="146"/>
        <v>0.9788092307670726</v>
      </c>
      <c r="BE108" s="616">
        <f t="shared" si="132"/>
        <v>19.996742714535998</v>
      </c>
      <c r="BF108" s="616">
        <f t="shared" si="133"/>
        <v>13.64604600133198</v>
      </c>
      <c r="BG108" s="9"/>
      <c r="BH108" s="4">
        <f t="shared" si="147"/>
        <v>97.880923076707262</v>
      </c>
      <c r="BI108" s="387">
        <f t="shared" si="148"/>
        <v>0.56753505449254904</v>
      </c>
      <c r="BJ108" s="387">
        <f t="shared" si="149"/>
        <v>0.7463096692074076</v>
      </c>
      <c r="BK108" s="387">
        <f t="shared" si="134"/>
        <v>0.39993485429071995</v>
      </c>
      <c r="BL108" s="387">
        <f t="shared" si="135"/>
        <v>0.27292092002663959</v>
      </c>
      <c r="BM108" s="387">
        <f t="shared" si="150"/>
        <v>0.10695831924988843</v>
      </c>
      <c r="BS108" s="18"/>
      <c r="BT108" s="19"/>
    </row>
    <row r="109" spans="7:72" x14ac:dyDescent="0.2">
      <c r="G109">
        <v>100</v>
      </c>
      <c r="H109" s="612">
        <f t="shared" si="97"/>
        <v>19</v>
      </c>
      <c r="I109" s="4" t="str">
        <f t="shared" si="154"/>
        <v>BUCK</v>
      </c>
      <c r="J109">
        <f t="shared" si="136"/>
        <v>1</v>
      </c>
      <c r="K109" s="387">
        <f t="shared" si="137"/>
        <v>6</v>
      </c>
      <c r="L109" s="4">
        <f t="shared" si="155"/>
        <v>3.9473684210526319</v>
      </c>
      <c r="M109" s="4">
        <f>K109/(1-O109)</f>
        <v>6</v>
      </c>
      <c r="N109" s="387">
        <f t="shared" si="100"/>
        <v>0.63619277614447711</v>
      </c>
      <c r="O109" s="387">
        <f t="shared" si="101"/>
        <v>0</v>
      </c>
      <c r="P109" s="4">
        <f t="shared" si="156"/>
        <v>4.1875842516394357</v>
      </c>
      <c r="Q109" s="4">
        <f t="shared" si="157"/>
        <v>6.1205654822122622</v>
      </c>
      <c r="R109" s="387">
        <f t="shared" si="138"/>
        <v>0.22888358613875087</v>
      </c>
      <c r="S109" s="387">
        <f t="shared" si="139"/>
        <v>0.34308374993093271</v>
      </c>
      <c r="T109" s="387">
        <f t="shared" si="140"/>
        <v>0.57196733606968353</v>
      </c>
      <c r="U109" s="4">
        <f t="shared" si="104"/>
        <v>1.208851447469133</v>
      </c>
      <c r="V109" s="387">
        <f t="shared" si="141"/>
        <v>1.0229252754337526E-2</v>
      </c>
      <c r="W109" s="387">
        <f t="shared" si="142"/>
        <v>1.0229252754337526E-2</v>
      </c>
      <c r="X109" s="4">
        <f t="shared" si="105"/>
        <v>2.944567908259319</v>
      </c>
      <c r="Y109" s="387">
        <f t="shared" si="143"/>
        <v>1.734096033270132E-2</v>
      </c>
      <c r="Z109" s="605">
        <f t="shared" si="144"/>
        <v>1.734096033270132E-2</v>
      </c>
      <c r="AA109" s="387">
        <f t="shared" si="106"/>
        <v>4.8818666847846774</v>
      </c>
      <c r="AB109" s="387">
        <f t="shared" si="158"/>
        <v>0.13584594726966007</v>
      </c>
      <c r="AC109" s="387">
        <f t="shared" si="108"/>
        <v>8.6683179340028685E-2</v>
      </c>
      <c r="AD109" s="387">
        <f t="shared" si="109"/>
        <v>0</v>
      </c>
      <c r="AE109" s="387">
        <f t="shared" si="159"/>
        <v>0.22874391332731231</v>
      </c>
      <c r="AF109" s="387">
        <f t="shared" si="111"/>
        <v>3.691706853751755</v>
      </c>
      <c r="AG109" s="387">
        <f t="shared" si="160"/>
        <v>7.768358711601478E-2</v>
      </c>
      <c r="AH109" s="387">
        <f t="shared" si="113"/>
        <v>0.10752</v>
      </c>
      <c r="AI109" s="387">
        <f t="shared" si="161"/>
        <v>0.18812645468224176</v>
      </c>
      <c r="AJ109" s="387">
        <f t="shared" si="115"/>
        <v>0</v>
      </c>
      <c r="AK109" s="387">
        <f t="shared" si="162"/>
        <v>0</v>
      </c>
      <c r="AL109" s="387">
        <f t="shared" si="117"/>
        <v>0</v>
      </c>
      <c r="AM109" s="387">
        <f t="shared" si="118"/>
        <v>0</v>
      </c>
      <c r="AN109" s="387">
        <f t="shared" si="163"/>
        <v>0</v>
      </c>
      <c r="AO109" s="387">
        <f t="shared" si="145"/>
        <v>6.1205654822122622</v>
      </c>
      <c r="AP109" s="387">
        <f t="shared" si="164"/>
        <v>7.117651146189162E-2</v>
      </c>
      <c r="AQ109" s="387">
        <f t="shared" si="121"/>
        <v>0</v>
      </c>
      <c r="AR109" s="387">
        <f t="shared" si="165"/>
        <v>7.2204362387303322E-2</v>
      </c>
      <c r="AS109" s="387">
        <f t="shared" si="123"/>
        <v>7.117651146189162E-2</v>
      </c>
      <c r="AT109" s="387">
        <f t="shared" si="124"/>
        <v>0</v>
      </c>
      <c r="AU109" s="387">
        <f t="shared" si="125"/>
        <v>0.26764536960000002</v>
      </c>
      <c r="AV109" s="387">
        <f t="shared" si="126"/>
        <v>0.10902959595230145</v>
      </c>
      <c r="AW109" s="387">
        <f t="shared" si="127"/>
        <v>0</v>
      </c>
      <c r="AX109" s="387">
        <f t="shared" si="128"/>
        <v>3.6000000000000004E-2</v>
      </c>
      <c r="AY109" s="387">
        <f t="shared" si="129"/>
        <v>5.9136000000000001E-2</v>
      </c>
      <c r="AZ109" s="387">
        <f t="shared" si="130"/>
        <v>7.3471999999999996E-2</v>
      </c>
      <c r="BA109" s="387">
        <f t="shared" si="152"/>
        <v>9.5135999999999998E-2</v>
      </c>
      <c r="BB109" s="387">
        <f t="shared" si="153"/>
        <v>1.5604232451058813</v>
      </c>
      <c r="BC109">
        <f t="shared" si="131"/>
        <v>72</v>
      </c>
      <c r="BD109" s="606">
        <f t="shared" si="146"/>
        <v>0.97878719049907448</v>
      </c>
      <c r="BE109" s="616">
        <f t="shared" si="132"/>
        <v>20.269492863165617</v>
      </c>
      <c r="BF109" s="616">
        <f t="shared" si="133"/>
        <v>13.822471332512087</v>
      </c>
      <c r="BG109" s="9"/>
      <c r="BH109" s="4">
        <f t="shared" si="147"/>
        <v>97.878719049907446</v>
      </c>
      <c r="BI109" s="387">
        <f t="shared" si="148"/>
        <v>0.57196733606968353</v>
      </c>
      <c r="BJ109" s="387">
        <f t="shared" si="149"/>
        <v>0.75672009999685741</v>
      </c>
      <c r="BK109" s="387">
        <f t="shared" si="134"/>
        <v>0.40538985726331234</v>
      </c>
      <c r="BL109" s="387">
        <f t="shared" si="135"/>
        <v>0.27644942665024175</v>
      </c>
      <c r="BM109" s="387">
        <f t="shared" si="150"/>
        <v>0.10902959595230145</v>
      </c>
      <c r="BS109" s="18"/>
      <c r="BT109" s="19"/>
    </row>
    <row r="110" spans="7:72" x14ac:dyDescent="0.2">
      <c r="H110" s="612"/>
      <c r="I110" s="4"/>
      <c r="L110" s="4"/>
      <c r="M110" s="4"/>
      <c r="Q110" s="387"/>
      <c r="R110" s="387"/>
      <c r="S110" s="387"/>
      <c r="T110" s="387"/>
      <c r="V110" s="387"/>
      <c r="W110" s="387"/>
      <c r="X110" s="387"/>
      <c r="Y110" s="387"/>
      <c r="Z110" s="605"/>
      <c r="AA110" s="387"/>
      <c r="AB110" s="387"/>
      <c r="AC110" s="387"/>
      <c r="AE110" s="387"/>
      <c r="AF110" s="387"/>
      <c r="AG110" s="387"/>
      <c r="AH110" s="387"/>
      <c r="AI110" s="387"/>
      <c r="AJ110" s="387"/>
      <c r="AK110" s="387"/>
      <c r="AL110" s="387"/>
      <c r="AN110" s="387"/>
      <c r="AO110" s="387"/>
      <c r="AP110" s="387"/>
      <c r="AQ110" s="387"/>
      <c r="AR110" s="387"/>
      <c r="AS110" s="387"/>
      <c r="AT110" s="387"/>
      <c r="AU110" s="387"/>
      <c r="AV110" s="387"/>
      <c r="AW110" s="387"/>
      <c r="AX110" s="387"/>
      <c r="AY110" s="387"/>
      <c r="AZ110" s="387"/>
      <c r="BA110" s="387"/>
      <c r="BB110" s="387"/>
      <c r="BD110" s="606"/>
      <c r="BE110" s="616"/>
      <c r="BF110" s="616"/>
      <c r="BG110" s="9"/>
      <c r="BH110" s="48"/>
      <c r="BI110" s="387"/>
      <c r="BJ110" s="387"/>
      <c r="BK110" s="387"/>
      <c r="BL110" s="387"/>
      <c r="BM110" s="387"/>
    </row>
    <row r="111" spans="7:72" x14ac:dyDescent="0.2">
      <c r="H111" s="612"/>
      <c r="I111" s="4"/>
      <c r="L111" s="4"/>
      <c r="M111" s="4"/>
      <c r="Q111" s="387"/>
      <c r="R111" s="387"/>
      <c r="S111" s="387"/>
      <c r="T111" s="387"/>
      <c r="V111" s="387"/>
      <c r="W111" s="387"/>
      <c r="X111" s="387"/>
      <c r="Y111" s="387"/>
      <c r="Z111" s="605"/>
      <c r="AA111" s="387"/>
      <c r="AB111" s="387"/>
      <c r="AC111" s="387"/>
      <c r="AE111" s="387"/>
      <c r="AF111" s="387"/>
      <c r="AG111" s="387"/>
      <c r="AH111" s="387"/>
      <c r="AI111" s="387"/>
      <c r="AJ111" s="387"/>
      <c r="AK111" s="387"/>
      <c r="AL111" s="387"/>
      <c r="AN111" s="387"/>
      <c r="AO111" s="387"/>
      <c r="AP111" s="387"/>
      <c r="AQ111" s="387"/>
      <c r="AR111" s="387"/>
      <c r="AS111" s="387"/>
      <c r="AT111" s="387"/>
      <c r="AU111" s="387"/>
      <c r="AV111" s="387"/>
      <c r="AW111" s="387"/>
      <c r="AX111" s="387"/>
      <c r="AY111" s="387"/>
      <c r="AZ111" s="387"/>
      <c r="BA111" s="387"/>
      <c r="BB111" s="387"/>
      <c r="BD111" s="606"/>
      <c r="BE111" s="616"/>
      <c r="BF111" s="616"/>
      <c r="BG111" s="9"/>
      <c r="BH111" s="48"/>
      <c r="BI111" s="387"/>
      <c r="BJ111" s="387"/>
      <c r="BK111" s="387"/>
      <c r="BL111" s="387"/>
      <c r="BM111" s="387"/>
    </row>
    <row r="112" spans="7:72" x14ac:dyDescent="0.2">
      <c r="H112" s="612"/>
      <c r="I112" s="4"/>
      <c r="L112" s="4"/>
      <c r="M112" s="4"/>
      <c r="Q112" s="387"/>
      <c r="R112" s="387"/>
      <c r="S112" s="387"/>
      <c r="T112" s="387"/>
      <c r="V112" s="387"/>
      <c r="W112" s="387"/>
      <c r="X112" s="387"/>
      <c r="Y112" s="387"/>
      <c r="Z112" s="605"/>
      <c r="AA112" s="387"/>
      <c r="AB112" s="387"/>
      <c r="AC112" s="387"/>
      <c r="AE112" s="387"/>
      <c r="AF112" s="387"/>
      <c r="AG112" s="387"/>
      <c r="AH112" s="387"/>
      <c r="AI112" s="387"/>
      <c r="AJ112" s="387"/>
      <c r="AK112" s="387"/>
      <c r="AL112" s="387"/>
      <c r="AN112" s="387"/>
      <c r="AO112" s="387"/>
      <c r="AP112" s="387"/>
      <c r="AQ112" s="387"/>
      <c r="AR112" s="387"/>
      <c r="AS112" s="387"/>
      <c r="AT112" s="387"/>
      <c r="AU112" s="387"/>
      <c r="AV112" s="387"/>
      <c r="AW112" s="387"/>
      <c r="AX112" s="387"/>
      <c r="AY112" s="387"/>
      <c r="AZ112" s="387"/>
      <c r="BA112" s="387"/>
      <c r="BB112" s="387"/>
      <c r="BD112" s="606"/>
      <c r="BE112" s="616"/>
      <c r="BF112" s="616"/>
      <c r="BG112" s="9"/>
      <c r="BH112" s="48"/>
      <c r="BI112" s="387"/>
      <c r="BJ112" s="387"/>
      <c r="BK112" s="387"/>
      <c r="BL112" s="387"/>
      <c r="BM112" s="387"/>
    </row>
    <row r="113" spans="8:65" x14ac:dyDescent="0.2">
      <c r="H113" s="612"/>
      <c r="I113" s="4"/>
      <c r="L113" s="4"/>
      <c r="M113" s="4"/>
      <c r="Q113" s="387"/>
      <c r="R113" s="387"/>
      <c r="S113" s="387"/>
      <c r="T113" s="387"/>
      <c r="V113" s="387"/>
      <c r="W113" s="387"/>
      <c r="X113" s="387"/>
      <c r="Y113" s="387"/>
      <c r="Z113" s="605"/>
      <c r="AA113" s="387"/>
      <c r="AB113" s="387"/>
      <c r="AC113" s="387"/>
      <c r="AE113" s="387"/>
      <c r="AF113" s="387"/>
      <c r="AG113" s="387"/>
      <c r="AH113" s="387"/>
      <c r="AI113" s="387"/>
      <c r="AJ113" s="387"/>
      <c r="AK113" s="387"/>
      <c r="AL113" s="387"/>
      <c r="AN113" s="387"/>
      <c r="AO113" s="387"/>
      <c r="AP113" s="387"/>
      <c r="AQ113" s="387"/>
      <c r="AR113" s="387"/>
      <c r="AS113" s="387"/>
      <c r="AT113" s="387"/>
      <c r="AU113" s="387"/>
      <c r="AV113" s="387"/>
      <c r="AW113" s="387"/>
      <c r="AX113" s="387"/>
      <c r="AY113" s="387"/>
      <c r="AZ113" s="387"/>
      <c r="BA113" s="387"/>
      <c r="BB113" s="387"/>
      <c r="BD113" s="606"/>
      <c r="BE113" s="616"/>
      <c r="BF113" s="616"/>
      <c r="BG113" s="9"/>
      <c r="BH113" s="48"/>
      <c r="BI113" s="387"/>
      <c r="BJ113" s="387"/>
      <c r="BK113" s="387"/>
      <c r="BL113" s="387"/>
      <c r="BM113" s="387"/>
    </row>
    <row r="114" spans="8:65" x14ac:dyDescent="0.2">
      <c r="H114" s="612"/>
      <c r="I114" s="4"/>
      <c r="L114" s="4"/>
      <c r="M114" s="4"/>
      <c r="Q114" s="387"/>
      <c r="R114" s="387"/>
      <c r="S114" s="387"/>
      <c r="T114" s="387"/>
      <c r="V114" s="387"/>
      <c r="W114" s="387"/>
      <c r="X114" s="387"/>
      <c r="Y114" s="387"/>
      <c r="Z114" s="605"/>
      <c r="AA114" s="387"/>
      <c r="AB114" s="387"/>
      <c r="AC114" s="387"/>
      <c r="AE114" s="387"/>
      <c r="AF114" s="387"/>
      <c r="AG114" s="387"/>
      <c r="AH114" s="387"/>
      <c r="AI114" s="387"/>
      <c r="AJ114" s="387"/>
      <c r="AK114" s="387"/>
      <c r="AL114" s="387"/>
      <c r="AN114" s="387"/>
      <c r="AO114" s="387"/>
      <c r="AP114" s="387"/>
      <c r="AQ114" s="387"/>
      <c r="AR114" s="387"/>
      <c r="AS114" s="387"/>
      <c r="AT114" s="387"/>
      <c r="AU114" s="387"/>
      <c r="AV114" s="387"/>
      <c r="AW114" s="387"/>
      <c r="AX114" s="387"/>
      <c r="AY114" s="387"/>
      <c r="AZ114" s="387"/>
      <c r="BA114" s="387"/>
      <c r="BB114" s="387"/>
      <c r="BD114" s="606"/>
      <c r="BE114" s="616"/>
      <c r="BF114" s="616"/>
      <c r="BG114" s="9"/>
      <c r="BH114" s="48"/>
      <c r="BI114" s="387"/>
      <c r="BJ114" s="387"/>
      <c r="BK114" s="387"/>
      <c r="BL114" s="387"/>
      <c r="BM114" s="387"/>
    </row>
    <row r="115" spans="8:65" x14ac:dyDescent="0.2">
      <c r="H115" s="612"/>
      <c r="I115" s="4"/>
      <c r="L115" s="4"/>
      <c r="M115" s="4"/>
      <c r="Q115" s="387"/>
      <c r="R115" s="387"/>
      <c r="S115" s="387"/>
      <c r="T115" s="387"/>
      <c r="V115" s="387"/>
      <c r="W115" s="387"/>
      <c r="X115" s="387"/>
      <c r="Y115" s="387"/>
      <c r="Z115" s="605"/>
      <c r="AA115" s="387"/>
      <c r="AB115" s="387"/>
      <c r="AC115" s="387"/>
      <c r="AE115" s="387"/>
      <c r="AF115" s="387"/>
      <c r="AG115" s="387"/>
      <c r="AH115" s="387"/>
      <c r="AI115" s="387"/>
      <c r="AJ115" s="387"/>
      <c r="AK115" s="387"/>
      <c r="AL115" s="387"/>
      <c r="AN115" s="387"/>
      <c r="AO115" s="387"/>
      <c r="AP115" s="387"/>
      <c r="AQ115" s="387"/>
      <c r="AR115" s="387"/>
      <c r="AS115" s="387"/>
      <c r="AT115" s="387"/>
      <c r="AU115" s="387"/>
      <c r="AV115" s="387"/>
      <c r="AW115" s="387"/>
      <c r="AX115" s="387"/>
      <c r="AY115" s="387"/>
      <c r="AZ115" s="387"/>
      <c r="BA115" s="387"/>
      <c r="BB115" s="387"/>
      <c r="BD115" s="606"/>
      <c r="BE115" s="616"/>
      <c r="BF115" s="616"/>
      <c r="BG115" s="9"/>
      <c r="BH115" s="48"/>
      <c r="BI115" s="387"/>
      <c r="BJ115" s="387"/>
      <c r="BK115" s="387"/>
      <c r="BL115" s="387"/>
      <c r="BM115" s="387"/>
    </row>
    <row r="116" spans="8:65" x14ac:dyDescent="0.2">
      <c r="H116" s="612"/>
      <c r="I116" s="4"/>
      <c r="L116" s="4"/>
      <c r="M116" s="4"/>
      <c r="Q116" s="387"/>
      <c r="R116" s="387"/>
      <c r="S116" s="387"/>
      <c r="T116" s="387"/>
      <c r="V116" s="387"/>
      <c r="W116" s="387"/>
      <c r="X116" s="387"/>
      <c r="Y116" s="387"/>
      <c r="Z116" s="605"/>
      <c r="AA116" s="387"/>
      <c r="AB116" s="387"/>
      <c r="AC116" s="387"/>
      <c r="AE116" s="387"/>
      <c r="AF116" s="387"/>
      <c r="AG116" s="387"/>
      <c r="AH116" s="387"/>
      <c r="AI116" s="387"/>
      <c r="AJ116" s="387"/>
      <c r="AK116" s="387"/>
      <c r="AL116" s="387"/>
      <c r="AN116" s="387"/>
      <c r="AO116" s="387"/>
      <c r="AP116" s="387"/>
      <c r="AQ116" s="387"/>
      <c r="AR116" s="387"/>
      <c r="AS116" s="387"/>
      <c r="AT116" s="387"/>
      <c r="AU116" s="387"/>
      <c r="AV116" s="387"/>
      <c r="AW116" s="387"/>
      <c r="AX116" s="387"/>
      <c r="AY116" s="387"/>
      <c r="AZ116" s="387"/>
      <c r="BA116" s="387"/>
      <c r="BB116" s="387"/>
      <c r="BD116" s="606"/>
      <c r="BE116" s="616"/>
      <c r="BF116" s="616"/>
      <c r="BG116" s="9"/>
      <c r="BH116" s="48"/>
      <c r="BI116" s="387"/>
      <c r="BJ116" s="387"/>
      <c r="BK116" s="387"/>
      <c r="BL116" s="387"/>
      <c r="BM116" s="387"/>
    </row>
    <row r="117" spans="8:65" x14ac:dyDescent="0.2">
      <c r="H117" s="612"/>
      <c r="I117" s="4"/>
      <c r="L117" s="4"/>
      <c r="M117" s="4"/>
      <c r="Q117" s="387"/>
      <c r="R117" s="387"/>
      <c r="S117" s="387"/>
      <c r="T117" s="387"/>
      <c r="V117" s="387"/>
      <c r="W117" s="387"/>
      <c r="X117" s="387"/>
      <c r="Y117" s="387"/>
      <c r="Z117" s="605"/>
      <c r="AA117" s="387"/>
      <c r="AB117" s="387"/>
      <c r="AC117" s="387"/>
      <c r="AE117" s="387"/>
      <c r="AF117" s="387"/>
      <c r="AG117" s="387"/>
      <c r="AH117" s="387"/>
      <c r="AI117" s="387"/>
      <c r="AJ117" s="387"/>
      <c r="AK117" s="387"/>
      <c r="AL117" s="387"/>
      <c r="AN117" s="387"/>
      <c r="AO117" s="387"/>
      <c r="AP117" s="387"/>
      <c r="AQ117" s="387"/>
      <c r="AR117" s="387"/>
      <c r="AS117" s="387"/>
      <c r="AT117" s="387"/>
      <c r="AU117" s="387"/>
      <c r="AV117" s="387"/>
      <c r="AW117" s="387"/>
      <c r="AX117" s="387"/>
      <c r="AY117" s="387"/>
      <c r="AZ117" s="387"/>
      <c r="BA117" s="387"/>
      <c r="BB117" s="387"/>
      <c r="BD117" s="606"/>
      <c r="BE117" s="616"/>
      <c r="BF117" s="616"/>
      <c r="BG117" s="9"/>
      <c r="BH117" s="48"/>
      <c r="BI117" s="387"/>
      <c r="BJ117" s="387"/>
      <c r="BK117" s="387"/>
      <c r="BL117" s="387"/>
      <c r="BM117" s="387"/>
    </row>
    <row r="118" spans="8:65" x14ac:dyDescent="0.2">
      <c r="H118" s="612"/>
      <c r="I118" s="4"/>
      <c r="L118" s="4"/>
      <c r="M118" s="4"/>
      <c r="Q118" s="387"/>
      <c r="R118" s="387"/>
      <c r="S118" s="387"/>
      <c r="T118" s="387"/>
      <c r="V118" s="387"/>
      <c r="W118" s="387"/>
      <c r="X118" s="387"/>
      <c r="Y118" s="387"/>
      <c r="Z118" s="605"/>
      <c r="AA118" s="387"/>
      <c r="AB118" s="387"/>
      <c r="AC118" s="387"/>
      <c r="AE118" s="387"/>
      <c r="AF118" s="387"/>
      <c r="AG118" s="387"/>
      <c r="AH118" s="387"/>
      <c r="AI118" s="387"/>
      <c r="AJ118" s="387"/>
      <c r="AK118" s="387"/>
      <c r="AL118" s="387"/>
      <c r="AN118" s="387"/>
      <c r="AO118" s="387"/>
      <c r="AP118" s="387"/>
      <c r="AQ118" s="387"/>
      <c r="AR118" s="387"/>
      <c r="AS118" s="387"/>
      <c r="AT118" s="387"/>
      <c r="AU118" s="387"/>
      <c r="AV118" s="387"/>
      <c r="AW118" s="387"/>
      <c r="AX118" s="387"/>
      <c r="AY118" s="387"/>
      <c r="AZ118" s="387"/>
      <c r="BA118" s="387"/>
      <c r="BB118" s="387"/>
      <c r="BD118" s="606"/>
      <c r="BE118" s="616"/>
      <c r="BF118" s="616"/>
      <c r="BG118" s="9"/>
      <c r="BH118" s="48"/>
      <c r="BI118" s="387"/>
      <c r="BJ118" s="387"/>
      <c r="BK118" s="387"/>
      <c r="BL118" s="387"/>
      <c r="BM118" s="387"/>
    </row>
    <row r="119" spans="8:65" x14ac:dyDescent="0.2">
      <c r="H119" s="612"/>
      <c r="I119" s="4"/>
      <c r="L119" s="4"/>
      <c r="M119" s="4"/>
      <c r="Q119" s="387"/>
      <c r="R119" s="387"/>
      <c r="S119" s="387"/>
      <c r="T119" s="387"/>
      <c r="V119" s="387"/>
      <c r="W119" s="387"/>
      <c r="X119" s="387"/>
      <c r="Y119" s="387"/>
      <c r="Z119" s="605"/>
      <c r="AA119" s="387"/>
      <c r="AB119" s="387"/>
      <c r="AC119" s="387"/>
      <c r="AE119" s="387"/>
      <c r="AF119" s="387"/>
      <c r="AG119" s="387"/>
      <c r="AH119" s="387"/>
      <c r="AI119" s="387"/>
      <c r="AJ119" s="387"/>
      <c r="AK119" s="387"/>
      <c r="AL119" s="387"/>
      <c r="AN119" s="387"/>
      <c r="AO119" s="387"/>
      <c r="AP119" s="387"/>
      <c r="AQ119" s="387"/>
      <c r="AR119" s="387"/>
      <c r="AS119" s="387"/>
      <c r="AT119" s="387"/>
      <c r="AU119" s="387"/>
      <c r="AV119" s="387"/>
      <c r="AW119" s="387"/>
      <c r="AX119" s="387"/>
      <c r="AY119" s="387"/>
      <c r="AZ119" s="387"/>
      <c r="BA119" s="387"/>
      <c r="BB119" s="387"/>
      <c r="BD119" s="606"/>
      <c r="BE119" s="616"/>
      <c r="BF119" s="616"/>
      <c r="BG119" s="9"/>
      <c r="BH119" s="48"/>
      <c r="BI119" s="387"/>
      <c r="BJ119" s="387"/>
      <c r="BK119" s="387"/>
      <c r="BL119" s="387"/>
      <c r="BM119" s="387"/>
    </row>
    <row r="120" spans="8:65" x14ac:dyDescent="0.2">
      <c r="H120" s="612"/>
      <c r="I120" s="4"/>
      <c r="L120" s="4"/>
      <c r="M120" s="4"/>
      <c r="Q120" s="387"/>
      <c r="R120" s="387"/>
      <c r="S120" s="387"/>
      <c r="T120" s="387"/>
      <c r="V120" s="387"/>
      <c r="W120" s="387"/>
      <c r="X120" s="387"/>
      <c r="Y120" s="387"/>
      <c r="Z120" s="605"/>
      <c r="AA120" s="387"/>
      <c r="AB120" s="387"/>
      <c r="AC120" s="387"/>
      <c r="AE120" s="387"/>
      <c r="AF120" s="387"/>
      <c r="AG120" s="387"/>
      <c r="AH120" s="387"/>
      <c r="AI120" s="387"/>
      <c r="AJ120" s="387"/>
      <c r="AK120" s="387"/>
      <c r="AL120" s="387"/>
      <c r="AN120" s="387"/>
      <c r="AO120" s="387"/>
      <c r="AP120" s="387"/>
      <c r="AQ120" s="387"/>
      <c r="AR120" s="387"/>
      <c r="AS120" s="387"/>
      <c r="AT120" s="387"/>
      <c r="AU120" s="387"/>
      <c r="AV120" s="387"/>
      <c r="AW120" s="387"/>
      <c r="AX120" s="387"/>
      <c r="AY120" s="387"/>
      <c r="AZ120" s="387"/>
      <c r="BA120" s="387"/>
      <c r="BB120" s="387"/>
      <c r="BD120" s="606"/>
      <c r="BE120" s="616"/>
      <c r="BF120" s="616"/>
      <c r="BG120" s="9"/>
      <c r="BH120" s="48"/>
      <c r="BI120" s="387"/>
      <c r="BJ120" s="387"/>
      <c r="BK120" s="387"/>
      <c r="BL120" s="387"/>
      <c r="BM120" s="387"/>
    </row>
    <row r="121" spans="8:65" x14ac:dyDescent="0.2">
      <c r="H121" s="612"/>
      <c r="I121" s="4"/>
      <c r="L121" s="4"/>
      <c r="M121" s="4"/>
      <c r="Q121" s="387"/>
      <c r="R121" s="387"/>
      <c r="S121" s="387"/>
      <c r="T121" s="387"/>
      <c r="V121" s="387"/>
      <c r="W121" s="387"/>
      <c r="X121" s="387"/>
      <c r="Y121" s="387"/>
      <c r="Z121" s="605"/>
      <c r="AA121" s="387"/>
      <c r="AB121" s="387"/>
      <c r="AC121" s="387"/>
      <c r="AE121" s="387"/>
      <c r="AF121" s="387"/>
      <c r="AG121" s="387"/>
      <c r="AH121" s="387"/>
      <c r="AI121" s="387"/>
      <c r="AJ121" s="387"/>
      <c r="AK121" s="387"/>
      <c r="AL121" s="387"/>
      <c r="AN121" s="387"/>
      <c r="AO121" s="387"/>
      <c r="AP121" s="387"/>
      <c r="AQ121" s="387"/>
      <c r="AR121" s="387"/>
      <c r="AS121" s="387"/>
      <c r="AT121" s="387"/>
      <c r="AU121" s="387"/>
      <c r="AV121" s="387"/>
      <c r="AW121" s="387"/>
      <c r="AX121" s="387"/>
      <c r="AY121" s="387"/>
      <c r="AZ121" s="387"/>
      <c r="BA121" s="387"/>
      <c r="BB121" s="387"/>
      <c r="BD121" s="606"/>
      <c r="BE121" s="616"/>
      <c r="BF121" s="616"/>
      <c r="BG121" s="9"/>
      <c r="BH121" s="48"/>
      <c r="BI121" s="387"/>
      <c r="BJ121" s="387"/>
      <c r="BK121" s="387"/>
      <c r="BL121" s="387"/>
      <c r="BM121" s="387"/>
    </row>
    <row r="122" spans="8:65" x14ac:dyDescent="0.2">
      <c r="H122" s="612"/>
      <c r="I122" s="4"/>
      <c r="L122" s="4"/>
      <c r="M122" s="4"/>
      <c r="Q122" s="387"/>
      <c r="R122" s="387"/>
      <c r="S122" s="387"/>
      <c r="T122" s="387"/>
      <c r="V122" s="387"/>
      <c r="W122" s="387"/>
      <c r="X122" s="387"/>
      <c r="Y122" s="387"/>
      <c r="Z122" s="605"/>
      <c r="AA122" s="387"/>
      <c r="AB122" s="387"/>
      <c r="AC122" s="387"/>
      <c r="AE122" s="387"/>
      <c r="AF122" s="387"/>
      <c r="AG122" s="387"/>
      <c r="AH122" s="387"/>
      <c r="AI122" s="387"/>
      <c r="AJ122" s="387"/>
      <c r="AK122" s="387"/>
      <c r="AL122" s="387"/>
      <c r="AN122" s="387"/>
      <c r="AO122" s="387"/>
      <c r="AP122" s="387"/>
      <c r="AQ122" s="387"/>
      <c r="AR122" s="387"/>
      <c r="AS122" s="387"/>
      <c r="AT122" s="387"/>
      <c r="AU122" s="387"/>
      <c r="AV122" s="387"/>
      <c r="AW122" s="387"/>
      <c r="AX122" s="387"/>
      <c r="AY122" s="387"/>
      <c r="AZ122" s="387"/>
      <c r="BA122" s="387"/>
      <c r="BB122" s="387"/>
      <c r="BD122" s="606"/>
      <c r="BE122" s="616"/>
      <c r="BF122" s="616"/>
      <c r="BG122" s="9"/>
      <c r="BH122" s="48"/>
      <c r="BI122" s="387"/>
      <c r="BJ122" s="387"/>
      <c r="BK122" s="387"/>
      <c r="BL122" s="387"/>
      <c r="BM122" s="387"/>
    </row>
    <row r="123" spans="8:65" x14ac:dyDescent="0.2">
      <c r="H123" s="612"/>
      <c r="I123" s="4"/>
      <c r="L123" s="4"/>
      <c r="M123" s="4"/>
      <c r="Q123" s="387"/>
      <c r="R123" s="387"/>
      <c r="S123" s="387"/>
      <c r="T123" s="387"/>
      <c r="V123" s="387"/>
      <c r="W123" s="387"/>
      <c r="X123" s="387"/>
      <c r="Y123" s="387"/>
      <c r="Z123" s="605"/>
      <c r="AA123" s="387"/>
      <c r="AB123" s="387"/>
      <c r="AC123" s="387"/>
      <c r="AE123" s="387"/>
      <c r="AF123" s="387"/>
      <c r="AG123" s="387"/>
      <c r="AH123" s="387"/>
      <c r="AI123" s="387"/>
      <c r="AJ123" s="387"/>
      <c r="AK123" s="387"/>
      <c r="AL123" s="387"/>
      <c r="AN123" s="387"/>
      <c r="AO123" s="387"/>
      <c r="AP123" s="387"/>
      <c r="AQ123" s="387"/>
      <c r="AR123" s="387"/>
      <c r="AS123" s="387"/>
      <c r="AT123" s="387"/>
      <c r="AU123" s="387"/>
      <c r="AV123" s="387"/>
      <c r="AW123" s="387"/>
      <c r="AX123" s="387"/>
      <c r="AY123" s="387"/>
      <c r="AZ123" s="387"/>
      <c r="BA123" s="387"/>
      <c r="BB123" s="387"/>
      <c r="BD123" s="606"/>
      <c r="BE123" s="616"/>
      <c r="BF123" s="616"/>
      <c r="BG123" s="9"/>
      <c r="BH123" s="48"/>
      <c r="BI123" s="387"/>
      <c r="BJ123" s="387"/>
      <c r="BK123" s="387"/>
      <c r="BL123" s="387"/>
      <c r="BM123" s="387"/>
    </row>
    <row r="124" spans="8:65" x14ac:dyDescent="0.2">
      <c r="H124" s="612"/>
      <c r="I124" s="4"/>
      <c r="L124" s="4"/>
      <c r="M124" s="4"/>
      <c r="Q124" s="387"/>
      <c r="R124" s="387"/>
      <c r="S124" s="387"/>
      <c r="T124" s="387"/>
      <c r="V124" s="387"/>
      <c r="W124" s="387"/>
      <c r="X124" s="387"/>
      <c r="Y124" s="387"/>
      <c r="Z124" s="605"/>
      <c r="AA124" s="387"/>
      <c r="AB124" s="387"/>
      <c r="AC124" s="387"/>
      <c r="AE124" s="387"/>
      <c r="AF124" s="387"/>
      <c r="AG124" s="387"/>
      <c r="AH124" s="387"/>
      <c r="AI124" s="387"/>
      <c r="AJ124" s="387"/>
      <c r="AK124" s="387"/>
      <c r="AL124" s="387"/>
      <c r="AN124" s="387"/>
      <c r="AO124" s="387"/>
      <c r="AP124" s="387"/>
      <c r="AQ124" s="387"/>
      <c r="AR124" s="387"/>
      <c r="AS124" s="387"/>
      <c r="AT124" s="387"/>
      <c r="AU124" s="387"/>
      <c r="AV124" s="387"/>
      <c r="AW124" s="387"/>
      <c r="AX124" s="387"/>
      <c r="AY124" s="387"/>
      <c r="AZ124" s="387"/>
      <c r="BA124" s="387"/>
      <c r="BB124" s="387"/>
      <c r="BD124" s="606"/>
      <c r="BE124" s="616"/>
      <c r="BF124" s="616"/>
      <c r="BG124" s="9"/>
      <c r="BH124" s="48"/>
      <c r="BI124" s="387"/>
      <c r="BJ124" s="387"/>
      <c r="BK124" s="387"/>
      <c r="BL124" s="387"/>
      <c r="BM124" s="387"/>
    </row>
    <row r="125" spans="8:65" x14ac:dyDescent="0.2">
      <c r="H125" s="612"/>
      <c r="I125" s="4"/>
      <c r="L125" s="4"/>
      <c r="M125" s="4"/>
      <c r="Q125" s="387"/>
      <c r="R125" s="387"/>
      <c r="S125" s="387"/>
      <c r="T125" s="387"/>
      <c r="V125" s="387"/>
      <c r="W125" s="387"/>
      <c r="X125" s="387"/>
      <c r="Y125" s="387"/>
      <c r="Z125" s="605"/>
      <c r="AA125" s="387"/>
      <c r="AB125" s="387"/>
      <c r="AC125" s="387"/>
      <c r="AE125" s="387"/>
      <c r="AF125" s="387"/>
      <c r="AG125" s="387"/>
      <c r="AH125" s="387"/>
      <c r="AI125" s="387"/>
      <c r="AJ125" s="387"/>
      <c r="AK125" s="387"/>
      <c r="AL125" s="387"/>
      <c r="AN125" s="387"/>
      <c r="AO125" s="387"/>
      <c r="AP125" s="387"/>
      <c r="AQ125" s="387"/>
      <c r="AR125" s="387"/>
      <c r="AS125" s="387"/>
      <c r="AT125" s="387"/>
      <c r="AU125" s="387"/>
      <c r="AV125" s="387"/>
      <c r="AW125" s="387"/>
      <c r="AX125" s="387"/>
      <c r="AY125" s="387"/>
      <c r="AZ125" s="387"/>
      <c r="BA125" s="387"/>
      <c r="BB125" s="387"/>
      <c r="BD125" s="606"/>
      <c r="BE125" s="616"/>
      <c r="BF125" s="616"/>
      <c r="BG125" s="9"/>
      <c r="BH125" s="48"/>
      <c r="BI125" s="387"/>
      <c r="BJ125" s="387"/>
      <c r="BK125" s="387"/>
      <c r="BL125" s="387"/>
      <c r="BM125" s="387"/>
    </row>
    <row r="126" spans="8:65" x14ac:dyDescent="0.2">
      <c r="H126" s="612"/>
      <c r="I126" s="4"/>
      <c r="L126" s="4"/>
      <c r="M126" s="4"/>
      <c r="Q126" s="387"/>
      <c r="R126" s="387"/>
      <c r="S126" s="387"/>
      <c r="T126" s="387"/>
      <c r="V126" s="387"/>
      <c r="W126" s="387"/>
      <c r="X126" s="387"/>
      <c r="Y126" s="387"/>
      <c r="Z126" s="605"/>
      <c r="AA126" s="387"/>
      <c r="AB126" s="387"/>
      <c r="AC126" s="387"/>
      <c r="AE126" s="387"/>
      <c r="AF126" s="387"/>
      <c r="AG126" s="387"/>
      <c r="AH126" s="387"/>
      <c r="AI126" s="387"/>
      <c r="AJ126" s="387"/>
      <c r="AK126" s="387"/>
      <c r="AL126" s="387"/>
      <c r="AN126" s="387"/>
      <c r="AO126" s="387"/>
      <c r="AP126" s="387"/>
      <c r="AQ126" s="387"/>
      <c r="AR126" s="387"/>
      <c r="AS126" s="387"/>
      <c r="AT126" s="387"/>
      <c r="AU126" s="387"/>
      <c r="AV126" s="387"/>
      <c r="AW126" s="387"/>
      <c r="AX126" s="387"/>
      <c r="AY126" s="387"/>
      <c r="AZ126" s="387"/>
      <c r="BA126" s="387"/>
      <c r="BB126" s="387"/>
      <c r="BD126" s="606"/>
      <c r="BE126" s="616"/>
      <c r="BF126" s="616"/>
      <c r="BG126" s="9"/>
      <c r="BH126" s="48"/>
      <c r="BI126" s="387"/>
      <c r="BJ126" s="387"/>
      <c r="BK126" s="387"/>
      <c r="BL126" s="387"/>
      <c r="BM126" s="387"/>
    </row>
    <row r="127" spans="8:65" x14ac:dyDescent="0.2">
      <c r="H127" s="612"/>
      <c r="I127" s="4"/>
      <c r="L127" s="4"/>
      <c r="M127" s="4"/>
      <c r="Q127" s="387"/>
      <c r="R127" s="387"/>
      <c r="S127" s="387"/>
      <c r="T127" s="387"/>
      <c r="V127" s="387"/>
      <c r="W127" s="387"/>
      <c r="X127" s="387"/>
      <c r="Y127" s="387"/>
      <c r="Z127" s="605"/>
      <c r="AA127" s="387"/>
      <c r="AB127" s="387"/>
      <c r="AC127" s="387"/>
      <c r="AE127" s="387"/>
      <c r="AF127" s="387"/>
      <c r="AG127" s="387"/>
      <c r="AH127" s="387"/>
      <c r="AI127" s="387"/>
      <c r="AJ127" s="387"/>
      <c r="AK127" s="387"/>
      <c r="AL127" s="387"/>
      <c r="AN127" s="387"/>
      <c r="AO127" s="387"/>
      <c r="AP127" s="387"/>
      <c r="AQ127" s="387"/>
      <c r="AR127" s="387"/>
      <c r="AS127" s="387"/>
      <c r="AT127" s="387"/>
      <c r="AU127" s="387"/>
      <c r="AV127" s="387"/>
      <c r="AW127" s="387"/>
      <c r="AX127" s="387"/>
      <c r="AY127" s="387"/>
      <c r="AZ127" s="387"/>
      <c r="BA127" s="387"/>
      <c r="BB127" s="387"/>
      <c r="BD127" s="606"/>
      <c r="BE127" s="616"/>
      <c r="BF127" s="616"/>
      <c r="BG127" s="9"/>
      <c r="BH127" s="48"/>
      <c r="BI127" s="387"/>
      <c r="BJ127" s="387"/>
      <c r="BK127" s="387"/>
      <c r="BL127" s="387"/>
      <c r="BM127" s="387"/>
    </row>
    <row r="128" spans="8:65" x14ac:dyDescent="0.2">
      <c r="H128" s="612"/>
      <c r="I128" s="4"/>
      <c r="L128" s="4"/>
      <c r="M128" s="4"/>
      <c r="Q128" s="387"/>
      <c r="R128" s="387"/>
      <c r="S128" s="387"/>
      <c r="T128" s="387"/>
      <c r="V128" s="387"/>
      <c r="W128" s="387"/>
      <c r="X128" s="387"/>
      <c r="Y128" s="387"/>
      <c r="Z128" s="605"/>
      <c r="AA128" s="387"/>
      <c r="AB128" s="387"/>
      <c r="AC128" s="387"/>
      <c r="AE128" s="387"/>
      <c r="AF128" s="387"/>
      <c r="AG128" s="387"/>
      <c r="AH128" s="387"/>
      <c r="AI128" s="387"/>
      <c r="AJ128" s="387"/>
      <c r="AK128" s="387"/>
      <c r="AL128" s="387"/>
      <c r="AN128" s="387"/>
      <c r="AO128" s="387"/>
      <c r="AP128" s="387"/>
      <c r="AQ128" s="387"/>
      <c r="AR128" s="387"/>
      <c r="AS128" s="387"/>
      <c r="AT128" s="387"/>
      <c r="AU128" s="387"/>
      <c r="AV128" s="387"/>
      <c r="AW128" s="387"/>
      <c r="AX128" s="387"/>
      <c r="AY128" s="387"/>
      <c r="AZ128" s="387"/>
      <c r="BA128" s="387"/>
      <c r="BB128" s="387"/>
      <c r="BD128" s="606"/>
      <c r="BE128" s="616"/>
      <c r="BF128" s="616"/>
      <c r="BG128" s="9"/>
      <c r="BH128" s="48"/>
      <c r="BI128" s="387"/>
      <c r="BJ128" s="387"/>
      <c r="BK128" s="387"/>
      <c r="BL128" s="387"/>
      <c r="BM128" s="387"/>
    </row>
    <row r="129" spans="8:65" x14ac:dyDescent="0.2">
      <c r="H129" s="612"/>
      <c r="I129" s="4"/>
      <c r="L129" s="4"/>
      <c r="M129" s="4"/>
      <c r="Q129" s="387"/>
      <c r="R129" s="387"/>
      <c r="S129" s="387"/>
      <c r="T129" s="387"/>
      <c r="V129" s="387"/>
      <c r="W129" s="387"/>
      <c r="X129" s="387"/>
      <c r="Y129" s="387"/>
      <c r="Z129" s="605"/>
      <c r="AA129" s="387"/>
      <c r="AB129" s="387"/>
      <c r="AC129" s="387"/>
      <c r="AE129" s="387"/>
      <c r="AF129" s="387"/>
      <c r="AG129" s="387"/>
      <c r="AH129" s="387"/>
      <c r="AI129" s="387"/>
      <c r="AJ129" s="387"/>
      <c r="AK129" s="387"/>
      <c r="AL129" s="387"/>
      <c r="AN129" s="387"/>
      <c r="AO129" s="387"/>
      <c r="AP129" s="387"/>
      <c r="AQ129" s="387"/>
      <c r="AR129" s="387"/>
      <c r="AS129" s="387"/>
      <c r="AT129" s="387"/>
      <c r="AU129" s="387"/>
      <c r="AV129" s="387"/>
      <c r="AW129" s="387"/>
      <c r="AX129" s="387"/>
      <c r="AY129" s="387"/>
      <c r="AZ129" s="387"/>
      <c r="BA129" s="387"/>
      <c r="BB129" s="387"/>
      <c r="BD129" s="606"/>
      <c r="BE129" s="616"/>
      <c r="BF129" s="616"/>
      <c r="BG129" s="9"/>
      <c r="BH129" s="48"/>
      <c r="BI129" s="387"/>
      <c r="BJ129" s="387"/>
      <c r="BK129" s="387"/>
      <c r="BL129" s="387"/>
      <c r="BM129" s="387"/>
    </row>
    <row r="130" spans="8:65" x14ac:dyDescent="0.2">
      <c r="H130" s="612"/>
      <c r="I130" s="4"/>
      <c r="L130" s="4"/>
      <c r="M130" s="4"/>
      <c r="Q130" s="387"/>
      <c r="R130" s="387"/>
      <c r="S130" s="387"/>
      <c r="T130" s="387"/>
      <c r="V130" s="387"/>
      <c r="W130" s="387"/>
      <c r="X130" s="387"/>
      <c r="Y130" s="387"/>
      <c r="Z130" s="605"/>
      <c r="AA130" s="387"/>
      <c r="AB130" s="387"/>
      <c r="AC130" s="387"/>
      <c r="AE130" s="387"/>
      <c r="AF130" s="387"/>
      <c r="AG130" s="387"/>
      <c r="AH130" s="387"/>
      <c r="AI130" s="387"/>
      <c r="AJ130" s="387"/>
      <c r="AK130" s="387"/>
      <c r="AL130" s="387"/>
      <c r="AN130" s="387"/>
      <c r="AO130" s="387"/>
      <c r="AP130" s="387"/>
      <c r="AQ130" s="387"/>
      <c r="AR130" s="387"/>
      <c r="AS130" s="387"/>
      <c r="AT130" s="387"/>
      <c r="AU130" s="387"/>
      <c r="AV130" s="387"/>
      <c r="AW130" s="387"/>
      <c r="AX130" s="387"/>
      <c r="AY130" s="387"/>
      <c r="AZ130" s="387"/>
      <c r="BA130" s="387"/>
      <c r="BB130" s="387"/>
      <c r="BD130" s="606"/>
      <c r="BE130" s="616"/>
      <c r="BF130" s="616"/>
      <c r="BG130" s="9"/>
      <c r="BH130" s="48"/>
      <c r="BI130" s="387"/>
      <c r="BJ130" s="387"/>
      <c r="BK130" s="387"/>
      <c r="BL130" s="387"/>
      <c r="BM130" s="387"/>
    </row>
    <row r="131" spans="8:65" x14ac:dyDescent="0.2">
      <c r="H131" s="612"/>
      <c r="I131" s="4"/>
      <c r="L131" s="4"/>
      <c r="M131" s="4"/>
      <c r="Q131" s="387"/>
      <c r="R131" s="387"/>
      <c r="S131" s="387"/>
      <c r="T131" s="387"/>
      <c r="V131" s="387"/>
      <c r="W131" s="387"/>
      <c r="X131" s="387"/>
      <c r="Y131" s="387"/>
      <c r="Z131" s="605"/>
      <c r="AA131" s="387"/>
      <c r="AB131" s="387"/>
      <c r="AC131" s="387"/>
      <c r="AE131" s="387"/>
      <c r="AF131" s="387"/>
      <c r="AG131" s="387"/>
      <c r="AH131" s="387"/>
      <c r="AI131" s="387"/>
      <c r="AJ131" s="387"/>
      <c r="AK131" s="387"/>
      <c r="AL131" s="387"/>
      <c r="AN131" s="387"/>
      <c r="AO131" s="387"/>
      <c r="AP131" s="387"/>
      <c r="AQ131" s="387"/>
      <c r="AR131" s="387"/>
      <c r="AS131" s="387"/>
      <c r="AT131" s="387"/>
      <c r="AU131" s="387"/>
      <c r="AV131" s="387"/>
      <c r="AW131" s="387"/>
      <c r="AX131" s="387"/>
      <c r="AY131" s="387"/>
      <c r="AZ131" s="387"/>
      <c r="BA131" s="387"/>
      <c r="BB131" s="387"/>
      <c r="BD131" s="606"/>
      <c r="BE131" s="616"/>
      <c r="BF131" s="616"/>
      <c r="BG131" s="9"/>
      <c r="BH131" s="48"/>
      <c r="BI131" s="387"/>
      <c r="BJ131" s="387"/>
      <c r="BK131" s="387"/>
      <c r="BL131" s="387"/>
      <c r="BM131" s="387"/>
    </row>
    <row r="132" spans="8:65" x14ac:dyDescent="0.2">
      <c r="H132" s="612"/>
      <c r="I132" s="4"/>
      <c r="L132" s="4"/>
      <c r="M132" s="4"/>
      <c r="Q132" s="387"/>
      <c r="R132" s="387"/>
      <c r="S132" s="387"/>
      <c r="T132" s="387"/>
      <c r="V132" s="387"/>
      <c r="W132" s="387"/>
      <c r="X132" s="387"/>
      <c r="Y132" s="387"/>
      <c r="Z132" s="605"/>
      <c r="AA132" s="387"/>
      <c r="AB132" s="387"/>
      <c r="AC132" s="387"/>
      <c r="AE132" s="387"/>
      <c r="AF132" s="387"/>
      <c r="AG132" s="387"/>
      <c r="AH132" s="387"/>
      <c r="AI132" s="387"/>
      <c r="AJ132" s="387"/>
      <c r="AK132" s="387"/>
      <c r="AL132" s="387"/>
      <c r="AN132" s="387"/>
      <c r="AO132" s="387"/>
      <c r="AP132" s="387"/>
      <c r="AQ132" s="387"/>
      <c r="AR132" s="387"/>
      <c r="AS132" s="387"/>
      <c r="AT132" s="387"/>
      <c r="AU132" s="387"/>
      <c r="AV132" s="387"/>
      <c r="AW132" s="387"/>
      <c r="AX132" s="387"/>
      <c r="AY132" s="387"/>
      <c r="AZ132" s="387"/>
      <c r="BA132" s="387"/>
      <c r="BB132" s="387"/>
      <c r="BD132" s="606"/>
      <c r="BE132" s="616"/>
      <c r="BF132" s="616"/>
      <c r="BG132" s="9"/>
      <c r="BH132" s="48"/>
      <c r="BI132" s="387"/>
      <c r="BJ132" s="387"/>
      <c r="BK132" s="387"/>
      <c r="BL132" s="387"/>
      <c r="BM132" s="387"/>
    </row>
    <row r="133" spans="8:65" x14ac:dyDescent="0.2">
      <c r="H133" s="612"/>
      <c r="I133" s="4"/>
      <c r="L133" s="4"/>
      <c r="M133" s="4"/>
      <c r="Q133" s="387"/>
      <c r="R133" s="387"/>
      <c r="S133" s="387"/>
      <c r="T133" s="387"/>
      <c r="V133" s="387"/>
      <c r="W133" s="387"/>
      <c r="X133" s="387"/>
      <c r="Y133" s="387"/>
      <c r="Z133" s="605"/>
      <c r="AA133" s="387"/>
      <c r="AB133" s="387"/>
      <c r="AC133" s="387"/>
      <c r="AE133" s="387"/>
      <c r="AF133" s="387"/>
      <c r="AG133" s="387"/>
      <c r="AH133" s="387"/>
      <c r="AI133" s="387"/>
      <c r="AJ133" s="387"/>
      <c r="AK133" s="387"/>
      <c r="AL133" s="387"/>
      <c r="AN133" s="387"/>
      <c r="AO133" s="387"/>
      <c r="AP133" s="387"/>
      <c r="AQ133" s="387"/>
      <c r="AR133" s="387"/>
      <c r="AS133" s="387"/>
      <c r="AT133" s="387"/>
      <c r="AU133" s="387"/>
      <c r="AV133" s="387"/>
      <c r="AW133" s="387"/>
      <c r="AX133" s="387"/>
      <c r="AY133" s="387"/>
      <c r="AZ133" s="387"/>
      <c r="BA133" s="387"/>
      <c r="BB133" s="387"/>
      <c r="BD133" s="606"/>
      <c r="BE133" s="616"/>
      <c r="BF133" s="616"/>
      <c r="BG133" s="9"/>
      <c r="BH133" s="48"/>
      <c r="BI133" s="387"/>
      <c r="BJ133" s="387"/>
      <c r="BK133" s="387"/>
      <c r="BL133" s="387"/>
      <c r="BM133" s="387"/>
    </row>
    <row r="134" spans="8:65" x14ac:dyDescent="0.2">
      <c r="H134" s="612"/>
      <c r="I134" s="4"/>
      <c r="L134" s="4"/>
      <c r="M134" s="4"/>
      <c r="Q134" s="387"/>
      <c r="R134" s="387"/>
      <c r="S134" s="387"/>
      <c r="T134" s="387"/>
      <c r="V134" s="387"/>
      <c r="W134" s="387"/>
      <c r="X134" s="387"/>
      <c r="Y134" s="387"/>
      <c r="Z134" s="605"/>
      <c r="AA134" s="387"/>
      <c r="AB134" s="387"/>
      <c r="AC134" s="387"/>
      <c r="AE134" s="387"/>
      <c r="AF134" s="387"/>
      <c r="AG134" s="387"/>
      <c r="AH134" s="387"/>
      <c r="AI134" s="387"/>
      <c r="AJ134" s="387"/>
      <c r="AK134" s="387"/>
      <c r="AL134" s="387"/>
      <c r="AN134" s="387"/>
      <c r="AO134" s="387"/>
      <c r="AP134" s="387"/>
      <c r="AQ134" s="387"/>
      <c r="AR134" s="387"/>
      <c r="AS134" s="387"/>
      <c r="AT134" s="387"/>
      <c r="AU134" s="387"/>
      <c r="AV134" s="387"/>
      <c r="AW134" s="387"/>
      <c r="AX134" s="387"/>
      <c r="AY134" s="387"/>
      <c r="AZ134" s="387"/>
      <c r="BA134" s="387"/>
      <c r="BB134" s="387"/>
      <c r="BD134" s="606"/>
      <c r="BE134" s="616"/>
      <c r="BF134" s="616"/>
      <c r="BG134" s="9"/>
      <c r="BH134" s="48"/>
      <c r="BI134" s="387"/>
      <c r="BJ134" s="387"/>
      <c r="BK134" s="387"/>
      <c r="BL134" s="387"/>
      <c r="BM134" s="387"/>
    </row>
    <row r="135" spans="8:65" x14ac:dyDescent="0.2">
      <c r="H135" s="612"/>
      <c r="I135" s="4"/>
      <c r="L135" s="4"/>
      <c r="M135" s="4"/>
      <c r="Q135" s="387"/>
      <c r="R135" s="387"/>
      <c r="S135" s="387"/>
      <c r="T135" s="387"/>
      <c r="V135" s="387"/>
      <c r="W135" s="387"/>
      <c r="X135" s="387"/>
      <c r="Y135" s="387"/>
      <c r="Z135" s="605"/>
      <c r="AA135" s="387"/>
      <c r="AB135" s="387"/>
      <c r="AC135" s="387"/>
      <c r="AE135" s="387"/>
      <c r="AF135" s="387"/>
      <c r="AG135" s="387"/>
      <c r="AH135" s="387"/>
      <c r="AI135" s="387"/>
      <c r="AJ135" s="387"/>
      <c r="AK135" s="387"/>
      <c r="AL135" s="387"/>
      <c r="AN135" s="387"/>
      <c r="AO135" s="387"/>
      <c r="AP135" s="387"/>
      <c r="AQ135" s="387"/>
      <c r="AR135" s="387"/>
      <c r="AS135" s="387"/>
      <c r="AT135" s="387"/>
      <c r="AU135" s="387"/>
      <c r="AV135" s="387"/>
      <c r="AW135" s="387"/>
      <c r="AX135" s="387"/>
      <c r="AY135" s="387"/>
      <c r="AZ135" s="387"/>
      <c r="BA135" s="387"/>
      <c r="BB135" s="387"/>
      <c r="BD135" s="606"/>
      <c r="BE135" s="616"/>
      <c r="BF135" s="616"/>
      <c r="BG135" s="9"/>
      <c r="BH135" s="48"/>
      <c r="BI135" s="387"/>
      <c r="BJ135" s="387"/>
      <c r="BK135" s="387"/>
      <c r="BL135" s="387"/>
      <c r="BM135" s="387"/>
    </row>
    <row r="136" spans="8:65" x14ac:dyDescent="0.2">
      <c r="H136" s="612"/>
      <c r="I136" s="4"/>
      <c r="L136" s="4"/>
      <c r="M136" s="4"/>
      <c r="Q136" s="387"/>
      <c r="R136" s="387"/>
      <c r="S136" s="387"/>
      <c r="T136" s="387"/>
      <c r="V136" s="387"/>
      <c r="W136" s="387"/>
      <c r="X136" s="387"/>
      <c r="Y136" s="387"/>
      <c r="Z136" s="605"/>
      <c r="AA136" s="387"/>
      <c r="AB136" s="387"/>
      <c r="AC136" s="387"/>
      <c r="AE136" s="387"/>
      <c r="AF136" s="387"/>
      <c r="AG136" s="387"/>
      <c r="AH136" s="387"/>
      <c r="AI136" s="387"/>
      <c r="AJ136" s="387"/>
      <c r="AK136" s="387"/>
      <c r="AL136" s="387"/>
      <c r="AN136" s="387"/>
      <c r="AO136" s="387"/>
      <c r="AP136" s="387"/>
      <c r="AQ136" s="387"/>
      <c r="AR136" s="387"/>
      <c r="AS136" s="387"/>
      <c r="AT136" s="387"/>
      <c r="AU136" s="387"/>
      <c r="AV136" s="387"/>
      <c r="AW136" s="387"/>
      <c r="AX136" s="387"/>
      <c r="AY136" s="387"/>
      <c r="AZ136" s="387"/>
      <c r="BA136" s="387"/>
      <c r="BB136" s="387"/>
      <c r="BD136" s="606"/>
      <c r="BE136" s="616"/>
      <c r="BF136" s="616"/>
      <c r="BG136" s="9"/>
      <c r="BH136" s="48"/>
      <c r="BI136" s="387"/>
      <c r="BJ136" s="387"/>
      <c r="BK136" s="387"/>
      <c r="BL136" s="387"/>
      <c r="BM136" s="387"/>
    </row>
    <row r="137" spans="8:65" x14ac:dyDescent="0.2">
      <c r="H137" s="612"/>
      <c r="I137" s="4"/>
      <c r="L137" s="4"/>
      <c r="M137" s="4"/>
      <c r="Q137" s="387"/>
      <c r="R137" s="387"/>
      <c r="S137" s="387"/>
      <c r="T137" s="387"/>
      <c r="V137" s="387"/>
      <c r="W137" s="387"/>
      <c r="X137" s="387"/>
      <c r="Y137" s="387"/>
      <c r="Z137" s="605"/>
      <c r="AA137" s="387"/>
      <c r="AB137" s="387"/>
      <c r="AC137" s="387"/>
      <c r="AE137" s="387"/>
      <c r="AF137" s="387"/>
      <c r="AG137" s="387"/>
      <c r="AH137" s="387"/>
      <c r="AI137" s="387"/>
      <c r="AJ137" s="387"/>
      <c r="AK137" s="387"/>
      <c r="AL137" s="387"/>
      <c r="AN137" s="387"/>
      <c r="AO137" s="387"/>
      <c r="AP137" s="387"/>
      <c r="AQ137" s="387"/>
      <c r="AR137" s="387"/>
      <c r="AS137" s="387"/>
      <c r="AT137" s="387"/>
      <c r="AU137" s="387"/>
      <c r="AV137" s="387"/>
      <c r="AW137" s="387"/>
      <c r="AX137" s="387"/>
      <c r="AY137" s="387"/>
      <c r="AZ137" s="387"/>
      <c r="BA137" s="387"/>
      <c r="BB137" s="387"/>
      <c r="BD137" s="606"/>
      <c r="BE137" s="616"/>
      <c r="BF137" s="616"/>
      <c r="BG137" s="9"/>
      <c r="BH137" s="48"/>
      <c r="BI137" s="387"/>
      <c r="BJ137" s="387"/>
      <c r="BK137" s="387"/>
      <c r="BL137" s="387"/>
      <c r="BM137" s="387"/>
    </row>
    <row r="138" spans="8:65" x14ac:dyDescent="0.2">
      <c r="H138" s="612"/>
      <c r="I138" s="4"/>
      <c r="L138" s="4"/>
      <c r="M138" s="4"/>
      <c r="Q138" s="387"/>
      <c r="R138" s="387"/>
      <c r="S138" s="387"/>
      <c r="T138" s="387"/>
      <c r="V138" s="387"/>
      <c r="W138" s="387"/>
      <c r="X138" s="387"/>
      <c r="Y138" s="387"/>
      <c r="Z138" s="605"/>
      <c r="AA138" s="387"/>
      <c r="AB138" s="387"/>
      <c r="AC138" s="387"/>
      <c r="AE138" s="387"/>
      <c r="AF138" s="387"/>
      <c r="AG138" s="387"/>
      <c r="AH138" s="387"/>
      <c r="AI138" s="387"/>
      <c r="AJ138" s="387"/>
      <c r="AK138" s="387"/>
      <c r="AL138" s="387"/>
      <c r="AN138" s="387"/>
      <c r="AO138" s="387"/>
      <c r="AP138" s="387"/>
      <c r="AQ138" s="387"/>
      <c r="AR138" s="387"/>
      <c r="AS138" s="387"/>
      <c r="AT138" s="387"/>
      <c r="AU138" s="387"/>
      <c r="AV138" s="387"/>
      <c r="AW138" s="387"/>
      <c r="AX138" s="387"/>
      <c r="AY138" s="387"/>
      <c r="AZ138" s="387"/>
      <c r="BA138" s="387"/>
      <c r="BB138" s="387"/>
      <c r="BD138" s="606"/>
      <c r="BE138" s="616"/>
      <c r="BF138" s="616"/>
      <c r="BG138" s="9"/>
      <c r="BH138" s="48"/>
      <c r="BI138" s="387"/>
      <c r="BJ138" s="387"/>
      <c r="BK138" s="387"/>
      <c r="BL138" s="387"/>
      <c r="BM138" s="387"/>
    </row>
    <row r="139" spans="8:65" x14ac:dyDescent="0.2">
      <c r="H139" s="612"/>
      <c r="I139" s="4"/>
      <c r="L139" s="4"/>
      <c r="M139" s="4"/>
      <c r="Q139" s="387"/>
      <c r="R139" s="387"/>
      <c r="S139" s="387"/>
      <c r="T139" s="387"/>
      <c r="V139" s="387"/>
      <c r="W139" s="387"/>
      <c r="X139" s="387"/>
      <c r="Y139" s="387"/>
      <c r="Z139" s="605"/>
      <c r="AA139" s="387"/>
      <c r="AB139" s="387"/>
      <c r="AC139" s="387"/>
      <c r="AE139" s="387"/>
      <c r="AF139" s="387"/>
      <c r="AG139" s="387"/>
      <c r="AH139" s="387"/>
      <c r="AI139" s="387"/>
      <c r="AJ139" s="387"/>
      <c r="AK139" s="387"/>
      <c r="AL139" s="387"/>
      <c r="AN139" s="387"/>
      <c r="AO139" s="387"/>
      <c r="AP139" s="387"/>
      <c r="AQ139" s="387"/>
      <c r="AR139" s="387"/>
      <c r="AS139" s="387"/>
      <c r="AT139" s="387"/>
      <c r="AU139" s="387"/>
      <c r="AV139" s="387"/>
      <c r="AW139" s="387"/>
      <c r="AX139" s="387"/>
      <c r="AY139" s="387"/>
      <c r="AZ139" s="387"/>
      <c r="BA139" s="387"/>
      <c r="BB139" s="387"/>
      <c r="BD139" s="606"/>
      <c r="BE139" s="616"/>
      <c r="BF139" s="616"/>
      <c r="BG139" s="9"/>
      <c r="BH139" s="48"/>
      <c r="BI139" s="387"/>
      <c r="BJ139" s="387"/>
      <c r="BK139" s="387"/>
      <c r="BL139" s="387"/>
      <c r="BM139" s="387"/>
    </row>
    <row r="140" spans="8:65" x14ac:dyDescent="0.2">
      <c r="H140" s="612"/>
      <c r="I140" s="4"/>
      <c r="L140" s="4"/>
      <c r="M140" s="4"/>
      <c r="Q140" s="387"/>
      <c r="R140" s="387"/>
      <c r="S140" s="387"/>
      <c r="T140" s="387"/>
      <c r="V140" s="387"/>
      <c r="W140" s="387"/>
      <c r="X140" s="387"/>
      <c r="Y140" s="387"/>
      <c r="Z140" s="605"/>
      <c r="AA140" s="387"/>
      <c r="AB140" s="387"/>
      <c r="AC140" s="387"/>
      <c r="AE140" s="387"/>
      <c r="AF140" s="387"/>
      <c r="AG140" s="387"/>
      <c r="AH140" s="387"/>
      <c r="AI140" s="387"/>
      <c r="AJ140" s="387"/>
      <c r="AK140" s="387"/>
      <c r="AL140" s="387"/>
      <c r="AN140" s="387"/>
      <c r="AO140" s="387"/>
      <c r="AP140" s="387"/>
      <c r="AQ140" s="387"/>
      <c r="AR140" s="387"/>
      <c r="AS140" s="387"/>
      <c r="AT140" s="387"/>
      <c r="AU140" s="387"/>
      <c r="AV140" s="387"/>
      <c r="AW140" s="387"/>
      <c r="AX140" s="387"/>
      <c r="AY140" s="387"/>
      <c r="AZ140" s="387"/>
      <c r="BA140" s="387"/>
      <c r="BB140" s="387"/>
      <c r="BD140" s="606"/>
      <c r="BE140" s="616"/>
      <c r="BF140" s="616"/>
      <c r="BG140" s="9"/>
      <c r="BH140" s="48"/>
      <c r="BI140" s="387"/>
      <c r="BJ140" s="387"/>
      <c r="BK140" s="387"/>
      <c r="BL140" s="387"/>
      <c r="BM140" s="387"/>
    </row>
    <row r="141" spans="8:65" x14ac:dyDescent="0.2">
      <c r="H141" s="612"/>
      <c r="I141" s="4"/>
      <c r="L141" s="4"/>
      <c r="M141" s="4"/>
      <c r="Q141" s="387"/>
      <c r="R141" s="387"/>
      <c r="S141" s="387"/>
      <c r="T141" s="387"/>
      <c r="V141" s="387"/>
      <c r="W141" s="387"/>
      <c r="X141" s="387"/>
      <c r="Y141" s="387"/>
      <c r="Z141" s="605"/>
      <c r="AA141" s="387"/>
      <c r="AB141" s="387"/>
      <c r="AC141" s="387"/>
      <c r="AE141" s="387"/>
      <c r="AF141" s="387"/>
      <c r="AG141" s="387"/>
      <c r="AH141" s="387"/>
      <c r="AI141" s="387"/>
      <c r="AJ141" s="387"/>
      <c r="AK141" s="387"/>
      <c r="AL141" s="387"/>
      <c r="AN141" s="387"/>
      <c r="AO141" s="387"/>
      <c r="AP141" s="387"/>
      <c r="AQ141" s="387"/>
      <c r="AR141" s="387"/>
      <c r="AS141" s="387"/>
      <c r="AT141" s="387"/>
      <c r="AU141" s="387"/>
      <c r="AV141" s="387"/>
      <c r="AW141" s="387"/>
      <c r="AX141" s="387"/>
      <c r="AY141" s="387"/>
      <c r="AZ141" s="387"/>
      <c r="BA141" s="387"/>
      <c r="BB141" s="387"/>
      <c r="BD141" s="606"/>
      <c r="BE141" s="616"/>
      <c r="BF141" s="616"/>
      <c r="BG141" s="9"/>
      <c r="BH141" s="48"/>
      <c r="BI141" s="387"/>
      <c r="BJ141" s="387"/>
      <c r="BK141" s="387"/>
      <c r="BL141" s="387"/>
      <c r="BM141" s="387"/>
    </row>
    <row r="142" spans="8:65" x14ac:dyDescent="0.2">
      <c r="H142" s="612"/>
      <c r="I142" s="4"/>
      <c r="L142" s="4"/>
      <c r="M142" s="4"/>
      <c r="Q142" s="387"/>
      <c r="R142" s="387"/>
      <c r="S142" s="387"/>
      <c r="T142" s="387"/>
      <c r="V142" s="387"/>
      <c r="W142" s="387"/>
      <c r="X142" s="387"/>
      <c r="Y142" s="387"/>
      <c r="Z142" s="605"/>
      <c r="AA142" s="387"/>
      <c r="AB142" s="387"/>
      <c r="AC142" s="387"/>
      <c r="AE142" s="387"/>
      <c r="AF142" s="387"/>
      <c r="AG142" s="387"/>
      <c r="AH142" s="387"/>
      <c r="AI142" s="387"/>
      <c r="AJ142" s="387"/>
      <c r="AK142" s="387"/>
      <c r="AL142" s="387"/>
      <c r="AN142" s="387"/>
      <c r="AO142" s="387"/>
      <c r="AP142" s="387"/>
      <c r="AQ142" s="387"/>
      <c r="AR142" s="387"/>
      <c r="AS142" s="387"/>
      <c r="AT142" s="387"/>
      <c r="AU142" s="387"/>
      <c r="AV142" s="387"/>
      <c r="AW142" s="387"/>
      <c r="AX142" s="387"/>
      <c r="AY142" s="387"/>
      <c r="AZ142" s="387"/>
      <c r="BA142" s="387"/>
      <c r="BB142" s="387"/>
      <c r="BD142" s="606"/>
      <c r="BE142" s="616"/>
      <c r="BF142" s="616"/>
      <c r="BG142" s="9"/>
      <c r="BH142" s="48"/>
      <c r="BI142" s="387"/>
      <c r="BJ142" s="387"/>
      <c r="BK142" s="387"/>
      <c r="BL142" s="387"/>
      <c r="BM142" s="387"/>
    </row>
    <row r="143" spans="8:65" x14ac:dyDescent="0.2">
      <c r="H143" s="612"/>
      <c r="I143" s="4"/>
      <c r="L143" s="4"/>
      <c r="M143" s="4"/>
      <c r="Q143" s="387"/>
      <c r="R143" s="387"/>
      <c r="S143" s="387"/>
      <c r="T143" s="387"/>
      <c r="V143" s="387"/>
      <c r="W143" s="387"/>
      <c r="X143" s="387"/>
      <c r="Y143" s="387"/>
      <c r="Z143" s="605"/>
      <c r="AA143" s="387"/>
      <c r="AB143" s="387"/>
      <c r="AC143" s="387"/>
      <c r="AE143" s="387"/>
      <c r="AF143" s="387"/>
      <c r="AG143" s="387"/>
      <c r="AH143" s="387"/>
      <c r="AI143" s="387"/>
      <c r="AJ143" s="387"/>
      <c r="AK143" s="387"/>
      <c r="AL143" s="387"/>
      <c r="AN143" s="387"/>
      <c r="AO143" s="387"/>
      <c r="AP143" s="387"/>
      <c r="AQ143" s="387"/>
      <c r="AR143" s="387"/>
      <c r="AS143" s="387"/>
      <c r="AT143" s="387"/>
      <c r="AU143" s="387"/>
      <c r="AV143" s="387"/>
      <c r="AW143" s="387"/>
      <c r="AX143" s="387"/>
      <c r="AY143" s="387"/>
      <c r="AZ143" s="387"/>
      <c r="BA143" s="387"/>
      <c r="BB143" s="387"/>
      <c r="BD143" s="606"/>
      <c r="BE143" s="616"/>
      <c r="BF143" s="616"/>
      <c r="BG143" s="9"/>
      <c r="BH143" s="48"/>
      <c r="BI143" s="387"/>
      <c r="BJ143" s="387"/>
      <c r="BK143" s="387"/>
      <c r="BL143" s="387"/>
      <c r="BM143" s="387"/>
    </row>
    <row r="144" spans="8:65" x14ac:dyDescent="0.2">
      <c r="H144" s="612"/>
      <c r="I144" s="4"/>
      <c r="L144" s="4"/>
      <c r="M144" s="4"/>
      <c r="Q144" s="387"/>
      <c r="R144" s="387"/>
      <c r="S144" s="387"/>
      <c r="T144" s="387"/>
      <c r="V144" s="387"/>
      <c r="W144" s="387"/>
      <c r="X144" s="387"/>
      <c r="Y144" s="387"/>
      <c r="Z144" s="605"/>
      <c r="AA144" s="387"/>
      <c r="AB144" s="387"/>
      <c r="AC144" s="387"/>
      <c r="AE144" s="387"/>
      <c r="AF144" s="387"/>
      <c r="AG144" s="387"/>
      <c r="AH144" s="387"/>
      <c r="AI144" s="387"/>
      <c r="AJ144" s="387"/>
      <c r="AK144" s="387"/>
      <c r="AL144" s="387"/>
      <c r="AN144" s="387"/>
      <c r="AO144" s="387"/>
      <c r="AP144" s="387"/>
      <c r="AQ144" s="387"/>
      <c r="AR144" s="387"/>
      <c r="AS144" s="387"/>
      <c r="AT144" s="387"/>
      <c r="AU144" s="387"/>
      <c r="AV144" s="387"/>
      <c r="AW144" s="387"/>
      <c r="AX144" s="387"/>
      <c r="AY144" s="387"/>
      <c r="AZ144" s="387"/>
      <c r="BA144" s="387"/>
      <c r="BB144" s="387"/>
      <c r="BD144" s="606"/>
      <c r="BE144" s="616"/>
      <c r="BF144" s="616"/>
      <c r="BG144" s="9"/>
      <c r="BH144" s="48"/>
      <c r="BI144" s="387"/>
      <c r="BJ144" s="387"/>
      <c r="BK144" s="387"/>
      <c r="BL144" s="387"/>
      <c r="BM144" s="387"/>
    </row>
    <row r="145" spans="8:65" x14ac:dyDescent="0.2">
      <c r="H145" s="612"/>
      <c r="I145" s="4"/>
      <c r="L145" s="4"/>
      <c r="M145" s="4"/>
      <c r="Q145" s="387"/>
      <c r="R145" s="387"/>
      <c r="S145" s="387"/>
      <c r="T145" s="387"/>
      <c r="V145" s="387"/>
      <c r="W145" s="387"/>
      <c r="X145" s="387"/>
      <c r="Y145" s="387"/>
      <c r="Z145" s="605"/>
      <c r="AA145" s="387"/>
      <c r="AB145" s="387"/>
      <c r="AC145" s="387"/>
      <c r="AE145" s="387"/>
      <c r="AF145" s="387"/>
      <c r="AG145" s="387"/>
      <c r="AH145" s="387"/>
      <c r="AI145" s="387"/>
      <c r="AJ145" s="387"/>
      <c r="AK145" s="387"/>
      <c r="AL145" s="387"/>
      <c r="AN145" s="387"/>
      <c r="AO145" s="387"/>
      <c r="AP145" s="387"/>
      <c r="AQ145" s="387"/>
      <c r="AR145" s="387"/>
      <c r="AS145" s="387"/>
      <c r="AT145" s="387"/>
      <c r="AU145" s="387"/>
      <c r="AV145" s="387"/>
      <c r="AW145" s="387"/>
      <c r="AX145" s="387"/>
      <c r="AY145" s="387"/>
      <c r="AZ145" s="387"/>
      <c r="BA145" s="387"/>
      <c r="BB145" s="387"/>
      <c r="BD145" s="606"/>
      <c r="BE145" s="616"/>
      <c r="BF145" s="616"/>
      <c r="BG145" s="9"/>
      <c r="BH145" s="48"/>
      <c r="BI145" s="387"/>
      <c r="BJ145" s="387"/>
      <c r="BK145" s="387"/>
      <c r="BL145" s="387"/>
      <c r="BM145" s="387"/>
    </row>
    <row r="146" spans="8:65" x14ac:dyDescent="0.2">
      <c r="H146" s="612"/>
      <c r="I146" s="4"/>
      <c r="L146" s="4"/>
      <c r="M146" s="4"/>
      <c r="Q146" s="387"/>
      <c r="R146" s="387"/>
      <c r="S146" s="387"/>
      <c r="T146" s="387"/>
      <c r="V146" s="387"/>
      <c r="W146" s="387"/>
      <c r="X146" s="387"/>
      <c r="Y146" s="387"/>
      <c r="Z146" s="605"/>
      <c r="AA146" s="387"/>
      <c r="AB146" s="387"/>
      <c r="AC146" s="387"/>
      <c r="AE146" s="387"/>
      <c r="AF146" s="387"/>
      <c r="AG146" s="387"/>
      <c r="AH146" s="387"/>
      <c r="AI146" s="387"/>
      <c r="AJ146" s="387"/>
      <c r="AK146" s="387"/>
      <c r="AL146" s="387"/>
      <c r="AN146" s="387"/>
      <c r="AO146" s="387"/>
      <c r="AP146" s="387"/>
      <c r="AQ146" s="387"/>
      <c r="AR146" s="387"/>
      <c r="AS146" s="387"/>
      <c r="AT146" s="387"/>
      <c r="AU146" s="387"/>
      <c r="AV146" s="387"/>
      <c r="AW146" s="387"/>
      <c r="AX146" s="387"/>
      <c r="AY146" s="387"/>
      <c r="AZ146" s="387"/>
      <c r="BA146" s="387"/>
      <c r="BB146" s="387"/>
      <c r="BD146" s="606"/>
      <c r="BE146" s="616"/>
      <c r="BF146" s="616"/>
      <c r="BG146" s="9"/>
      <c r="BH146" s="48"/>
      <c r="BI146" s="387"/>
      <c r="BJ146" s="387"/>
      <c r="BK146" s="387"/>
      <c r="BL146" s="387"/>
      <c r="BM146" s="387"/>
    </row>
    <row r="147" spans="8:65" x14ac:dyDescent="0.2">
      <c r="H147" s="612"/>
      <c r="I147" s="4"/>
      <c r="L147" s="4"/>
      <c r="M147" s="4"/>
      <c r="Q147" s="387"/>
      <c r="R147" s="387"/>
      <c r="S147" s="387"/>
      <c r="T147" s="387"/>
      <c r="V147" s="387"/>
      <c r="W147" s="387"/>
      <c r="X147" s="387"/>
      <c r="Y147" s="387"/>
      <c r="Z147" s="605"/>
      <c r="AA147" s="387"/>
      <c r="AB147" s="387"/>
      <c r="AC147" s="387"/>
      <c r="AE147" s="387"/>
      <c r="AF147" s="387"/>
      <c r="AG147" s="387"/>
      <c r="AH147" s="387"/>
      <c r="AI147" s="387"/>
      <c r="AJ147" s="387"/>
      <c r="AK147" s="387"/>
      <c r="AL147" s="387"/>
      <c r="AN147" s="387"/>
      <c r="AO147" s="387"/>
      <c r="AP147" s="387"/>
      <c r="AQ147" s="387"/>
      <c r="AR147" s="387"/>
      <c r="AS147" s="387"/>
      <c r="AT147" s="387"/>
      <c r="AU147" s="387"/>
      <c r="AV147" s="387"/>
      <c r="AW147" s="387"/>
      <c r="AX147" s="387"/>
      <c r="AY147" s="387"/>
      <c r="AZ147" s="387"/>
      <c r="BA147" s="387"/>
      <c r="BB147" s="387"/>
      <c r="BD147" s="606"/>
      <c r="BE147" s="616"/>
      <c r="BF147" s="616"/>
      <c r="BG147" s="9"/>
      <c r="BH147" s="48"/>
      <c r="BI147" s="387"/>
      <c r="BJ147" s="387"/>
      <c r="BK147" s="387"/>
      <c r="BL147" s="387"/>
      <c r="BM147" s="387"/>
    </row>
    <row r="148" spans="8:65" x14ac:dyDescent="0.2">
      <c r="H148" s="612"/>
      <c r="I148" s="4"/>
      <c r="L148" s="4"/>
      <c r="M148" s="4"/>
      <c r="Q148" s="387"/>
      <c r="R148" s="387"/>
      <c r="S148" s="387"/>
      <c r="T148" s="387"/>
      <c r="V148" s="387"/>
      <c r="W148" s="387"/>
      <c r="X148" s="387"/>
      <c r="Y148" s="387"/>
      <c r="Z148" s="605"/>
      <c r="AA148" s="387"/>
      <c r="AB148" s="387"/>
      <c r="AC148" s="387"/>
      <c r="AE148" s="387"/>
      <c r="AF148" s="387"/>
      <c r="AG148" s="387"/>
      <c r="AH148" s="387"/>
      <c r="AI148" s="387"/>
      <c r="AJ148" s="387"/>
      <c r="AK148" s="387"/>
      <c r="AL148" s="387"/>
      <c r="AN148" s="387"/>
      <c r="AO148" s="387"/>
      <c r="AP148" s="387"/>
      <c r="AQ148" s="387"/>
      <c r="AR148" s="387"/>
      <c r="AS148" s="387"/>
      <c r="AT148" s="387"/>
      <c r="AU148" s="387"/>
      <c r="AV148" s="387"/>
      <c r="AW148" s="387"/>
      <c r="AX148" s="387"/>
      <c r="AY148" s="387"/>
      <c r="AZ148" s="387"/>
      <c r="BA148" s="387"/>
      <c r="BB148" s="387"/>
      <c r="BD148" s="606"/>
      <c r="BE148" s="616"/>
      <c r="BF148" s="616"/>
      <c r="BG148" s="9"/>
      <c r="BH148" s="48"/>
      <c r="BI148" s="387"/>
      <c r="BJ148" s="387"/>
      <c r="BK148" s="387"/>
      <c r="BL148" s="387"/>
      <c r="BM148" s="387"/>
    </row>
    <row r="149" spans="8:65" x14ac:dyDescent="0.2">
      <c r="H149" s="612"/>
      <c r="I149" s="4"/>
      <c r="L149" s="4"/>
      <c r="M149" s="4"/>
      <c r="Q149" s="387"/>
      <c r="R149" s="387"/>
      <c r="S149" s="387"/>
      <c r="T149" s="387"/>
      <c r="V149" s="387"/>
      <c r="W149" s="387"/>
      <c r="X149" s="387"/>
      <c r="Y149" s="387"/>
      <c r="Z149" s="605"/>
      <c r="AA149" s="387"/>
      <c r="AB149" s="387"/>
      <c r="AC149" s="387"/>
      <c r="AE149" s="387"/>
      <c r="AF149" s="387"/>
      <c r="AG149" s="387"/>
      <c r="AH149" s="387"/>
      <c r="AI149" s="387"/>
      <c r="AJ149" s="387"/>
      <c r="AK149" s="387"/>
      <c r="AL149" s="387"/>
      <c r="AN149" s="387"/>
      <c r="AO149" s="387"/>
      <c r="AP149" s="387"/>
      <c r="AQ149" s="387"/>
      <c r="AR149" s="387"/>
      <c r="AS149" s="387"/>
      <c r="AT149" s="387"/>
      <c r="AU149" s="387"/>
      <c r="AV149" s="387"/>
      <c r="AW149" s="387"/>
      <c r="AX149" s="387"/>
      <c r="AY149" s="387"/>
      <c r="AZ149" s="387"/>
      <c r="BA149" s="387"/>
      <c r="BB149" s="387"/>
      <c r="BD149" s="606"/>
      <c r="BE149" s="616"/>
      <c r="BF149" s="616"/>
      <c r="BG149" s="9"/>
      <c r="BH149" s="48"/>
      <c r="BI149" s="387"/>
      <c r="BJ149" s="387"/>
      <c r="BK149" s="387"/>
      <c r="BL149" s="387"/>
      <c r="BM149" s="387"/>
    </row>
    <row r="150" spans="8:65" x14ac:dyDescent="0.2">
      <c r="H150" s="612"/>
      <c r="I150" s="4"/>
      <c r="L150" s="4"/>
      <c r="M150" s="4"/>
      <c r="Q150" s="387"/>
      <c r="R150" s="387"/>
      <c r="S150" s="387"/>
      <c r="T150" s="387"/>
      <c r="V150" s="387"/>
      <c r="W150" s="387"/>
      <c r="X150" s="387"/>
      <c r="Y150" s="387"/>
      <c r="Z150" s="605"/>
      <c r="AA150" s="387"/>
      <c r="AB150" s="387"/>
      <c r="AC150" s="387"/>
      <c r="AE150" s="387"/>
      <c r="AF150" s="387"/>
      <c r="AG150" s="387"/>
      <c r="AH150" s="387"/>
      <c r="AI150" s="387"/>
      <c r="AJ150" s="387"/>
      <c r="AK150" s="387"/>
      <c r="AL150" s="387"/>
      <c r="AN150" s="387"/>
      <c r="AO150" s="387"/>
      <c r="AP150" s="387"/>
      <c r="AQ150" s="387"/>
      <c r="AR150" s="387"/>
      <c r="AS150" s="387"/>
      <c r="AT150" s="387"/>
      <c r="AU150" s="387"/>
      <c r="AV150" s="387"/>
      <c r="AW150" s="387"/>
      <c r="AX150" s="387"/>
      <c r="AY150" s="387"/>
      <c r="AZ150" s="387"/>
      <c r="BA150" s="387"/>
      <c r="BB150" s="387"/>
      <c r="BD150" s="606"/>
      <c r="BE150" s="616"/>
      <c r="BF150" s="616"/>
      <c r="BG150" s="9"/>
      <c r="BH150" s="48"/>
      <c r="BI150" s="387"/>
      <c r="BJ150" s="387"/>
      <c r="BK150" s="387"/>
      <c r="BL150" s="387"/>
      <c r="BM150" s="387"/>
    </row>
    <row r="151" spans="8:65" x14ac:dyDescent="0.2">
      <c r="H151" s="612"/>
      <c r="I151" s="4"/>
      <c r="L151" s="4"/>
      <c r="M151" s="4"/>
      <c r="Q151" s="387"/>
      <c r="R151" s="387"/>
      <c r="S151" s="387"/>
      <c r="T151" s="387"/>
      <c r="V151" s="387"/>
      <c r="W151" s="387"/>
      <c r="X151" s="387"/>
      <c r="Y151" s="387"/>
      <c r="Z151" s="605"/>
      <c r="AA151" s="387"/>
      <c r="AB151" s="387"/>
      <c r="AC151" s="387"/>
      <c r="AE151" s="387"/>
      <c r="AF151" s="387"/>
      <c r="AG151" s="387"/>
      <c r="AH151" s="387"/>
      <c r="AI151" s="387"/>
      <c r="AJ151" s="387"/>
      <c r="AK151" s="387"/>
      <c r="AL151" s="387"/>
      <c r="AN151" s="387"/>
      <c r="AO151" s="387"/>
      <c r="AP151" s="387"/>
      <c r="AQ151" s="387"/>
      <c r="AR151" s="387"/>
      <c r="AS151" s="387"/>
      <c r="AT151" s="387"/>
      <c r="AU151" s="387"/>
      <c r="AV151" s="387"/>
      <c r="AW151" s="387"/>
      <c r="AX151" s="387"/>
      <c r="AY151" s="387"/>
      <c r="AZ151" s="387"/>
      <c r="BA151" s="387"/>
      <c r="BB151" s="387"/>
      <c r="BD151" s="606"/>
      <c r="BE151" s="616"/>
      <c r="BF151" s="616"/>
      <c r="BG151" s="9"/>
      <c r="BH151" s="48"/>
      <c r="BI151" s="387"/>
      <c r="BJ151" s="387"/>
      <c r="BK151" s="387"/>
      <c r="BL151" s="387"/>
      <c r="BM151" s="387"/>
    </row>
    <row r="152" spans="8:65" x14ac:dyDescent="0.2">
      <c r="H152" s="612"/>
      <c r="I152" s="4"/>
      <c r="L152" s="4"/>
      <c r="M152" s="4"/>
      <c r="Q152" s="387"/>
      <c r="R152" s="387"/>
      <c r="S152" s="387"/>
      <c r="T152" s="387"/>
      <c r="V152" s="387"/>
      <c r="W152" s="387"/>
      <c r="X152" s="387"/>
      <c r="Y152" s="387"/>
      <c r="Z152" s="605"/>
      <c r="AA152" s="387"/>
      <c r="AB152" s="387"/>
      <c r="AC152" s="387"/>
      <c r="AE152" s="387"/>
      <c r="AF152" s="387"/>
      <c r="AG152" s="387"/>
      <c r="AH152" s="387"/>
      <c r="AI152" s="387"/>
      <c r="AJ152" s="387"/>
      <c r="AK152" s="387"/>
      <c r="AL152" s="387"/>
      <c r="AN152" s="387"/>
      <c r="AO152" s="387"/>
      <c r="AP152" s="387"/>
      <c r="AQ152" s="387"/>
      <c r="AR152" s="387"/>
      <c r="AS152" s="387"/>
      <c r="AT152" s="387"/>
      <c r="AU152" s="387"/>
      <c r="AV152" s="387"/>
      <c r="AW152" s="387"/>
      <c r="AX152" s="387"/>
      <c r="AY152" s="387"/>
      <c r="AZ152" s="387"/>
      <c r="BA152" s="387"/>
      <c r="BB152" s="387"/>
      <c r="BD152" s="606"/>
      <c r="BE152" s="616"/>
      <c r="BF152" s="616"/>
      <c r="BG152" s="9"/>
      <c r="BH152" s="48"/>
      <c r="BI152" s="387"/>
      <c r="BJ152" s="387"/>
      <c r="BK152" s="387"/>
      <c r="BL152" s="387"/>
      <c r="BM152" s="387"/>
    </row>
    <row r="153" spans="8:65" x14ac:dyDescent="0.2">
      <c r="H153" s="612"/>
      <c r="I153" s="4"/>
      <c r="L153" s="4"/>
      <c r="M153" s="4"/>
      <c r="Q153" s="387"/>
      <c r="R153" s="387"/>
      <c r="S153" s="387"/>
      <c r="T153" s="387"/>
      <c r="V153" s="387"/>
      <c r="W153" s="387"/>
      <c r="X153" s="387"/>
      <c r="Y153" s="387"/>
      <c r="Z153" s="605"/>
      <c r="AA153" s="387"/>
      <c r="AB153" s="387"/>
      <c r="AC153" s="387"/>
      <c r="AE153" s="387"/>
      <c r="AF153" s="387"/>
      <c r="AG153" s="387"/>
      <c r="AH153" s="387"/>
      <c r="AI153" s="387"/>
      <c r="AJ153" s="387"/>
      <c r="AK153" s="387"/>
      <c r="AL153" s="387"/>
      <c r="AN153" s="387"/>
      <c r="AO153" s="387"/>
      <c r="AP153" s="387"/>
      <c r="AQ153" s="387"/>
      <c r="AR153" s="387"/>
      <c r="AS153" s="387"/>
      <c r="AT153" s="387"/>
      <c r="AU153" s="387"/>
      <c r="AV153" s="387"/>
      <c r="AW153" s="387"/>
      <c r="AX153" s="387"/>
      <c r="AY153" s="387"/>
      <c r="AZ153" s="387"/>
      <c r="BA153" s="387"/>
      <c r="BB153" s="387"/>
      <c r="BD153" s="606"/>
      <c r="BE153" s="616"/>
      <c r="BF153" s="616"/>
      <c r="BG153" s="9"/>
      <c r="BH153" s="48"/>
      <c r="BI153" s="387"/>
      <c r="BJ153" s="387"/>
      <c r="BK153" s="387"/>
      <c r="BL153" s="387"/>
      <c r="BM153" s="387"/>
    </row>
    <row r="154" spans="8:65" x14ac:dyDescent="0.2">
      <c r="H154" s="612"/>
      <c r="I154" s="4"/>
      <c r="L154" s="4"/>
      <c r="M154" s="4"/>
      <c r="Q154" s="387"/>
      <c r="R154" s="387"/>
      <c r="S154" s="387"/>
      <c r="T154" s="387"/>
      <c r="V154" s="387"/>
      <c r="W154" s="387"/>
      <c r="X154" s="387"/>
      <c r="Y154" s="387"/>
      <c r="Z154" s="605"/>
      <c r="AA154" s="387"/>
      <c r="AB154" s="387"/>
      <c r="AC154" s="387"/>
      <c r="AE154" s="387"/>
      <c r="AF154" s="387"/>
      <c r="AG154" s="387"/>
      <c r="AH154" s="387"/>
      <c r="AI154" s="387"/>
      <c r="AJ154" s="387"/>
      <c r="AK154" s="387"/>
      <c r="AL154" s="387"/>
      <c r="AN154" s="387"/>
      <c r="AO154" s="387"/>
      <c r="AP154" s="387"/>
      <c r="AQ154" s="387"/>
      <c r="AR154" s="387"/>
      <c r="AS154" s="387"/>
      <c r="AT154" s="387"/>
      <c r="AU154" s="387"/>
      <c r="AV154" s="387"/>
      <c r="AW154" s="387"/>
      <c r="AX154" s="387"/>
      <c r="AY154" s="387"/>
      <c r="AZ154" s="387"/>
      <c r="BA154" s="387"/>
      <c r="BB154" s="387"/>
      <c r="BD154" s="606"/>
      <c r="BE154" s="616"/>
      <c r="BF154" s="616"/>
      <c r="BG154" s="9"/>
      <c r="BH154" s="48"/>
      <c r="BI154" s="387"/>
      <c r="BJ154" s="387"/>
      <c r="BK154" s="387"/>
      <c r="BL154" s="387"/>
      <c r="BM154" s="387"/>
    </row>
    <row r="155" spans="8:65" x14ac:dyDescent="0.2">
      <c r="H155" s="612"/>
      <c r="I155" s="4"/>
      <c r="L155" s="4"/>
      <c r="M155" s="4"/>
      <c r="Q155" s="387"/>
      <c r="R155" s="387"/>
      <c r="S155" s="387"/>
      <c r="T155" s="387"/>
      <c r="V155" s="387"/>
      <c r="W155" s="387"/>
      <c r="X155" s="387"/>
      <c r="Y155" s="387"/>
      <c r="Z155" s="605"/>
      <c r="AA155" s="387"/>
      <c r="AB155" s="387"/>
      <c r="AC155" s="387"/>
      <c r="AE155" s="387"/>
      <c r="AF155" s="387"/>
      <c r="AG155" s="387"/>
      <c r="AH155" s="387"/>
      <c r="AI155" s="387"/>
      <c r="AJ155" s="387"/>
      <c r="AK155" s="387"/>
      <c r="AL155" s="387"/>
      <c r="AN155" s="387"/>
      <c r="AO155" s="387"/>
      <c r="AP155" s="387"/>
      <c r="AQ155" s="387"/>
      <c r="AR155" s="387"/>
      <c r="AS155" s="387"/>
      <c r="AT155" s="387"/>
      <c r="AU155" s="387"/>
      <c r="AV155" s="387"/>
      <c r="AW155" s="387"/>
      <c r="AX155" s="387"/>
      <c r="AY155" s="387"/>
      <c r="AZ155" s="387"/>
      <c r="BA155" s="387"/>
      <c r="BB155" s="387"/>
      <c r="BD155" s="606"/>
      <c r="BE155" s="616"/>
      <c r="BF155" s="616"/>
      <c r="BG155" s="9"/>
      <c r="BH155" s="48"/>
      <c r="BI155" s="387"/>
      <c r="BJ155" s="387"/>
      <c r="BK155" s="387"/>
      <c r="BL155" s="387"/>
      <c r="BM155" s="387"/>
    </row>
    <row r="156" spans="8:65" x14ac:dyDescent="0.2">
      <c r="H156" s="612"/>
      <c r="I156" s="4"/>
      <c r="L156" s="4"/>
      <c r="M156" s="4"/>
      <c r="Q156" s="387"/>
      <c r="R156" s="387"/>
      <c r="S156" s="387"/>
      <c r="T156" s="387"/>
      <c r="V156" s="387"/>
      <c r="W156" s="387"/>
      <c r="X156" s="387"/>
      <c r="Y156" s="387"/>
      <c r="Z156" s="605"/>
      <c r="AA156" s="387"/>
      <c r="AB156" s="387"/>
      <c r="AC156" s="387"/>
      <c r="AE156" s="387"/>
      <c r="AF156" s="387"/>
      <c r="AG156" s="387"/>
      <c r="AH156" s="387"/>
      <c r="AI156" s="387"/>
      <c r="AJ156" s="387"/>
      <c r="AK156" s="387"/>
      <c r="AL156" s="387"/>
      <c r="AN156" s="387"/>
      <c r="AO156" s="387"/>
      <c r="AP156" s="387"/>
      <c r="AQ156" s="387"/>
      <c r="AR156" s="387"/>
      <c r="AS156" s="387"/>
      <c r="AT156" s="387"/>
      <c r="AU156" s="387"/>
      <c r="AV156" s="387"/>
      <c r="AW156" s="387"/>
      <c r="AX156" s="387"/>
      <c r="AY156" s="387"/>
      <c r="AZ156" s="387"/>
      <c r="BA156" s="387"/>
      <c r="BB156" s="387"/>
      <c r="BD156" s="606"/>
      <c r="BE156" s="616"/>
      <c r="BF156" s="616"/>
      <c r="BG156" s="9"/>
      <c r="BH156" s="48"/>
      <c r="BI156" s="387"/>
      <c r="BJ156" s="387"/>
      <c r="BK156" s="387"/>
      <c r="BL156" s="387"/>
      <c r="BM156" s="387"/>
    </row>
    <row r="157" spans="8:65" x14ac:dyDescent="0.2">
      <c r="H157" s="612"/>
      <c r="I157" s="4"/>
      <c r="L157" s="4"/>
      <c r="M157" s="4"/>
      <c r="Q157" s="387"/>
      <c r="R157" s="387"/>
      <c r="S157" s="387"/>
      <c r="T157" s="387"/>
      <c r="V157" s="387"/>
      <c r="W157" s="387"/>
      <c r="X157" s="387"/>
      <c r="Y157" s="387"/>
      <c r="Z157" s="605"/>
      <c r="AA157" s="387"/>
      <c r="AB157" s="387"/>
      <c r="AC157" s="387"/>
      <c r="AE157" s="387"/>
      <c r="AF157" s="387"/>
      <c r="AG157" s="387"/>
      <c r="AH157" s="387"/>
      <c r="AI157" s="387"/>
      <c r="AJ157" s="387"/>
      <c r="AK157" s="387"/>
      <c r="AL157" s="387"/>
      <c r="AN157" s="387"/>
      <c r="AO157" s="387"/>
      <c r="AP157" s="387"/>
      <c r="AQ157" s="387"/>
      <c r="AR157" s="387"/>
      <c r="AS157" s="387"/>
      <c r="AT157" s="387"/>
      <c r="AU157" s="387"/>
      <c r="AV157" s="387"/>
      <c r="AW157" s="387"/>
      <c r="AX157" s="387"/>
      <c r="AY157" s="387"/>
      <c r="AZ157" s="387"/>
      <c r="BA157" s="387"/>
      <c r="BB157" s="387"/>
      <c r="BD157" s="606"/>
      <c r="BE157" s="616"/>
      <c r="BF157" s="616"/>
      <c r="BG157" s="9"/>
      <c r="BH157" s="48"/>
      <c r="BI157" s="387"/>
      <c r="BJ157" s="387"/>
      <c r="BK157" s="387"/>
      <c r="BL157" s="387"/>
      <c r="BM157" s="387"/>
    </row>
    <row r="158" spans="8:65" x14ac:dyDescent="0.2">
      <c r="H158" s="612"/>
      <c r="I158" s="4"/>
      <c r="L158" s="4"/>
      <c r="M158" s="4"/>
      <c r="Q158" s="387"/>
      <c r="R158" s="387"/>
      <c r="S158" s="387"/>
      <c r="T158" s="387"/>
      <c r="V158" s="387"/>
      <c r="W158" s="387"/>
      <c r="X158" s="387"/>
      <c r="Y158" s="387"/>
      <c r="Z158" s="605"/>
      <c r="AA158" s="387"/>
      <c r="AB158" s="387"/>
      <c r="AC158" s="387"/>
      <c r="AE158" s="387"/>
      <c r="AF158" s="387"/>
      <c r="AG158" s="387"/>
      <c r="AH158" s="387"/>
      <c r="AI158" s="387"/>
      <c r="AJ158" s="387"/>
      <c r="AK158" s="387"/>
      <c r="AL158" s="387"/>
      <c r="AN158" s="387"/>
      <c r="AO158" s="387"/>
      <c r="AP158" s="387"/>
      <c r="AQ158" s="387"/>
      <c r="AR158" s="387"/>
      <c r="AS158" s="387"/>
      <c r="AT158" s="387"/>
      <c r="AU158" s="387"/>
      <c r="AV158" s="387"/>
      <c r="AW158" s="387"/>
      <c r="AX158" s="387"/>
      <c r="AY158" s="387"/>
      <c r="AZ158" s="387"/>
      <c r="BA158" s="387"/>
      <c r="BB158" s="387"/>
      <c r="BD158" s="606"/>
      <c r="BE158" s="616"/>
      <c r="BF158" s="616"/>
      <c r="BG158" s="9"/>
      <c r="BH158" s="48"/>
      <c r="BI158" s="387"/>
      <c r="BJ158" s="387"/>
      <c r="BK158" s="387"/>
      <c r="BL158" s="387"/>
      <c r="BM158" s="387"/>
    </row>
    <row r="159" spans="8:65" x14ac:dyDescent="0.2">
      <c r="H159" s="612"/>
      <c r="I159" s="4"/>
      <c r="L159" s="4"/>
      <c r="M159" s="4"/>
      <c r="Q159" s="387"/>
      <c r="R159" s="387"/>
      <c r="S159" s="387"/>
      <c r="T159" s="387"/>
      <c r="V159" s="387"/>
      <c r="W159" s="387"/>
      <c r="X159" s="387"/>
      <c r="Y159" s="387"/>
      <c r="Z159" s="605"/>
      <c r="AA159" s="387"/>
      <c r="AB159" s="387"/>
      <c r="AC159" s="387"/>
      <c r="AE159" s="387"/>
      <c r="AF159" s="387"/>
      <c r="AG159" s="387"/>
      <c r="AH159" s="387"/>
      <c r="AI159" s="387"/>
      <c r="AJ159" s="387"/>
      <c r="AK159" s="387"/>
      <c r="AL159" s="387"/>
      <c r="AN159" s="387"/>
      <c r="AO159" s="387"/>
      <c r="AP159" s="387"/>
      <c r="AQ159" s="387"/>
      <c r="AR159" s="387"/>
      <c r="AS159" s="387"/>
      <c r="AT159" s="387"/>
      <c r="AU159" s="387"/>
      <c r="AV159" s="387"/>
      <c r="AW159" s="387"/>
      <c r="AX159" s="387"/>
      <c r="AY159" s="387"/>
      <c r="AZ159" s="387"/>
      <c r="BA159" s="387"/>
      <c r="BB159" s="387"/>
      <c r="BD159" s="606"/>
      <c r="BE159" s="616"/>
      <c r="BF159" s="616"/>
      <c r="BG159" s="9"/>
      <c r="BH159" s="48"/>
      <c r="BI159" s="387"/>
      <c r="BJ159" s="387"/>
      <c r="BK159" s="387"/>
      <c r="BL159" s="387"/>
      <c r="BM159" s="387"/>
    </row>
    <row r="160" spans="8:65" x14ac:dyDescent="0.2">
      <c r="H160" s="612"/>
      <c r="I160" s="4"/>
      <c r="L160" s="4"/>
      <c r="M160" s="4"/>
      <c r="Q160" s="387"/>
      <c r="R160" s="387"/>
      <c r="S160" s="387"/>
      <c r="T160" s="387"/>
      <c r="V160" s="387"/>
      <c r="W160" s="387"/>
      <c r="X160" s="387"/>
      <c r="Y160" s="387"/>
      <c r="Z160" s="605"/>
      <c r="AA160" s="387"/>
      <c r="AB160" s="387"/>
      <c r="AC160" s="387"/>
      <c r="AE160" s="387"/>
      <c r="AF160" s="387"/>
      <c r="AG160" s="387"/>
      <c r="AH160" s="387"/>
      <c r="AI160" s="387"/>
      <c r="AJ160" s="387"/>
      <c r="AK160" s="387"/>
      <c r="AL160" s="387"/>
      <c r="AN160" s="387"/>
      <c r="AO160" s="387"/>
      <c r="AP160" s="387"/>
      <c r="AQ160" s="387"/>
      <c r="AR160" s="387"/>
      <c r="AS160" s="387"/>
      <c r="AT160" s="387"/>
      <c r="AU160" s="387"/>
      <c r="AV160" s="387"/>
      <c r="AW160" s="387"/>
      <c r="AX160" s="387"/>
      <c r="AY160" s="387"/>
      <c r="AZ160" s="387"/>
      <c r="BA160" s="387"/>
      <c r="BB160" s="387"/>
      <c r="BD160" s="606"/>
      <c r="BE160" s="616"/>
      <c r="BF160" s="616"/>
      <c r="BG160" s="9"/>
      <c r="BH160" s="48"/>
      <c r="BI160" s="387"/>
      <c r="BJ160" s="387"/>
      <c r="BK160" s="387"/>
      <c r="BL160" s="387"/>
      <c r="BM160" s="387"/>
    </row>
    <row r="161" spans="8:65" x14ac:dyDescent="0.2">
      <c r="H161" s="612"/>
      <c r="I161" s="4"/>
      <c r="L161" s="4"/>
      <c r="M161" s="4"/>
      <c r="Q161" s="387"/>
      <c r="R161" s="387"/>
      <c r="S161" s="387"/>
      <c r="T161" s="387"/>
      <c r="V161" s="387"/>
      <c r="W161" s="387"/>
      <c r="X161" s="387"/>
      <c r="Y161" s="387"/>
      <c r="Z161" s="605"/>
      <c r="AA161" s="387"/>
      <c r="AB161" s="387"/>
      <c r="AC161" s="387"/>
      <c r="AE161" s="387"/>
      <c r="AF161" s="387"/>
      <c r="AG161" s="387"/>
      <c r="AH161" s="387"/>
      <c r="AI161" s="387"/>
      <c r="AJ161" s="387"/>
      <c r="AK161" s="387"/>
      <c r="AL161" s="387"/>
      <c r="AN161" s="387"/>
      <c r="AO161" s="387"/>
      <c r="AP161" s="387"/>
      <c r="AQ161" s="387"/>
      <c r="AR161" s="387"/>
      <c r="AS161" s="387"/>
      <c r="AT161" s="387"/>
      <c r="AU161" s="387"/>
      <c r="AV161" s="387"/>
      <c r="AW161" s="387"/>
      <c r="AX161" s="387"/>
      <c r="AY161" s="387"/>
      <c r="AZ161" s="387"/>
      <c r="BA161" s="387"/>
      <c r="BB161" s="387"/>
      <c r="BD161" s="606"/>
      <c r="BE161" s="616"/>
      <c r="BF161" s="616"/>
      <c r="BG161" s="9"/>
      <c r="BH161" s="48"/>
      <c r="BI161" s="387"/>
      <c r="BJ161" s="387"/>
      <c r="BK161" s="387"/>
      <c r="BL161" s="387"/>
      <c r="BM161" s="387"/>
    </row>
    <row r="162" spans="8:65" x14ac:dyDescent="0.2">
      <c r="H162" s="612"/>
      <c r="I162" s="4"/>
      <c r="L162" s="4"/>
      <c r="M162" s="4"/>
      <c r="Q162" s="387"/>
      <c r="R162" s="387"/>
      <c r="S162" s="387"/>
      <c r="T162" s="387"/>
      <c r="V162" s="387"/>
      <c r="W162" s="387"/>
      <c r="X162" s="387"/>
      <c r="Y162" s="387"/>
      <c r="Z162" s="605"/>
      <c r="AA162" s="387"/>
      <c r="AB162" s="387"/>
      <c r="AC162" s="387"/>
      <c r="AE162" s="387"/>
      <c r="AF162" s="387"/>
      <c r="AG162" s="387"/>
      <c r="AH162" s="387"/>
      <c r="AI162" s="387"/>
      <c r="AJ162" s="387"/>
      <c r="AK162" s="387"/>
      <c r="AL162" s="387"/>
      <c r="AN162" s="387"/>
      <c r="AO162" s="387"/>
      <c r="AP162" s="387"/>
      <c r="AQ162" s="387"/>
      <c r="AR162" s="387"/>
      <c r="AS162" s="387"/>
      <c r="AT162" s="387"/>
      <c r="AU162" s="387"/>
      <c r="AV162" s="387"/>
      <c r="AW162" s="387"/>
      <c r="AX162" s="387"/>
      <c r="AY162" s="387"/>
      <c r="AZ162" s="387"/>
      <c r="BA162" s="387"/>
      <c r="BB162" s="387"/>
      <c r="BD162" s="606"/>
      <c r="BE162" s="616"/>
      <c r="BF162" s="616"/>
      <c r="BG162" s="9"/>
      <c r="BH162" s="48"/>
      <c r="BI162" s="387"/>
      <c r="BJ162" s="387"/>
      <c r="BK162" s="387"/>
      <c r="BL162" s="387"/>
      <c r="BM162" s="387"/>
    </row>
    <row r="163" spans="8:65" x14ac:dyDescent="0.2">
      <c r="H163" s="612"/>
      <c r="I163" s="4"/>
      <c r="L163" s="4"/>
      <c r="M163" s="4"/>
      <c r="Q163" s="387"/>
      <c r="R163" s="387"/>
      <c r="S163" s="387"/>
      <c r="T163" s="387"/>
      <c r="V163" s="387"/>
      <c r="W163" s="387"/>
      <c r="X163" s="387"/>
      <c r="Y163" s="387"/>
      <c r="Z163" s="605"/>
      <c r="AA163" s="387"/>
      <c r="AB163" s="387"/>
      <c r="AC163" s="387"/>
      <c r="AE163" s="387"/>
      <c r="AF163" s="387"/>
      <c r="AG163" s="387"/>
      <c r="AH163" s="387"/>
      <c r="AI163" s="387"/>
      <c r="AJ163" s="387"/>
      <c r="AK163" s="387"/>
      <c r="AL163" s="387"/>
      <c r="AN163" s="387"/>
      <c r="AO163" s="387"/>
      <c r="AP163" s="387"/>
      <c r="AQ163" s="387"/>
      <c r="AR163" s="387"/>
      <c r="AS163" s="387"/>
      <c r="AT163" s="387"/>
      <c r="AU163" s="387"/>
      <c r="AV163" s="387"/>
      <c r="AW163" s="387"/>
      <c r="AX163" s="387"/>
      <c r="AY163" s="387"/>
      <c r="AZ163" s="387"/>
      <c r="BA163" s="387"/>
      <c r="BB163" s="387"/>
      <c r="BD163" s="606"/>
      <c r="BE163" s="616"/>
      <c r="BF163" s="616"/>
      <c r="BG163" s="9"/>
      <c r="BH163" s="48"/>
      <c r="BI163" s="387"/>
      <c r="BJ163" s="387"/>
      <c r="BK163" s="387"/>
      <c r="BL163" s="387"/>
      <c r="BM163" s="387"/>
    </row>
    <row r="164" spans="8:65" x14ac:dyDescent="0.2">
      <c r="H164" s="612"/>
      <c r="I164" s="4"/>
      <c r="L164" s="4"/>
      <c r="M164" s="4"/>
      <c r="Q164" s="387"/>
      <c r="R164" s="387"/>
      <c r="S164" s="387"/>
      <c r="T164" s="387"/>
      <c r="V164" s="387"/>
      <c r="W164" s="387"/>
      <c r="X164" s="387"/>
      <c r="Y164" s="387"/>
      <c r="Z164" s="605"/>
      <c r="AA164" s="387"/>
      <c r="AB164" s="387"/>
      <c r="AC164" s="387"/>
      <c r="AE164" s="387"/>
      <c r="AF164" s="387"/>
      <c r="AG164" s="387"/>
      <c r="AH164" s="387"/>
      <c r="AI164" s="387"/>
      <c r="AJ164" s="387"/>
      <c r="AK164" s="387"/>
      <c r="AL164" s="387"/>
      <c r="AN164" s="387"/>
      <c r="AO164" s="387"/>
      <c r="AP164" s="387"/>
      <c r="AQ164" s="387"/>
      <c r="AR164" s="387"/>
      <c r="AS164" s="387"/>
      <c r="AT164" s="387"/>
      <c r="AU164" s="387"/>
      <c r="AV164" s="387"/>
      <c r="AW164" s="387"/>
      <c r="AX164" s="387"/>
      <c r="AY164" s="387"/>
      <c r="AZ164" s="387"/>
      <c r="BA164" s="387"/>
      <c r="BB164" s="387"/>
      <c r="BD164" s="606"/>
      <c r="BE164" s="616"/>
      <c r="BF164" s="616"/>
      <c r="BG164" s="9"/>
      <c r="BH164" s="48"/>
      <c r="BI164" s="387"/>
      <c r="BJ164" s="387"/>
      <c r="BK164" s="387"/>
      <c r="BL164" s="387"/>
      <c r="BM164" s="387"/>
    </row>
    <row r="165" spans="8:65" x14ac:dyDescent="0.2">
      <c r="H165" s="612"/>
      <c r="I165" s="4"/>
      <c r="L165" s="4"/>
      <c r="M165" s="4"/>
      <c r="Q165" s="387"/>
      <c r="R165" s="387"/>
      <c r="S165" s="387"/>
      <c r="T165" s="387"/>
      <c r="V165" s="387"/>
      <c r="W165" s="387"/>
      <c r="X165" s="387"/>
      <c r="Y165" s="387"/>
      <c r="Z165" s="605"/>
      <c r="AA165" s="387"/>
      <c r="AB165" s="387"/>
      <c r="AC165" s="387"/>
      <c r="AE165" s="387"/>
      <c r="AF165" s="387"/>
      <c r="AG165" s="387"/>
      <c r="AH165" s="387"/>
      <c r="AI165" s="387"/>
      <c r="AJ165" s="387"/>
      <c r="AK165" s="387"/>
      <c r="AL165" s="387"/>
      <c r="AN165" s="387"/>
      <c r="AO165" s="387"/>
      <c r="AP165" s="387"/>
      <c r="AQ165" s="387"/>
      <c r="AR165" s="387"/>
      <c r="AS165" s="387"/>
      <c r="AT165" s="387"/>
      <c r="AU165" s="387"/>
      <c r="AV165" s="387"/>
      <c r="AW165" s="387"/>
      <c r="AX165" s="387"/>
      <c r="AY165" s="387"/>
      <c r="AZ165" s="387"/>
      <c r="BA165" s="387"/>
      <c r="BB165" s="387"/>
      <c r="BD165" s="606"/>
      <c r="BE165" s="616"/>
      <c r="BF165" s="616"/>
      <c r="BG165" s="9"/>
      <c r="BH165" s="48"/>
      <c r="BI165" s="387"/>
      <c r="BJ165" s="387"/>
      <c r="BK165" s="387"/>
      <c r="BL165" s="387"/>
      <c r="BM165" s="387"/>
    </row>
    <row r="166" spans="8:65" x14ac:dyDescent="0.2">
      <c r="H166" s="612"/>
      <c r="I166" s="4"/>
      <c r="L166" s="4"/>
      <c r="M166" s="4"/>
      <c r="Q166" s="387"/>
      <c r="R166" s="387"/>
      <c r="S166" s="387"/>
      <c r="T166" s="387"/>
      <c r="V166" s="387"/>
      <c r="W166" s="387"/>
      <c r="X166" s="387"/>
      <c r="Y166" s="387"/>
      <c r="Z166" s="605"/>
      <c r="AA166" s="387"/>
      <c r="AB166" s="387"/>
      <c r="AC166" s="387"/>
      <c r="AE166" s="387"/>
      <c r="AF166" s="387"/>
      <c r="AG166" s="387"/>
      <c r="AH166" s="387"/>
      <c r="AI166" s="387"/>
      <c r="AJ166" s="387"/>
      <c r="AK166" s="387"/>
      <c r="AL166" s="387"/>
      <c r="AN166" s="387"/>
      <c r="AO166" s="387"/>
      <c r="AP166" s="387"/>
      <c r="AQ166" s="387"/>
      <c r="AR166" s="387"/>
      <c r="AS166" s="387"/>
      <c r="AT166" s="387"/>
      <c r="AU166" s="387"/>
      <c r="AV166" s="387"/>
      <c r="AW166" s="387"/>
      <c r="AX166" s="387"/>
      <c r="AY166" s="387"/>
      <c r="AZ166" s="387"/>
      <c r="BA166" s="387"/>
      <c r="BB166" s="387"/>
      <c r="BD166" s="606"/>
      <c r="BE166" s="616"/>
      <c r="BF166" s="616"/>
      <c r="BG166" s="9"/>
      <c r="BH166" s="48"/>
      <c r="BI166" s="387"/>
      <c r="BJ166" s="387"/>
      <c r="BK166" s="387"/>
      <c r="BL166" s="387"/>
      <c r="BM166" s="387"/>
    </row>
    <row r="167" spans="8:65" x14ac:dyDescent="0.2">
      <c r="H167" s="612"/>
      <c r="I167" s="4"/>
      <c r="L167" s="4"/>
      <c r="M167" s="4"/>
      <c r="Q167" s="387"/>
      <c r="R167" s="387"/>
      <c r="S167" s="387"/>
      <c r="T167" s="387"/>
      <c r="V167" s="387"/>
      <c r="W167" s="387"/>
      <c r="X167" s="387"/>
      <c r="Y167" s="387"/>
      <c r="Z167" s="605"/>
      <c r="AA167" s="387"/>
      <c r="AB167" s="387"/>
      <c r="AC167" s="387"/>
      <c r="AE167" s="387"/>
      <c r="AF167" s="387"/>
      <c r="AG167" s="387"/>
      <c r="AH167" s="387"/>
      <c r="AI167" s="387"/>
      <c r="AJ167" s="387"/>
      <c r="AK167" s="387"/>
      <c r="AL167" s="387"/>
      <c r="AN167" s="387"/>
      <c r="AO167" s="387"/>
      <c r="AP167" s="387"/>
      <c r="AQ167" s="387"/>
      <c r="AR167" s="387"/>
      <c r="AS167" s="387"/>
      <c r="AT167" s="387"/>
      <c r="AU167" s="387"/>
      <c r="AV167" s="387"/>
      <c r="AW167" s="387"/>
      <c r="AX167" s="387"/>
      <c r="AY167" s="387"/>
      <c r="AZ167" s="387"/>
      <c r="BA167" s="387"/>
      <c r="BB167" s="387"/>
      <c r="BD167" s="606"/>
      <c r="BE167" s="616"/>
      <c r="BF167" s="616"/>
      <c r="BG167" s="9"/>
      <c r="BH167" s="48"/>
      <c r="BI167" s="387"/>
      <c r="BJ167" s="387"/>
      <c r="BK167" s="387"/>
      <c r="BL167" s="387"/>
      <c r="BM167" s="387"/>
    </row>
    <row r="168" spans="8:65" x14ac:dyDescent="0.2">
      <c r="H168" s="612"/>
      <c r="I168" s="4"/>
      <c r="L168" s="4"/>
      <c r="M168" s="4"/>
      <c r="Q168" s="387"/>
      <c r="R168" s="387"/>
      <c r="S168" s="387"/>
      <c r="T168" s="387"/>
      <c r="V168" s="387"/>
      <c r="W168" s="387"/>
      <c r="X168" s="387"/>
      <c r="Y168" s="387"/>
      <c r="Z168" s="605"/>
      <c r="AA168" s="387"/>
      <c r="AB168" s="387"/>
      <c r="AC168" s="387"/>
      <c r="AE168" s="387"/>
      <c r="AF168" s="387"/>
      <c r="AG168" s="387"/>
      <c r="AH168" s="387"/>
      <c r="AI168" s="387"/>
      <c r="AJ168" s="387"/>
      <c r="AK168" s="387"/>
      <c r="AL168" s="387"/>
      <c r="AN168" s="387"/>
      <c r="AO168" s="387"/>
      <c r="AP168" s="387"/>
      <c r="AQ168" s="387"/>
      <c r="AR168" s="387"/>
      <c r="AS168" s="387"/>
      <c r="AT168" s="387"/>
      <c r="AU168" s="387"/>
      <c r="AV168" s="387"/>
      <c r="AW168" s="387"/>
      <c r="AX168" s="387"/>
      <c r="AY168" s="387"/>
      <c r="AZ168" s="387"/>
      <c r="BA168" s="387"/>
      <c r="BB168" s="387"/>
      <c r="BD168" s="606"/>
      <c r="BE168" s="616"/>
      <c r="BF168" s="616"/>
      <c r="BG168" s="9"/>
      <c r="BH168" s="48"/>
      <c r="BI168" s="387"/>
      <c r="BJ168" s="387"/>
      <c r="BK168" s="387"/>
      <c r="BL168" s="387"/>
      <c r="BM168" s="387"/>
    </row>
    <row r="169" spans="8:65" x14ac:dyDescent="0.2">
      <c r="H169" s="612"/>
      <c r="I169" s="4"/>
      <c r="L169" s="4"/>
      <c r="M169" s="4"/>
      <c r="Q169" s="387"/>
      <c r="R169" s="387"/>
      <c r="S169" s="387"/>
      <c r="T169" s="387"/>
      <c r="V169" s="387"/>
      <c r="W169" s="387"/>
      <c r="X169" s="387"/>
      <c r="Y169" s="387"/>
      <c r="Z169" s="605"/>
      <c r="AA169" s="387"/>
      <c r="AB169" s="387"/>
      <c r="AC169" s="387"/>
      <c r="AE169" s="387"/>
      <c r="AF169" s="387"/>
      <c r="AG169" s="387"/>
      <c r="AH169" s="387"/>
      <c r="AI169" s="387"/>
      <c r="AJ169" s="387"/>
      <c r="AK169" s="387"/>
      <c r="AL169" s="387"/>
      <c r="AN169" s="387"/>
      <c r="AO169" s="387"/>
      <c r="AP169" s="387"/>
      <c r="AQ169" s="387"/>
      <c r="AR169" s="387"/>
      <c r="AS169" s="387"/>
      <c r="AT169" s="387"/>
      <c r="AU169" s="387"/>
      <c r="AV169" s="387"/>
      <c r="AW169" s="387"/>
      <c r="AX169" s="387"/>
      <c r="AY169" s="387"/>
      <c r="AZ169" s="387"/>
      <c r="BA169" s="387"/>
      <c r="BB169" s="387"/>
      <c r="BD169" s="606"/>
      <c r="BE169" s="616"/>
      <c r="BF169" s="616"/>
      <c r="BG169" s="9"/>
      <c r="BH169" s="48"/>
      <c r="BI169" s="387"/>
      <c r="BJ169" s="387"/>
      <c r="BK169" s="387"/>
      <c r="BL169" s="387"/>
      <c r="BM169" s="387"/>
    </row>
    <row r="170" spans="8:65" x14ac:dyDescent="0.2">
      <c r="H170" s="612"/>
      <c r="I170" s="4"/>
      <c r="L170" s="4"/>
      <c r="M170" s="4"/>
      <c r="Q170" s="387"/>
      <c r="R170" s="387"/>
      <c r="S170" s="387"/>
      <c r="T170" s="387"/>
      <c r="V170" s="387"/>
      <c r="W170" s="387"/>
      <c r="X170" s="387"/>
      <c r="Y170" s="387"/>
      <c r="Z170" s="605"/>
      <c r="AA170" s="387"/>
      <c r="AB170" s="387"/>
      <c r="AC170" s="387"/>
      <c r="AE170" s="387"/>
      <c r="AF170" s="387"/>
      <c r="AG170" s="387"/>
      <c r="AH170" s="387"/>
      <c r="AI170" s="387"/>
      <c r="AJ170" s="387"/>
      <c r="AK170" s="387"/>
      <c r="AL170" s="387"/>
      <c r="AN170" s="387"/>
      <c r="AO170" s="387"/>
      <c r="AP170" s="387"/>
      <c r="AQ170" s="387"/>
      <c r="AR170" s="387"/>
      <c r="AS170" s="387"/>
      <c r="AT170" s="387"/>
      <c r="AU170" s="387"/>
      <c r="AV170" s="387"/>
      <c r="AW170" s="387"/>
      <c r="AX170" s="387"/>
      <c r="AY170" s="387"/>
      <c r="AZ170" s="387"/>
      <c r="BA170" s="387"/>
      <c r="BB170" s="387"/>
      <c r="BD170" s="606"/>
      <c r="BE170" s="616"/>
      <c r="BF170" s="616"/>
      <c r="BG170" s="9"/>
      <c r="BH170" s="48"/>
      <c r="BI170" s="387"/>
      <c r="BJ170" s="387"/>
      <c r="BK170" s="387"/>
      <c r="BL170" s="387"/>
      <c r="BM170" s="387"/>
    </row>
    <row r="171" spans="8:65" x14ac:dyDescent="0.2">
      <c r="H171" s="612"/>
      <c r="I171" s="4"/>
      <c r="L171" s="4"/>
      <c r="M171" s="4"/>
      <c r="Q171" s="387"/>
      <c r="R171" s="387"/>
      <c r="S171" s="387"/>
      <c r="T171" s="387"/>
      <c r="V171" s="387"/>
      <c r="W171" s="387"/>
      <c r="X171" s="387"/>
      <c r="Y171" s="387"/>
      <c r="Z171" s="605"/>
      <c r="AA171" s="387"/>
      <c r="AB171" s="387"/>
      <c r="AC171" s="387"/>
      <c r="AE171" s="387"/>
      <c r="AF171" s="387"/>
      <c r="AG171" s="387"/>
      <c r="AH171" s="387"/>
      <c r="AI171" s="387"/>
      <c r="AJ171" s="387"/>
      <c r="AK171" s="387"/>
      <c r="AL171" s="387"/>
      <c r="AN171" s="387"/>
      <c r="AO171" s="387"/>
      <c r="AP171" s="387"/>
      <c r="AQ171" s="387"/>
      <c r="AR171" s="387"/>
      <c r="AS171" s="387"/>
      <c r="AT171" s="387"/>
      <c r="AU171" s="387"/>
      <c r="AV171" s="387"/>
      <c r="AW171" s="387"/>
      <c r="AX171" s="387"/>
      <c r="AY171" s="387"/>
      <c r="AZ171" s="387"/>
      <c r="BA171" s="387"/>
      <c r="BB171" s="387"/>
      <c r="BD171" s="606"/>
      <c r="BE171" s="616"/>
      <c r="BF171" s="616"/>
      <c r="BG171" s="9"/>
      <c r="BH171" s="48"/>
      <c r="BI171" s="387"/>
      <c r="BJ171" s="387"/>
      <c r="BK171" s="387"/>
      <c r="BL171" s="387"/>
      <c r="BM171" s="387"/>
    </row>
    <row r="172" spans="8:65" x14ac:dyDescent="0.2">
      <c r="H172" s="612"/>
      <c r="I172" s="4"/>
      <c r="L172" s="4"/>
      <c r="M172" s="4"/>
      <c r="Q172" s="387"/>
      <c r="R172" s="387"/>
      <c r="S172" s="387"/>
      <c r="T172" s="387"/>
      <c r="V172" s="387"/>
      <c r="W172" s="387"/>
      <c r="X172" s="387"/>
      <c r="Y172" s="387"/>
      <c r="Z172" s="605"/>
      <c r="AA172" s="387"/>
      <c r="AB172" s="387"/>
      <c r="AC172" s="387"/>
      <c r="AE172" s="387"/>
      <c r="AF172" s="387"/>
      <c r="AG172" s="387"/>
      <c r="AH172" s="387"/>
      <c r="AI172" s="387"/>
      <c r="AJ172" s="387"/>
      <c r="AK172" s="387"/>
      <c r="AL172" s="387"/>
      <c r="AN172" s="387"/>
      <c r="AO172" s="387"/>
      <c r="AP172" s="387"/>
      <c r="AQ172" s="387"/>
      <c r="AR172" s="387"/>
      <c r="AS172" s="387"/>
      <c r="AT172" s="387"/>
      <c r="AU172" s="387"/>
      <c r="AV172" s="387"/>
      <c r="AW172" s="387"/>
      <c r="AX172" s="387"/>
      <c r="AY172" s="387"/>
      <c r="AZ172" s="387"/>
      <c r="BA172" s="387"/>
      <c r="BB172" s="387"/>
      <c r="BD172" s="606"/>
      <c r="BE172" s="616"/>
      <c r="BF172" s="616"/>
      <c r="BG172" s="9"/>
      <c r="BH172" s="48"/>
      <c r="BI172" s="387"/>
      <c r="BJ172" s="387"/>
      <c r="BK172" s="387"/>
      <c r="BL172" s="387"/>
      <c r="BM172" s="387"/>
    </row>
    <row r="173" spans="8:65" x14ac:dyDescent="0.2">
      <c r="H173" s="612"/>
      <c r="I173" s="4"/>
      <c r="L173" s="4"/>
      <c r="M173" s="4"/>
      <c r="Q173" s="387"/>
      <c r="R173" s="387"/>
      <c r="S173" s="387"/>
      <c r="T173" s="387"/>
      <c r="V173" s="387"/>
      <c r="W173" s="387"/>
      <c r="X173" s="387"/>
      <c r="Y173" s="387"/>
      <c r="Z173" s="605"/>
      <c r="AA173" s="387"/>
      <c r="AB173" s="387"/>
      <c r="AC173" s="387"/>
      <c r="AE173" s="387"/>
      <c r="AF173" s="387"/>
      <c r="AG173" s="387"/>
      <c r="AH173" s="387"/>
      <c r="AI173" s="387"/>
      <c r="AJ173" s="387"/>
      <c r="AK173" s="387"/>
      <c r="AL173" s="387"/>
      <c r="AN173" s="387"/>
      <c r="AO173" s="387"/>
      <c r="AP173" s="387"/>
      <c r="AQ173" s="387"/>
      <c r="AR173" s="387"/>
      <c r="AS173" s="387"/>
      <c r="AT173" s="387"/>
      <c r="AU173" s="387"/>
      <c r="AV173" s="387"/>
      <c r="AW173" s="387"/>
      <c r="AX173" s="387"/>
      <c r="AY173" s="387"/>
      <c r="AZ173" s="387"/>
      <c r="BA173" s="387"/>
      <c r="BB173" s="387"/>
      <c r="BD173" s="606"/>
      <c r="BE173" s="616"/>
      <c r="BF173" s="616"/>
      <c r="BG173" s="9"/>
      <c r="BH173" s="48"/>
      <c r="BI173" s="387"/>
      <c r="BJ173" s="387"/>
      <c r="BK173" s="387"/>
      <c r="BL173" s="387"/>
      <c r="BM173" s="387"/>
    </row>
    <row r="174" spans="8:65" x14ac:dyDescent="0.2">
      <c r="H174" s="612"/>
      <c r="I174" s="4"/>
      <c r="L174" s="4"/>
      <c r="M174" s="4"/>
      <c r="Q174" s="387"/>
      <c r="R174" s="387"/>
      <c r="S174" s="387"/>
      <c r="T174" s="387"/>
      <c r="V174" s="387"/>
      <c r="W174" s="387"/>
      <c r="X174" s="387"/>
      <c r="Y174" s="387"/>
      <c r="Z174" s="605"/>
      <c r="AA174" s="387"/>
      <c r="AB174" s="387"/>
      <c r="AC174" s="387"/>
      <c r="AE174" s="387"/>
      <c r="AF174" s="387"/>
      <c r="AG174" s="387"/>
      <c r="AH174" s="387"/>
      <c r="AI174" s="387"/>
      <c r="AJ174" s="387"/>
      <c r="AK174" s="387"/>
      <c r="AL174" s="387"/>
      <c r="AN174" s="387"/>
      <c r="AO174" s="387"/>
      <c r="AP174" s="387"/>
      <c r="AQ174" s="387"/>
      <c r="AR174" s="387"/>
      <c r="AS174" s="387"/>
      <c r="AT174" s="387"/>
      <c r="AU174" s="387"/>
      <c r="AV174" s="387"/>
      <c r="AW174" s="387"/>
      <c r="AX174" s="387"/>
      <c r="AY174" s="387"/>
      <c r="AZ174" s="387"/>
      <c r="BA174" s="387"/>
      <c r="BB174" s="387"/>
      <c r="BD174" s="606"/>
      <c r="BE174" s="616"/>
      <c r="BF174" s="616"/>
      <c r="BG174" s="9"/>
      <c r="BH174" s="48"/>
      <c r="BI174" s="387"/>
      <c r="BJ174" s="387"/>
      <c r="BK174" s="387"/>
      <c r="BL174" s="387"/>
      <c r="BM174" s="387"/>
    </row>
    <row r="175" spans="8:65" x14ac:dyDescent="0.2">
      <c r="H175" s="612"/>
      <c r="I175" s="4"/>
      <c r="L175" s="4"/>
      <c r="M175" s="4"/>
      <c r="Q175" s="387"/>
      <c r="R175" s="387"/>
      <c r="S175" s="387"/>
      <c r="T175" s="387"/>
      <c r="V175" s="387"/>
      <c r="W175" s="387"/>
      <c r="X175" s="387"/>
      <c r="Y175" s="387"/>
      <c r="Z175" s="605"/>
      <c r="AA175" s="387"/>
      <c r="AB175" s="387"/>
      <c r="AC175" s="387"/>
      <c r="AE175" s="387"/>
      <c r="AF175" s="387"/>
      <c r="AG175" s="387"/>
      <c r="AH175" s="387"/>
      <c r="AI175" s="387"/>
      <c r="AJ175" s="387"/>
      <c r="AK175" s="387"/>
      <c r="AL175" s="387"/>
      <c r="AN175" s="387"/>
      <c r="AO175" s="387"/>
      <c r="AP175" s="387"/>
      <c r="AQ175" s="387"/>
      <c r="AR175" s="387"/>
      <c r="AS175" s="387"/>
      <c r="AT175" s="387"/>
      <c r="AU175" s="387"/>
      <c r="AV175" s="387"/>
      <c r="AW175" s="387"/>
      <c r="AX175" s="387"/>
      <c r="AY175" s="387"/>
      <c r="AZ175" s="387"/>
      <c r="BA175" s="387"/>
      <c r="BB175" s="387"/>
      <c r="BD175" s="606"/>
      <c r="BE175" s="616"/>
      <c r="BF175" s="616"/>
      <c r="BG175" s="9"/>
      <c r="BH175" s="48"/>
      <c r="BI175" s="387"/>
      <c r="BJ175" s="387"/>
      <c r="BK175" s="387"/>
      <c r="BL175" s="387"/>
      <c r="BM175" s="387"/>
    </row>
    <row r="176" spans="8:65" x14ac:dyDescent="0.2">
      <c r="H176" s="612"/>
      <c r="I176" s="4"/>
      <c r="L176" s="4"/>
      <c r="M176" s="4"/>
      <c r="Q176" s="387"/>
      <c r="R176" s="387"/>
      <c r="S176" s="387"/>
      <c r="T176" s="387"/>
      <c r="V176" s="387"/>
      <c r="W176" s="387"/>
      <c r="X176" s="387"/>
      <c r="Y176" s="387"/>
      <c r="Z176" s="605"/>
      <c r="AA176" s="387"/>
      <c r="AB176" s="387"/>
      <c r="AC176" s="387"/>
      <c r="AE176" s="387"/>
      <c r="AF176" s="387"/>
      <c r="AG176" s="387"/>
      <c r="AH176" s="387"/>
      <c r="AI176" s="387"/>
      <c r="AJ176" s="387"/>
      <c r="AK176" s="387"/>
      <c r="AL176" s="387"/>
      <c r="AN176" s="387"/>
      <c r="AO176" s="387"/>
      <c r="AP176" s="387"/>
      <c r="AQ176" s="387"/>
      <c r="AR176" s="387"/>
      <c r="AS176" s="387"/>
      <c r="AT176" s="387"/>
      <c r="AU176" s="387"/>
      <c r="AV176" s="387"/>
      <c r="AW176" s="387"/>
      <c r="AX176" s="387"/>
      <c r="AY176" s="387"/>
      <c r="AZ176" s="387"/>
      <c r="BA176" s="387"/>
      <c r="BB176" s="387"/>
      <c r="BD176" s="606"/>
      <c r="BE176" s="616"/>
      <c r="BF176" s="616"/>
      <c r="BG176" s="9"/>
      <c r="BH176" s="48"/>
      <c r="BI176" s="387"/>
      <c r="BJ176" s="387"/>
      <c r="BK176" s="387"/>
      <c r="BL176" s="387"/>
      <c r="BM176" s="387"/>
    </row>
    <row r="177" spans="8:65" x14ac:dyDescent="0.2">
      <c r="H177" s="612"/>
      <c r="I177" s="4"/>
      <c r="L177" s="4"/>
      <c r="M177" s="4"/>
      <c r="Q177" s="387"/>
      <c r="R177" s="387"/>
      <c r="S177" s="387"/>
      <c r="T177" s="387"/>
      <c r="V177" s="387"/>
      <c r="W177" s="387"/>
      <c r="X177" s="387"/>
      <c r="Y177" s="387"/>
      <c r="Z177" s="605"/>
      <c r="AA177" s="387"/>
      <c r="AB177" s="387"/>
      <c r="AC177" s="387"/>
      <c r="AE177" s="387"/>
      <c r="AF177" s="387"/>
      <c r="AG177" s="387"/>
      <c r="AH177" s="387"/>
      <c r="AI177" s="387"/>
      <c r="AJ177" s="387"/>
      <c r="AK177" s="387"/>
      <c r="AL177" s="387"/>
      <c r="AN177" s="387"/>
      <c r="AO177" s="387"/>
      <c r="AP177" s="387"/>
      <c r="AQ177" s="387"/>
      <c r="AR177" s="387"/>
      <c r="AS177" s="387"/>
      <c r="AT177" s="387"/>
      <c r="AU177" s="387"/>
      <c r="AV177" s="387"/>
      <c r="AW177" s="387"/>
      <c r="AX177" s="387"/>
      <c r="AY177" s="387"/>
      <c r="AZ177" s="387"/>
      <c r="BA177" s="387"/>
      <c r="BB177" s="387"/>
      <c r="BD177" s="606"/>
      <c r="BE177" s="616"/>
      <c r="BF177" s="616"/>
      <c r="BG177" s="9"/>
      <c r="BH177" s="48"/>
      <c r="BI177" s="387"/>
      <c r="BJ177" s="387"/>
      <c r="BK177" s="387"/>
      <c r="BL177" s="387"/>
      <c r="BM177" s="387"/>
    </row>
    <row r="178" spans="8:65" x14ac:dyDescent="0.2">
      <c r="H178" s="612"/>
      <c r="I178" s="4"/>
      <c r="L178" s="4"/>
      <c r="M178" s="4"/>
      <c r="Q178" s="387"/>
      <c r="R178" s="387"/>
      <c r="S178" s="387"/>
      <c r="T178" s="387"/>
      <c r="V178" s="387"/>
      <c r="W178" s="387"/>
      <c r="X178" s="387"/>
      <c r="Y178" s="387"/>
      <c r="Z178" s="605"/>
      <c r="AA178" s="387"/>
      <c r="AB178" s="387"/>
      <c r="AC178" s="387"/>
      <c r="AE178" s="387"/>
      <c r="AF178" s="387"/>
      <c r="AG178" s="387"/>
      <c r="AH178" s="387"/>
      <c r="AI178" s="387"/>
      <c r="AJ178" s="387"/>
      <c r="AK178" s="387"/>
      <c r="AL178" s="387"/>
      <c r="AN178" s="387"/>
      <c r="AO178" s="387"/>
      <c r="AP178" s="387"/>
      <c r="AQ178" s="387"/>
      <c r="AR178" s="387"/>
      <c r="AS178" s="387"/>
      <c r="AT178" s="387"/>
      <c r="AU178" s="387"/>
      <c r="AV178" s="387"/>
      <c r="AW178" s="387"/>
      <c r="AX178" s="387"/>
      <c r="AY178" s="387"/>
      <c r="AZ178" s="387"/>
      <c r="BA178" s="387"/>
      <c r="BB178" s="387"/>
      <c r="BD178" s="606"/>
      <c r="BE178" s="616"/>
      <c r="BF178" s="616"/>
      <c r="BG178" s="9"/>
      <c r="BH178" s="48"/>
      <c r="BI178" s="387"/>
      <c r="BJ178" s="387"/>
      <c r="BK178" s="387"/>
      <c r="BL178" s="387"/>
      <c r="BM178" s="387"/>
    </row>
    <row r="179" spans="8:65" x14ac:dyDescent="0.2">
      <c r="H179" s="612"/>
      <c r="I179" s="4"/>
      <c r="L179" s="4"/>
      <c r="M179" s="4"/>
      <c r="Q179" s="387"/>
      <c r="R179" s="387"/>
      <c r="S179" s="387"/>
      <c r="T179" s="387"/>
      <c r="V179" s="387"/>
      <c r="W179" s="387"/>
      <c r="X179" s="387"/>
      <c r="Y179" s="387"/>
      <c r="Z179" s="605"/>
      <c r="AA179" s="387"/>
      <c r="AB179" s="387"/>
      <c r="AC179" s="387"/>
      <c r="AE179" s="387"/>
      <c r="AF179" s="387"/>
      <c r="AG179" s="387"/>
      <c r="AH179" s="387"/>
      <c r="AI179" s="387"/>
      <c r="AJ179" s="387"/>
      <c r="AK179" s="387"/>
      <c r="AL179" s="387"/>
      <c r="AN179" s="387"/>
      <c r="AO179" s="387"/>
      <c r="AP179" s="387"/>
      <c r="AQ179" s="387"/>
      <c r="AR179" s="387"/>
      <c r="AS179" s="387"/>
      <c r="AT179" s="387"/>
      <c r="AU179" s="387"/>
      <c r="AV179" s="387"/>
      <c r="AW179" s="387"/>
      <c r="AX179" s="387"/>
      <c r="AY179" s="387"/>
      <c r="AZ179" s="387"/>
      <c r="BA179" s="387"/>
      <c r="BB179" s="387"/>
      <c r="BD179" s="606"/>
      <c r="BE179" s="616"/>
      <c r="BF179" s="616"/>
      <c r="BG179" s="9"/>
      <c r="BH179" s="48"/>
      <c r="BI179" s="387"/>
      <c r="BJ179" s="387"/>
      <c r="BK179" s="387"/>
      <c r="BL179" s="387"/>
      <c r="BM179" s="387"/>
    </row>
    <row r="180" spans="8:65" x14ac:dyDescent="0.2">
      <c r="H180" s="612"/>
      <c r="I180" s="4"/>
      <c r="L180" s="4"/>
      <c r="M180" s="4"/>
      <c r="Q180" s="387"/>
      <c r="R180" s="387"/>
      <c r="S180" s="387"/>
      <c r="T180" s="387"/>
      <c r="V180" s="387"/>
      <c r="W180" s="387"/>
      <c r="X180" s="387"/>
      <c r="Y180" s="387"/>
      <c r="Z180" s="605"/>
      <c r="AA180" s="387"/>
      <c r="AB180" s="387"/>
      <c r="AC180" s="387"/>
      <c r="AE180" s="387"/>
      <c r="AF180" s="387"/>
      <c r="AG180" s="387"/>
      <c r="AH180" s="387"/>
      <c r="AI180" s="387"/>
      <c r="AJ180" s="387"/>
      <c r="AK180" s="387"/>
      <c r="AL180" s="387"/>
      <c r="AN180" s="387"/>
      <c r="AO180" s="387"/>
      <c r="AP180" s="387"/>
      <c r="AQ180" s="387"/>
      <c r="AR180" s="387"/>
      <c r="AS180" s="387"/>
      <c r="AT180" s="387"/>
      <c r="AU180" s="387"/>
      <c r="AV180" s="387"/>
      <c r="AW180" s="387"/>
      <c r="AX180" s="387"/>
      <c r="AY180" s="387"/>
      <c r="AZ180" s="387"/>
      <c r="BA180" s="387"/>
      <c r="BB180" s="387"/>
      <c r="BD180" s="606"/>
      <c r="BE180" s="616"/>
      <c r="BF180" s="616"/>
      <c r="BG180" s="9"/>
      <c r="BH180" s="48"/>
      <c r="BI180" s="387"/>
      <c r="BJ180" s="387"/>
      <c r="BK180" s="387"/>
      <c r="BL180" s="387"/>
      <c r="BM180" s="387"/>
    </row>
    <row r="181" spans="8:65" x14ac:dyDescent="0.2">
      <c r="H181" s="612"/>
      <c r="I181" s="4"/>
      <c r="L181" s="4"/>
      <c r="M181" s="4"/>
      <c r="Q181" s="387"/>
      <c r="R181" s="387"/>
      <c r="S181" s="387"/>
      <c r="T181" s="387"/>
      <c r="V181" s="387"/>
      <c r="W181" s="387"/>
      <c r="X181" s="387"/>
      <c r="Y181" s="387"/>
      <c r="Z181" s="605"/>
      <c r="AA181" s="387"/>
      <c r="AB181" s="387"/>
      <c r="AC181" s="387"/>
      <c r="AE181" s="387"/>
      <c r="AF181" s="387"/>
      <c r="AG181" s="387"/>
      <c r="AH181" s="387"/>
      <c r="AI181" s="387"/>
      <c r="AJ181" s="387"/>
      <c r="AK181" s="387"/>
      <c r="AL181" s="387"/>
      <c r="AN181" s="387"/>
      <c r="AO181" s="387"/>
      <c r="AP181" s="387"/>
      <c r="AQ181" s="387"/>
      <c r="AR181" s="387"/>
      <c r="AS181" s="387"/>
      <c r="AT181" s="387"/>
      <c r="AU181" s="387"/>
      <c r="AV181" s="387"/>
      <c r="AW181" s="387"/>
      <c r="AX181" s="387"/>
      <c r="AY181" s="387"/>
      <c r="AZ181" s="387"/>
      <c r="BA181" s="387"/>
      <c r="BB181" s="387"/>
      <c r="BD181" s="606"/>
      <c r="BE181" s="616"/>
      <c r="BF181" s="616"/>
      <c r="BG181" s="9"/>
      <c r="BH181" s="48"/>
      <c r="BI181" s="387"/>
      <c r="BJ181" s="387"/>
      <c r="BK181" s="387"/>
      <c r="BL181" s="387"/>
      <c r="BM181" s="387"/>
    </row>
    <row r="182" spans="8:65" x14ac:dyDescent="0.2">
      <c r="H182" s="612"/>
      <c r="I182" s="4"/>
      <c r="L182" s="4"/>
      <c r="M182" s="4"/>
      <c r="Q182" s="387"/>
      <c r="R182" s="387"/>
      <c r="S182" s="387"/>
      <c r="T182" s="387"/>
      <c r="V182" s="387"/>
      <c r="W182" s="387"/>
      <c r="X182" s="387"/>
      <c r="Y182" s="387"/>
      <c r="Z182" s="605"/>
      <c r="AA182" s="387"/>
      <c r="AB182" s="387"/>
      <c r="AC182" s="387"/>
      <c r="AE182" s="387"/>
      <c r="AF182" s="387"/>
      <c r="AG182" s="387"/>
      <c r="AH182" s="387"/>
      <c r="AI182" s="387"/>
      <c r="AJ182" s="387"/>
      <c r="AK182" s="387"/>
      <c r="AL182" s="387"/>
      <c r="AN182" s="387"/>
      <c r="AO182" s="387"/>
      <c r="AP182" s="387"/>
      <c r="AQ182" s="387"/>
      <c r="AR182" s="387"/>
      <c r="AS182" s="387"/>
      <c r="AT182" s="387"/>
      <c r="AU182" s="387"/>
      <c r="AV182" s="387"/>
      <c r="AW182" s="387"/>
      <c r="AX182" s="387"/>
      <c r="AY182" s="387"/>
      <c r="AZ182" s="387"/>
      <c r="BA182" s="387"/>
      <c r="BB182" s="387"/>
      <c r="BD182" s="606"/>
      <c r="BE182" s="616"/>
      <c r="BF182" s="616"/>
      <c r="BG182" s="9"/>
      <c r="BH182" s="48"/>
      <c r="BI182" s="387"/>
      <c r="BJ182" s="387"/>
      <c r="BK182" s="387"/>
      <c r="BL182" s="387"/>
      <c r="BM182" s="387"/>
    </row>
    <row r="183" spans="8:65" x14ac:dyDescent="0.2">
      <c r="H183" s="612"/>
      <c r="I183" s="4"/>
      <c r="L183" s="4"/>
      <c r="M183" s="4"/>
      <c r="Q183" s="387"/>
      <c r="R183" s="387"/>
      <c r="S183" s="387"/>
      <c r="T183" s="387"/>
      <c r="V183" s="387"/>
      <c r="W183" s="387"/>
      <c r="X183" s="387"/>
      <c r="Y183" s="387"/>
      <c r="Z183" s="605"/>
      <c r="AA183" s="387"/>
      <c r="AB183" s="387"/>
      <c r="AC183" s="387"/>
      <c r="AE183" s="387"/>
      <c r="AF183" s="387"/>
      <c r="AG183" s="387"/>
      <c r="AH183" s="387"/>
      <c r="AI183" s="387"/>
      <c r="AJ183" s="387"/>
      <c r="AK183" s="387"/>
      <c r="AL183" s="387"/>
      <c r="AN183" s="387"/>
      <c r="AO183" s="387"/>
      <c r="AP183" s="387"/>
      <c r="AQ183" s="387"/>
      <c r="AR183" s="387"/>
      <c r="AS183" s="387"/>
      <c r="AT183" s="387"/>
      <c r="AU183" s="387"/>
      <c r="AV183" s="387"/>
      <c r="AW183" s="387"/>
      <c r="AX183" s="387"/>
      <c r="AY183" s="387"/>
      <c r="AZ183" s="387"/>
      <c r="BA183" s="387"/>
      <c r="BB183" s="387"/>
      <c r="BD183" s="606"/>
      <c r="BE183" s="616"/>
      <c r="BF183" s="616"/>
      <c r="BG183" s="9"/>
      <c r="BH183" s="48"/>
      <c r="BI183" s="387"/>
      <c r="BJ183" s="387"/>
      <c r="BK183" s="387"/>
      <c r="BL183" s="387"/>
      <c r="BM183" s="387"/>
    </row>
    <row r="184" spans="8:65" x14ac:dyDescent="0.2">
      <c r="H184" s="612"/>
      <c r="I184" s="4"/>
      <c r="L184" s="4"/>
      <c r="M184" s="4"/>
      <c r="Q184" s="387"/>
      <c r="R184" s="387"/>
      <c r="S184" s="387"/>
      <c r="T184" s="387"/>
      <c r="V184" s="387"/>
      <c r="W184" s="387"/>
      <c r="X184" s="387"/>
      <c r="Y184" s="387"/>
      <c r="Z184" s="605"/>
      <c r="AA184" s="387"/>
      <c r="AB184" s="387"/>
      <c r="AC184" s="387"/>
      <c r="AE184" s="387"/>
      <c r="AF184" s="387"/>
      <c r="AG184" s="387"/>
      <c r="AH184" s="387"/>
      <c r="AI184" s="387"/>
      <c r="AJ184" s="387"/>
      <c r="AK184" s="387"/>
      <c r="AL184" s="387"/>
      <c r="AN184" s="387"/>
      <c r="AO184" s="387"/>
      <c r="AP184" s="387"/>
      <c r="AQ184" s="387"/>
      <c r="AR184" s="387"/>
      <c r="AS184" s="387"/>
      <c r="AT184" s="387"/>
      <c r="AU184" s="387"/>
      <c r="AV184" s="387"/>
      <c r="AW184" s="387"/>
      <c r="AX184" s="387"/>
      <c r="AY184" s="387"/>
      <c r="AZ184" s="387"/>
      <c r="BA184" s="387"/>
      <c r="BB184" s="387"/>
      <c r="BD184" s="606"/>
      <c r="BE184" s="616"/>
      <c r="BF184" s="616"/>
      <c r="BG184" s="9"/>
      <c r="BH184" s="48"/>
      <c r="BI184" s="387"/>
      <c r="BJ184" s="387"/>
      <c r="BK184" s="387"/>
      <c r="BL184" s="387"/>
      <c r="BM184" s="387"/>
    </row>
    <row r="185" spans="8:65" x14ac:dyDescent="0.2">
      <c r="H185" s="612"/>
      <c r="I185" s="4"/>
      <c r="L185" s="4"/>
      <c r="M185" s="4"/>
      <c r="Q185" s="387"/>
      <c r="R185" s="387"/>
      <c r="S185" s="387"/>
      <c r="T185" s="387"/>
      <c r="V185" s="387"/>
      <c r="W185" s="387"/>
      <c r="X185" s="387"/>
      <c r="Y185" s="387"/>
      <c r="Z185" s="605"/>
      <c r="AA185" s="387"/>
      <c r="AB185" s="387"/>
      <c r="AC185" s="387"/>
      <c r="AE185" s="387"/>
      <c r="AF185" s="387"/>
      <c r="AG185" s="387"/>
      <c r="AH185" s="387"/>
      <c r="AI185" s="387"/>
      <c r="AJ185" s="387"/>
      <c r="AK185" s="387"/>
      <c r="AL185" s="387"/>
      <c r="AN185" s="387"/>
      <c r="AO185" s="387"/>
      <c r="AP185" s="387"/>
      <c r="AQ185" s="387"/>
      <c r="AR185" s="387"/>
      <c r="AS185" s="387"/>
      <c r="AT185" s="387"/>
      <c r="AU185" s="387"/>
      <c r="AV185" s="387"/>
      <c r="AW185" s="387"/>
      <c r="AX185" s="387"/>
      <c r="AY185" s="387"/>
      <c r="AZ185" s="387"/>
      <c r="BA185" s="387"/>
      <c r="BB185" s="387"/>
      <c r="BD185" s="606"/>
      <c r="BE185" s="616"/>
      <c r="BF185" s="616"/>
      <c r="BG185" s="9"/>
      <c r="BH185" s="48"/>
      <c r="BI185" s="387"/>
      <c r="BJ185" s="387"/>
      <c r="BK185" s="387"/>
      <c r="BL185" s="387"/>
      <c r="BM185" s="387"/>
    </row>
    <row r="186" spans="8:65" x14ac:dyDescent="0.2">
      <c r="H186" s="612"/>
      <c r="I186" s="4"/>
      <c r="L186" s="4"/>
      <c r="M186" s="4"/>
      <c r="Q186" s="387"/>
      <c r="R186" s="387"/>
      <c r="S186" s="387"/>
      <c r="T186" s="387"/>
      <c r="V186" s="387"/>
      <c r="W186" s="387"/>
      <c r="X186" s="387"/>
      <c r="Y186" s="387"/>
      <c r="Z186" s="605"/>
      <c r="AA186" s="387"/>
      <c r="AB186" s="387"/>
      <c r="AC186" s="387"/>
      <c r="AE186" s="387"/>
      <c r="AF186" s="387"/>
      <c r="AG186" s="387"/>
      <c r="AH186" s="387"/>
      <c r="AI186" s="387"/>
      <c r="AJ186" s="387"/>
      <c r="AK186" s="387"/>
      <c r="AL186" s="387"/>
      <c r="AN186" s="387"/>
      <c r="AO186" s="387"/>
      <c r="AP186" s="387"/>
      <c r="AQ186" s="387"/>
      <c r="AR186" s="387"/>
      <c r="AS186" s="387"/>
      <c r="AT186" s="387"/>
      <c r="AU186" s="387"/>
      <c r="AV186" s="387"/>
      <c r="AW186" s="387"/>
      <c r="AX186" s="387"/>
      <c r="AY186" s="387"/>
      <c r="AZ186" s="387"/>
      <c r="BA186" s="387"/>
      <c r="BB186" s="387"/>
      <c r="BD186" s="606"/>
      <c r="BE186" s="616"/>
      <c r="BF186" s="616"/>
      <c r="BG186" s="9"/>
      <c r="BH186" s="48"/>
      <c r="BI186" s="387"/>
      <c r="BJ186" s="387"/>
      <c r="BK186" s="387"/>
      <c r="BL186" s="387"/>
      <c r="BM186" s="387"/>
    </row>
    <row r="187" spans="8:65" x14ac:dyDescent="0.2">
      <c r="H187" s="612"/>
      <c r="I187" s="4"/>
      <c r="L187" s="4"/>
      <c r="M187" s="4"/>
      <c r="Q187" s="387"/>
      <c r="R187" s="387"/>
      <c r="S187" s="387"/>
      <c r="T187" s="387"/>
      <c r="V187" s="387"/>
      <c r="W187" s="387"/>
      <c r="X187" s="387"/>
      <c r="Y187" s="387"/>
      <c r="Z187" s="605"/>
      <c r="AA187" s="387"/>
      <c r="AB187" s="387"/>
      <c r="AC187" s="387"/>
      <c r="AE187" s="387"/>
      <c r="AF187" s="387"/>
      <c r="AG187" s="387"/>
      <c r="AH187" s="387"/>
      <c r="AI187" s="387"/>
      <c r="AJ187" s="387"/>
      <c r="AK187" s="387"/>
      <c r="AL187" s="387"/>
      <c r="AN187" s="387"/>
      <c r="AO187" s="387"/>
      <c r="AP187" s="387"/>
      <c r="AQ187" s="387"/>
      <c r="AR187" s="387"/>
      <c r="AS187" s="387"/>
      <c r="AT187" s="387"/>
      <c r="AU187" s="387"/>
      <c r="AV187" s="387"/>
      <c r="AW187" s="387"/>
      <c r="AX187" s="387"/>
      <c r="AY187" s="387"/>
      <c r="AZ187" s="387"/>
      <c r="BA187" s="387"/>
      <c r="BB187" s="387"/>
      <c r="BD187" s="606"/>
      <c r="BE187" s="616"/>
      <c r="BF187" s="616"/>
      <c r="BG187" s="9"/>
      <c r="BH187" s="48"/>
      <c r="BI187" s="387"/>
      <c r="BJ187" s="387"/>
      <c r="BK187" s="387"/>
      <c r="BL187" s="387"/>
      <c r="BM187" s="387"/>
    </row>
    <row r="188" spans="8:65" x14ac:dyDescent="0.2">
      <c r="H188" s="612"/>
      <c r="I188" s="4"/>
      <c r="L188" s="4"/>
      <c r="M188" s="4"/>
      <c r="Q188" s="387"/>
      <c r="R188" s="387"/>
      <c r="S188" s="387"/>
      <c r="T188" s="387"/>
      <c r="V188" s="387"/>
      <c r="W188" s="387"/>
      <c r="X188" s="387"/>
      <c r="Y188" s="387"/>
      <c r="Z188" s="605"/>
      <c r="AA188" s="387"/>
      <c r="AB188" s="387"/>
      <c r="AC188" s="387"/>
      <c r="AE188" s="387"/>
      <c r="AF188" s="387"/>
      <c r="AG188" s="387"/>
      <c r="AH188" s="387"/>
      <c r="AI188" s="387"/>
      <c r="AJ188" s="387"/>
      <c r="AK188" s="387"/>
      <c r="AL188" s="387"/>
      <c r="AN188" s="387"/>
      <c r="AO188" s="387"/>
      <c r="AP188" s="387"/>
      <c r="AQ188" s="387"/>
      <c r="AR188" s="387"/>
      <c r="AS188" s="387"/>
      <c r="AT188" s="387"/>
      <c r="AU188" s="387"/>
      <c r="AV188" s="387"/>
      <c r="AW188" s="387"/>
      <c r="AX188" s="387"/>
      <c r="AY188" s="387"/>
      <c r="AZ188" s="387"/>
      <c r="BA188" s="387"/>
      <c r="BB188" s="387"/>
      <c r="BD188" s="606"/>
      <c r="BE188" s="616"/>
      <c r="BF188" s="616"/>
      <c r="BG188" s="9"/>
      <c r="BH188" s="48"/>
      <c r="BI188" s="387"/>
      <c r="BJ188" s="387"/>
      <c r="BK188" s="387"/>
      <c r="BL188" s="387"/>
      <c r="BM188" s="387"/>
    </row>
    <row r="189" spans="8:65" x14ac:dyDescent="0.2">
      <c r="H189" s="612"/>
      <c r="I189" s="4"/>
      <c r="L189" s="4"/>
      <c r="M189" s="4"/>
      <c r="Q189" s="387"/>
      <c r="R189" s="387"/>
      <c r="S189" s="387"/>
      <c r="T189" s="387"/>
      <c r="V189" s="387"/>
      <c r="W189" s="387"/>
      <c r="X189" s="387"/>
      <c r="Y189" s="387"/>
      <c r="Z189" s="605"/>
      <c r="AA189" s="387"/>
      <c r="AB189" s="387"/>
      <c r="AC189" s="387"/>
      <c r="AE189" s="387"/>
      <c r="AF189" s="387"/>
      <c r="AG189" s="387"/>
      <c r="AH189" s="387"/>
      <c r="AI189" s="387"/>
      <c r="AJ189" s="387"/>
      <c r="AK189" s="387"/>
      <c r="AL189" s="387"/>
      <c r="AN189" s="387"/>
      <c r="AO189" s="387"/>
      <c r="AP189" s="387"/>
      <c r="AQ189" s="387"/>
      <c r="AR189" s="387"/>
      <c r="AS189" s="387"/>
      <c r="AT189" s="387"/>
      <c r="AU189" s="387"/>
      <c r="AV189" s="387"/>
      <c r="AW189" s="387"/>
      <c r="AX189" s="387"/>
      <c r="AY189" s="387"/>
      <c r="AZ189" s="387"/>
      <c r="BA189" s="387"/>
      <c r="BB189" s="387"/>
      <c r="BD189" s="606"/>
      <c r="BE189" s="616"/>
      <c r="BF189" s="616"/>
      <c r="BG189" s="9"/>
      <c r="BH189" s="48"/>
      <c r="BI189" s="387"/>
      <c r="BJ189" s="387"/>
      <c r="BK189" s="387"/>
      <c r="BL189" s="387"/>
      <c r="BM189" s="387"/>
    </row>
    <row r="190" spans="8:65" x14ac:dyDescent="0.2">
      <c r="H190" s="612"/>
      <c r="I190" s="4"/>
      <c r="L190" s="4"/>
      <c r="M190" s="4"/>
      <c r="Q190" s="387"/>
      <c r="R190" s="387"/>
      <c r="S190" s="387"/>
      <c r="T190" s="387"/>
      <c r="V190" s="387"/>
      <c r="W190" s="387"/>
      <c r="X190" s="387"/>
      <c r="Y190" s="387"/>
      <c r="Z190" s="605"/>
      <c r="AA190" s="387"/>
      <c r="AB190" s="387"/>
      <c r="AC190" s="387"/>
      <c r="AE190" s="387"/>
      <c r="AF190" s="387"/>
      <c r="AG190" s="387"/>
      <c r="AH190" s="387"/>
      <c r="AI190" s="387"/>
      <c r="AJ190" s="387"/>
      <c r="AK190" s="387"/>
      <c r="AL190" s="387"/>
      <c r="AN190" s="387"/>
      <c r="AO190" s="387"/>
      <c r="AP190" s="387"/>
      <c r="AQ190" s="387"/>
      <c r="AR190" s="387"/>
      <c r="AS190" s="387"/>
      <c r="AT190" s="387"/>
      <c r="AU190" s="387"/>
      <c r="AV190" s="387"/>
      <c r="AW190" s="387"/>
      <c r="AX190" s="387"/>
      <c r="AY190" s="387"/>
      <c r="AZ190" s="387"/>
      <c r="BA190" s="387"/>
      <c r="BB190" s="387"/>
      <c r="BD190" s="606"/>
      <c r="BE190" s="616"/>
      <c r="BF190" s="616"/>
      <c r="BG190" s="9"/>
      <c r="BH190" s="48"/>
      <c r="BI190" s="387"/>
      <c r="BJ190" s="387"/>
      <c r="BK190" s="387"/>
      <c r="BL190" s="387"/>
      <c r="BM190" s="387"/>
    </row>
    <row r="191" spans="8:65" x14ac:dyDescent="0.2">
      <c r="H191" s="612"/>
      <c r="I191" s="4"/>
      <c r="L191" s="4"/>
      <c r="M191" s="4"/>
      <c r="Q191" s="387"/>
      <c r="R191" s="387"/>
      <c r="S191" s="387"/>
      <c r="T191" s="387"/>
      <c r="V191" s="387"/>
      <c r="W191" s="387"/>
      <c r="X191" s="387"/>
      <c r="Y191" s="387"/>
      <c r="Z191" s="605"/>
      <c r="AA191" s="387"/>
      <c r="AB191" s="387"/>
      <c r="AC191" s="387"/>
      <c r="AE191" s="387"/>
      <c r="AF191" s="387"/>
      <c r="AG191" s="387"/>
      <c r="AH191" s="387"/>
      <c r="AI191" s="387"/>
      <c r="AJ191" s="387"/>
      <c r="AK191" s="387"/>
      <c r="AL191" s="387"/>
      <c r="AN191" s="387"/>
      <c r="AO191" s="387"/>
      <c r="AP191" s="387"/>
      <c r="AQ191" s="387"/>
      <c r="AR191" s="387"/>
      <c r="AS191" s="387"/>
      <c r="AT191" s="387"/>
      <c r="AU191" s="387"/>
      <c r="AV191" s="387"/>
      <c r="AW191" s="387"/>
      <c r="AX191" s="387"/>
      <c r="AY191" s="387"/>
      <c r="AZ191" s="387"/>
      <c r="BA191" s="387"/>
      <c r="BB191" s="387"/>
      <c r="BD191" s="606"/>
      <c r="BE191" s="616"/>
      <c r="BF191" s="616"/>
      <c r="BG191" s="9"/>
      <c r="BH191" s="48"/>
      <c r="BI191" s="387"/>
      <c r="BJ191" s="387"/>
      <c r="BK191" s="387"/>
      <c r="BL191" s="387"/>
      <c r="BM191" s="387"/>
    </row>
    <row r="192" spans="8:65" x14ac:dyDescent="0.2">
      <c r="H192" s="612"/>
      <c r="I192" s="4"/>
      <c r="L192" s="4"/>
      <c r="M192" s="4"/>
      <c r="Q192" s="387"/>
      <c r="R192" s="387"/>
      <c r="S192" s="387"/>
      <c r="T192" s="387"/>
      <c r="V192" s="387"/>
      <c r="W192" s="387"/>
      <c r="X192" s="387"/>
      <c r="Y192" s="387"/>
      <c r="Z192" s="605"/>
      <c r="AA192" s="387"/>
      <c r="AB192" s="387"/>
      <c r="AC192" s="387"/>
      <c r="AE192" s="387"/>
      <c r="AF192" s="387"/>
      <c r="AG192" s="387"/>
      <c r="AH192" s="387"/>
      <c r="AI192" s="387"/>
      <c r="AJ192" s="387"/>
      <c r="AK192" s="387"/>
      <c r="AL192" s="387"/>
      <c r="AN192" s="387"/>
      <c r="AO192" s="387"/>
      <c r="AP192" s="387"/>
      <c r="AQ192" s="387"/>
      <c r="AR192" s="387"/>
      <c r="AS192" s="387"/>
      <c r="AT192" s="387"/>
      <c r="AU192" s="387"/>
      <c r="AV192" s="387"/>
      <c r="AW192" s="387"/>
      <c r="AX192" s="387"/>
      <c r="AY192" s="387"/>
      <c r="AZ192" s="387"/>
      <c r="BA192" s="387"/>
      <c r="BB192" s="387"/>
      <c r="BD192" s="606"/>
      <c r="BE192" s="616"/>
      <c r="BF192" s="616"/>
      <c r="BG192" s="9"/>
      <c r="BH192" s="48"/>
      <c r="BI192" s="387"/>
      <c r="BJ192" s="387"/>
      <c r="BK192" s="387"/>
      <c r="BL192" s="387"/>
      <c r="BM192" s="387"/>
    </row>
    <row r="193" spans="8:65" x14ac:dyDescent="0.2">
      <c r="H193" s="612"/>
      <c r="I193" s="4"/>
      <c r="L193" s="4"/>
      <c r="M193" s="4"/>
      <c r="Q193" s="387"/>
      <c r="R193" s="387"/>
      <c r="S193" s="387"/>
      <c r="T193" s="387"/>
      <c r="V193" s="387"/>
      <c r="W193" s="387"/>
      <c r="X193" s="387"/>
      <c r="Y193" s="387"/>
      <c r="Z193" s="605"/>
      <c r="AA193" s="387"/>
      <c r="AB193" s="387"/>
      <c r="AC193" s="387"/>
      <c r="AE193" s="387"/>
      <c r="AF193" s="387"/>
      <c r="AG193" s="387"/>
      <c r="AH193" s="387"/>
      <c r="AI193" s="387"/>
      <c r="AJ193" s="387"/>
      <c r="AK193" s="387"/>
      <c r="AL193" s="387"/>
      <c r="AN193" s="387"/>
      <c r="AO193" s="387"/>
      <c r="AP193" s="387"/>
      <c r="AQ193" s="387"/>
      <c r="AR193" s="387"/>
      <c r="AS193" s="387"/>
      <c r="AT193" s="387"/>
      <c r="AU193" s="387"/>
      <c r="AV193" s="387"/>
      <c r="AW193" s="387"/>
      <c r="AX193" s="387"/>
      <c r="AY193" s="387"/>
      <c r="AZ193" s="387"/>
      <c r="BA193" s="387"/>
      <c r="BB193" s="387"/>
      <c r="BD193" s="606"/>
      <c r="BE193" s="616"/>
      <c r="BF193" s="616"/>
      <c r="BG193" s="9"/>
      <c r="BH193" s="48"/>
      <c r="BI193" s="387"/>
      <c r="BJ193" s="387"/>
      <c r="BK193" s="387"/>
      <c r="BL193" s="387"/>
      <c r="BM193" s="387"/>
    </row>
    <row r="194" spans="8:65" x14ac:dyDescent="0.2">
      <c r="H194" s="612"/>
      <c r="I194" s="4"/>
      <c r="L194" s="4"/>
      <c r="M194" s="4"/>
      <c r="Q194" s="387"/>
      <c r="R194" s="387"/>
      <c r="S194" s="387"/>
      <c r="T194" s="387"/>
      <c r="V194" s="387"/>
      <c r="W194" s="387"/>
      <c r="X194" s="387"/>
      <c r="Y194" s="387"/>
      <c r="Z194" s="605"/>
      <c r="AA194" s="387"/>
      <c r="AB194" s="387"/>
      <c r="AC194" s="387"/>
      <c r="AE194" s="387"/>
      <c r="AF194" s="387"/>
      <c r="AG194" s="387"/>
      <c r="AH194" s="387"/>
      <c r="AI194" s="387"/>
      <c r="AJ194" s="387"/>
      <c r="AK194" s="387"/>
      <c r="AL194" s="387"/>
      <c r="AN194" s="387"/>
      <c r="AO194" s="387"/>
      <c r="AP194" s="387"/>
      <c r="AQ194" s="387"/>
      <c r="AR194" s="387"/>
      <c r="AS194" s="387"/>
      <c r="AT194" s="387"/>
      <c r="AU194" s="387"/>
      <c r="AV194" s="387"/>
      <c r="AW194" s="387"/>
      <c r="AX194" s="387"/>
      <c r="AY194" s="387"/>
      <c r="AZ194" s="387"/>
      <c r="BA194" s="387"/>
      <c r="BB194" s="387"/>
      <c r="BD194" s="606"/>
      <c r="BE194" s="616"/>
      <c r="BF194" s="616"/>
      <c r="BG194" s="9"/>
      <c r="BH194" s="48"/>
      <c r="BI194" s="387"/>
      <c r="BJ194" s="387"/>
      <c r="BK194" s="387"/>
      <c r="BL194" s="387"/>
      <c r="BM194" s="387"/>
    </row>
    <row r="195" spans="8:65" x14ac:dyDescent="0.2">
      <c r="H195" s="612"/>
      <c r="I195" s="4"/>
      <c r="L195" s="4"/>
      <c r="M195" s="4"/>
      <c r="Q195" s="387"/>
      <c r="R195" s="387"/>
      <c r="S195" s="387"/>
      <c r="T195" s="387"/>
      <c r="V195" s="387"/>
      <c r="W195" s="387"/>
      <c r="X195" s="387"/>
      <c r="Y195" s="387"/>
      <c r="Z195" s="605"/>
      <c r="AA195" s="387"/>
      <c r="AB195" s="387"/>
      <c r="AC195" s="387"/>
      <c r="AE195" s="387"/>
      <c r="AF195" s="387"/>
      <c r="AG195" s="387"/>
      <c r="AH195" s="387"/>
      <c r="AI195" s="387"/>
      <c r="AJ195" s="387"/>
      <c r="AK195" s="387"/>
      <c r="AL195" s="387"/>
      <c r="AN195" s="387"/>
      <c r="AO195" s="387"/>
      <c r="AP195" s="387"/>
      <c r="AQ195" s="387"/>
      <c r="AR195" s="387"/>
      <c r="AS195" s="387"/>
      <c r="AT195" s="387"/>
      <c r="AU195" s="387"/>
      <c r="AV195" s="387"/>
      <c r="AW195" s="387"/>
      <c r="AX195" s="387"/>
      <c r="AY195" s="387"/>
      <c r="AZ195" s="387"/>
      <c r="BA195" s="387"/>
      <c r="BB195" s="387"/>
      <c r="BD195" s="606"/>
      <c r="BE195" s="616"/>
      <c r="BF195" s="616"/>
      <c r="BG195" s="9"/>
      <c r="BH195" s="48"/>
      <c r="BI195" s="387"/>
      <c r="BJ195" s="387"/>
      <c r="BK195" s="387"/>
      <c r="BL195" s="387"/>
      <c r="BM195" s="387"/>
    </row>
    <row r="196" spans="8:65" x14ac:dyDescent="0.2">
      <c r="H196" s="612"/>
      <c r="I196" s="4"/>
      <c r="L196" s="4"/>
      <c r="M196" s="4"/>
      <c r="Q196" s="387"/>
      <c r="R196" s="387"/>
      <c r="S196" s="387"/>
      <c r="T196" s="387"/>
      <c r="V196" s="387"/>
      <c r="W196" s="387"/>
      <c r="X196" s="387"/>
      <c r="Y196" s="387"/>
      <c r="Z196" s="605"/>
      <c r="AA196" s="387"/>
      <c r="AB196" s="387"/>
      <c r="AC196" s="387"/>
      <c r="AE196" s="387"/>
      <c r="AF196" s="387"/>
      <c r="AG196" s="387"/>
      <c r="AH196" s="387"/>
      <c r="AI196" s="387"/>
      <c r="AJ196" s="387"/>
      <c r="AK196" s="387"/>
      <c r="AL196" s="387"/>
      <c r="AN196" s="387"/>
      <c r="AO196" s="387"/>
      <c r="AP196" s="387"/>
      <c r="AQ196" s="387"/>
      <c r="AR196" s="387"/>
      <c r="AS196" s="387"/>
      <c r="AT196" s="387"/>
      <c r="AU196" s="387"/>
      <c r="AV196" s="387"/>
      <c r="AW196" s="387"/>
      <c r="AX196" s="387"/>
      <c r="AY196" s="387"/>
      <c r="AZ196" s="387"/>
      <c r="BA196" s="387"/>
      <c r="BB196" s="387"/>
      <c r="BD196" s="606"/>
      <c r="BE196" s="616"/>
      <c r="BF196" s="616"/>
      <c r="BG196" s="9"/>
      <c r="BH196" s="48"/>
      <c r="BI196" s="387"/>
      <c r="BJ196" s="387"/>
      <c r="BK196" s="387"/>
      <c r="BL196" s="387"/>
      <c r="BM196" s="387"/>
    </row>
    <row r="197" spans="8:65" x14ac:dyDescent="0.2">
      <c r="H197" s="612"/>
      <c r="I197" s="4"/>
      <c r="L197" s="4"/>
      <c r="M197" s="4"/>
      <c r="Q197" s="387"/>
      <c r="R197" s="387"/>
      <c r="S197" s="387"/>
      <c r="T197" s="387"/>
      <c r="V197" s="387"/>
      <c r="W197" s="387"/>
      <c r="X197" s="387"/>
      <c r="Y197" s="387"/>
      <c r="Z197" s="605"/>
      <c r="AA197" s="387"/>
      <c r="AB197" s="387"/>
      <c r="AC197" s="387"/>
      <c r="AE197" s="387"/>
      <c r="AF197" s="387"/>
      <c r="AG197" s="387"/>
      <c r="AH197" s="387"/>
      <c r="AI197" s="387"/>
      <c r="AJ197" s="387"/>
      <c r="AK197" s="387"/>
      <c r="AL197" s="387"/>
      <c r="AN197" s="387"/>
      <c r="AO197" s="387"/>
      <c r="AP197" s="387"/>
      <c r="AQ197" s="387"/>
      <c r="AR197" s="387"/>
      <c r="AS197" s="387"/>
      <c r="AT197" s="387"/>
      <c r="AU197" s="387"/>
      <c r="AV197" s="387"/>
      <c r="AW197" s="387"/>
      <c r="AX197" s="387"/>
      <c r="AY197" s="387"/>
      <c r="AZ197" s="387"/>
      <c r="BA197" s="387"/>
      <c r="BB197" s="387"/>
      <c r="BD197" s="606"/>
      <c r="BE197" s="616"/>
      <c r="BF197" s="616"/>
      <c r="BG197" s="9"/>
      <c r="BH197" s="48"/>
      <c r="BI197" s="387"/>
      <c r="BJ197" s="387"/>
      <c r="BK197" s="387"/>
      <c r="BL197" s="387"/>
      <c r="BM197" s="387"/>
    </row>
    <row r="198" spans="8:65" x14ac:dyDescent="0.2">
      <c r="H198" s="612"/>
      <c r="I198" s="4"/>
      <c r="L198" s="4"/>
      <c r="M198" s="4"/>
      <c r="Q198" s="387"/>
      <c r="R198" s="387"/>
      <c r="S198" s="387"/>
      <c r="T198" s="387"/>
      <c r="V198" s="387"/>
      <c r="W198" s="387"/>
      <c r="X198" s="387"/>
      <c r="Y198" s="387"/>
      <c r="Z198" s="605"/>
      <c r="AA198" s="387"/>
      <c r="AB198" s="387"/>
      <c r="AC198" s="387"/>
      <c r="AE198" s="387"/>
      <c r="AF198" s="387"/>
      <c r="AG198" s="387"/>
      <c r="AH198" s="387"/>
      <c r="AI198" s="387"/>
      <c r="AJ198" s="387"/>
      <c r="AK198" s="387"/>
      <c r="AL198" s="387"/>
      <c r="AN198" s="387"/>
      <c r="AO198" s="387"/>
      <c r="AP198" s="387"/>
      <c r="AQ198" s="387"/>
      <c r="AR198" s="387"/>
      <c r="AS198" s="387"/>
      <c r="AT198" s="387"/>
      <c r="AU198" s="387"/>
      <c r="AV198" s="387"/>
      <c r="AW198" s="387"/>
      <c r="AX198" s="387"/>
      <c r="AY198" s="387"/>
      <c r="AZ198" s="387"/>
      <c r="BA198" s="387"/>
      <c r="BB198" s="387"/>
      <c r="BD198" s="606"/>
      <c r="BE198" s="616"/>
      <c r="BF198" s="616"/>
      <c r="BG198" s="9"/>
      <c r="BH198" s="48"/>
      <c r="BI198" s="387"/>
      <c r="BJ198" s="387"/>
      <c r="BK198" s="387"/>
      <c r="BL198" s="387"/>
      <c r="BM198" s="387"/>
    </row>
    <row r="199" spans="8:65" x14ac:dyDescent="0.2">
      <c r="H199" s="612"/>
      <c r="I199" s="4"/>
      <c r="L199" s="4"/>
      <c r="M199" s="4"/>
      <c r="Q199" s="387"/>
      <c r="R199" s="387"/>
      <c r="S199" s="387"/>
      <c r="T199" s="387"/>
      <c r="V199" s="387"/>
      <c r="W199" s="387"/>
      <c r="X199" s="387"/>
      <c r="Y199" s="387"/>
      <c r="Z199" s="605"/>
      <c r="AA199" s="387"/>
      <c r="AB199" s="387"/>
      <c r="AC199" s="387"/>
      <c r="AE199" s="387"/>
      <c r="AF199" s="387"/>
      <c r="AG199" s="387"/>
      <c r="AH199" s="387"/>
      <c r="AI199" s="387"/>
      <c r="AJ199" s="387"/>
      <c r="AK199" s="387"/>
      <c r="AL199" s="387"/>
      <c r="AN199" s="387"/>
      <c r="AO199" s="387"/>
      <c r="AP199" s="387"/>
      <c r="AQ199" s="387"/>
      <c r="AR199" s="387"/>
      <c r="AS199" s="387"/>
      <c r="AT199" s="387"/>
      <c r="AU199" s="387"/>
      <c r="AV199" s="387"/>
      <c r="AW199" s="387"/>
      <c r="AX199" s="387"/>
      <c r="AY199" s="387"/>
      <c r="AZ199" s="387"/>
      <c r="BA199" s="387"/>
      <c r="BB199" s="387"/>
      <c r="BD199" s="606"/>
      <c r="BE199" s="616"/>
      <c r="BF199" s="616"/>
      <c r="BG199" s="9"/>
      <c r="BH199" s="48"/>
      <c r="BI199" s="387"/>
      <c r="BJ199" s="387"/>
      <c r="BK199" s="387"/>
      <c r="BL199" s="387"/>
      <c r="BM199" s="387"/>
    </row>
    <row r="200" spans="8:65" x14ac:dyDescent="0.2">
      <c r="H200" s="612"/>
      <c r="I200" s="4"/>
      <c r="L200" s="4"/>
      <c r="M200" s="4"/>
      <c r="Q200" s="387"/>
      <c r="R200" s="387"/>
      <c r="S200" s="387"/>
      <c r="T200" s="387"/>
      <c r="V200" s="387"/>
      <c r="W200" s="387"/>
      <c r="X200" s="387"/>
      <c r="Y200" s="387"/>
      <c r="Z200" s="605"/>
      <c r="AA200" s="387"/>
      <c r="AB200" s="387"/>
      <c r="AC200" s="387"/>
      <c r="AE200" s="387"/>
      <c r="AF200" s="387"/>
      <c r="AG200" s="387"/>
      <c r="AH200" s="387"/>
      <c r="AI200" s="387"/>
      <c r="AJ200" s="387"/>
      <c r="AK200" s="387"/>
      <c r="AL200" s="387"/>
      <c r="AN200" s="387"/>
      <c r="AO200" s="387"/>
      <c r="AP200" s="387"/>
      <c r="AQ200" s="387"/>
      <c r="AR200" s="387"/>
      <c r="AS200" s="387"/>
      <c r="AT200" s="387"/>
      <c r="AU200" s="387"/>
      <c r="AV200" s="387"/>
      <c r="AW200" s="387"/>
      <c r="AX200" s="387"/>
      <c r="AY200" s="387"/>
      <c r="AZ200" s="387"/>
      <c r="BA200" s="387"/>
      <c r="BB200" s="387"/>
      <c r="BD200" s="606"/>
      <c r="BE200" s="616"/>
      <c r="BF200" s="616"/>
      <c r="BG200" s="9"/>
      <c r="BH200" s="48"/>
      <c r="BI200" s="387"/>
      <c r="BJ200" s="387"/>
      <c r="BK200" s="387"/>
      <c r="BL200" s="387"/>
      <c r="BM200" s="387"/>
    </row>
    <row r="201" spans="8:65" x14ac:dyDescent="0.2">
      <c r="H201" s="612"/>
      <c r="I201" s="4"/>
      <c r="L201" s="4"/>
      <c r="M201" s="4"/>
      <c r="Q201" s="387"/>
      <c r="R201" s="387"/>
      <c r="S201" s="387"/>
      <c r="T201" s="387"/>
      <c r="V201" s="387"/>
      <c r="W201" s="387"/>
      <c r="X201" s="387"/>
      <c r="Y201" s="387"/>
      <c r="Z201" s="605"/>
      <c r="AA201" s="387"/>
      <c r="AB201" s="387"/>
      <c r="AC201" s="387"/>
      <c r="AE201" s="387"/>
      <c r="AF201" s="387"/>
      <c r="AG201" s="387"/>
      <c r="AH201" s="387"/>
      <c r="AI201" s="387"/>
      <c r="AJ201" s="387"/>
      <c r="AK201" s="387"/>
      <c r="AL201" s="387"/>
      <c r="AN201" s="387"/>
      <c r="AO201" s="387"/>
      <c r="AP201" s="387"/>
      <c r="AQ201" s="387"/>
      <c r="AR201" s="387"/>
      <c r="AS201" s="387"/>
      <c r="AT201" s="387"/>
      <c r="AU201" s="387"/>
      <c r="AV201" s="387"/>
      <c r="AW201" s="387"/>
      <c r="AX201" s="387"/>
      <c r="AY201" s="387"/>
      <c r="AZ201" s="387"/>
      <c r="BA201" s="387"/>
      <c r="BB201" s="387"/>
      <c r="BD201" s="606"/>
      <c r="BE201" s="616"/>
      <c r="BF201" s="616"/>
      <c r="BG201" s="9"/>
      <c r="BH201" s="48"/>
      <c r="BI201" s="387"/>
      <c r="BJ201" s="387"/>
      <c r="BK201" s="387"/>
      <c r="BL201" s="387"/>
      <c r="BM201" s="387"/>
    </row>
    <row r="202" spans="8:65" x14ac:dyDescent="0.2">
      <c r="H202" s="612"/>
      <c r="I202" s="4"/>
      <c r="L202" s="4"/>
      <c r="M202" s="4"/>
      <c r="Q202" s="387"/>
      <c r="R202" s="387"/>
      <c r="S202" s="387"/>
      <c r="T202" s="387"/>
      <c r="V202" s="387"/>
      <c r="W202" s="387"/>
      <c r="X202" s="387"/>
      <c r="Y202" s="387"/>
      <c r="Z202" s="605"/>
      <c r="AA202" s="387"/>
      <c r="AB202" s="387"/>
      <c r="AC202" s="387"/>
      <c r="AE202" s="387"/>
      <c r="AF202" s="387"/>
      <c r="AG202" s="387"/>
      <c r="AH202" s="387"/>
      <c r="AI202" s="387"/>
      <c r="AJ202" s="387"/>
      <c r="AK202" s="387"/>
      <c r="AL202" s="387"/>
      <c r="AN202" s="387"/>
      <c r="AO202" s="387"/>
      <c r="AP202" s="387"/>
      <c r="AQ202" s="387"/>
      <c r="AR202" s="387"/>
      <c r="AS202" s="387"/>
      <c r="AT202" s="387"/>
      <c r="AU202" s="387"/>
      <c r="AV202" s="387"/>
      <c r="AW202" s="387"/>
      <c r="AX202" s="387"/>
      <c r="AY202" s="387"/>
      <c r="AZ202" s="387"/>
      <c r="BA202" s="387"/>
      <c r="BB202" s="387"/>
      <c r="BD202" s="606"/>
      <c r="BE202" s="616"/>
      <c r="BF202" s="616"/>
      <c r="BG202" s="9"/>
      <c r="BH202" s="48"/>
      <c r="BI202" s="387"/>
      <c r="BJ202" s="387"/>
      <c r="BK202" s="387"/>
      <c r="BL202" s="387"/>
      <c r="BM202" s="387"/>
    </row>
    <row r="203" spans="8:65" x14ac:dyDescent="0.2">
      <c r="H203" s="612"/>
      <c r="I203" s="4"/>
      <c r="L203" s="4"/>
      <c r="M203" s="4"/>
      <c r="Q203" s="387"/>
      <c r="R203" s="387"/>
      <c r="S203" s="387"/>
      <c r="T203" s="387"/>
      <c r="V203" s="387"/>
      <c r="W203" s="387"/>
      <c r="X203" s="387"/>
      <c r="Y203" s="387"/>
      <c r="Z203" s="605"/>
      <c r="AA203" s="387"/>
      <c r="AB203" s="387"/>
      <c r="AC203" s="387"/>
      <c r="AE203" s="387"/>
      <c r="AF203" s="387"/>
      <c r="AG203" s="387"/>
      <c r="AH203" s="387"/>
      <c r="AI203" s="387"/>
      <c r="AJ203" s="387"/>
      <c r="AK203" s="387"/>
      <c r="AL203" s="387"/>
      <c r="AN203" s="387"/>
      <c r="AO203" s="387"/>
      <c r="AP203" s="387"/>
      <c r="AQ203" s="387"/>
      <c r="AR203" s="387"/>
      <c r="AS203" s="387"/>
      <c r="AT203" s="387"/>
      <c r="AU203" s="387"/>
      <c r="AV203" s="387"/>
      <c r="AW203" s="387"/>
      <c r="AX203" s="387"/>
      <c r="AY203" s="387"/>
      <c r="AZ203" s="387"/>
      <c r="BA203" s="387"/>
      <c r="BB203" s="387"/>
      <c r="BD203" s="606"/>
      <c r="BE203" s="616"/>
      <c r="BF203" s="616"/>
      <c r="BG203" s="9"/>
      <c r="BH203" s="48"/>
      <c r="BI203" s="387"/>
      <c r="BJ203" s="387"/>
      <c r="BK203" s="387"/>
      <c r="BL203" s="387"/>
      <c r="BM203" s="387"/>
    </row>
    <row r="204" spans="8:65" x14ac:dyDescent="0.2">
      <c r="H204" s="612"/>
      <c r="I204" s="4"/>
      <c r="L204" s="4"/>
      <c r="M204" s="4"/>
      <c r="Q204" s="387"/>
      <c r="R204" s="387"/>
      <c r="S204" s="387"/>
      <c r="T204" s="387"/>
      <c r="V204" s="387"/>
      <c r="W204" s="387"/>
      <c r="X204" s="387"/>
      <c r="Y204" s="387"/>
      <c r="Z204" s="605"/>
      <c r="AA204" s="387"/>
      <c r="AB204" s="387"/>
      <c r="AC204" s="387"/>
      <c r="AE204" s="387"/>
      <c r="AF204" s="387"/>
      <c r="AG204" s="387"/>
      <c r="AH204" s="387"/>
      <c r="AI204" s="387"/>
      <c r="AJ204" s="387"/>
      <c r="AK204" s="387"/>
      <c r="AL204" s="387"/>
      <c r="AN204" s="387"/>
      <c r="AO204" s="387"/>
      <c r="AP204" s="387"/>
      <c r="AQ204" s="387"/>
      <c r="AR204" s="387"/>
      <c r="AS204" s="387"/>
      <c r="AT204" s="387"/>
      <c r="AU204" s="387"/>
      <c r="AV204" s="387"/>
      <c r="AW204" s="387"/>
      <c r="AX204" s="387"/>
      <c r="AY204" s="387"/>
      <c r="AZ204" s="387"/>
      <c r="BA204" s="387"/>
      <c r="BB204" s="387"/>
      <c r="BD204" s="606"/>
      <c r="BE204" s="616"/>
      <c r="BF204" s="616"/>
      <c r="BG204" s="9"/>
      <c r="BH204" s="48"/>
      <c r="BI204" s="387"/>
      <c r="BJ204" s="387"/>
      <c r="BK204" s="387"/>
      <c r="BL204" s="387"/>
      <c r="BM204" s="387"/>
    </row>
    <row r="205" spans="8:65" x14ac:dyDescent="0.2">
      <c r="H205" s="612"/>
      <c r="I205" s="4"/>
      <c r="L205" s="4"/>
      <c r="M205" s="4"/>
      <c r="Q205" s="387"/>
      <c r="R205" s="387"/>
      <c r="S205" s="387"/>
      <c r="T205" s="387"/>
      <c r="V205" s="387"/>
      <c r="W205" s="387"/>
      <c r="X205" s="387"/>
      <c r="Y205" s="387"/>
      <c r="Z205" s="605"/>
      <c r="AA205" s="387"/>
      <c r="AB205" s="387"/>
      <c r="AC205" s="387"/>
      <c r="AE205" s="387"/>
      <c r="AF205" s="387"/>
      <c r="AG205" s="387"/>
      <c r="AH205" s="387"/>
      <c r="AI205" s="387"/>
      <c r="AJ205" s="387"/>
      <c r="AK205" s="387"/>
      <c r="AL205" s="387"/>
      <c r="AN205" s="387"/>
      <c r="AO205" s="387"/>
      <c r="AP205" s="387"/>
      <c r="AQ205" s="387"/>
      <c r="AR205" s="387"/>
      <c r="AS205" s="387"/>
      <c r="AT205" s="387"/>
      <c r="AU205" s="387"/>
      <c r="AV205" s="387"/>
      <c r="AW205" s="387"/>
      <c r="AX205" s="387"/>
      <c r="AY205" s="387"/>
      <c r="AZ205" s="387"/>
      <c r="BA205" s="387"/>
      <c r="BB205" s="387"/>
      <c r="BD205" s="606"/>
      <c r="BE205" s="616"/>
      <c r="BF205" s="616"/>
      <c r="BG205" s="9"/>
      <c r="BH205" s="48"/>
      <c r="BI205" s="387"/>
      <c r="BJ205" s="387"/>
      <c r="BK205" s="387"/>
      <c r="BL205" s="387"/>
      <c r="BM205" s="387"/>
    </row>
    <row r="206" spans="8:65" x14ac:dyDescent="0.2">
      <c r="H206" s="612"/>
      <c r="I206" s="4"/>
      <c r="L206" s="4"/>
      <c r="M206" s="4"/>
      <c r="Q206" s="387"/>
      <c r="R206" s="387"/>
      <c r="S206" s="387"/>
      <c r="T206" s="387"/>
      <c r="V206" s="387"/>
      <c r="W206" s="387"/>
      <c r="X206" s="387"/>
      <c r="Y206" s="387"/>
      <c r="Z206" s="605"/>
      <c r="AA206" s="387"/>
      <c r="AB206" s="387"/>
      <c r="AC206" s="387"/>
      <c r="AE206" s="387"/>
      <c r="AF206" s="387"/>
      <c r="AG206" s="387"/>
      <c r="AH206" s="387"/>
      <c r="AI206" s="387"/>
      <c r="AJ206" s="387"/>
      <c r="AK206" s="387"/>
      <c r="AL206" s="387"/>
      <c r="AN206" s="387"/>
      <c r="AO206" s="387"/>
      <c r="AP206" s="387"/>
      <c r="AQ206" s="387"/>
      <c r="AR206" s="387"/>
      <c r="AS206" s="387"/>
      <c r="AT206" s="387"/>
      <c r="AU206" s="387"/>
      <c r="AV206" s="387"/>
      <c r="AW206" s="387"/>
      <c r="AX206" s="387"/>
      <c r="AY206" s="387"/>
      <c r="AZ206" s="387"/>
      <c r="BA206" s="387"/>
      <c r="BB206" s="387"/>
      <c r="BD206" s="606"/>
      <c r="BE206" s="616"/>
      <c r="BF206" s="616"/>
      <c r="BG206" s="9"/>
      <c r="BH206" s="48"/>
      <c r="BI206" s="387"/>
      <c r="BJ206" s="387"/>
      <c r="BK206" s="387"/>
      <c r="BL206" s="387"/>
      <c r="BM206" s="387"/>
    </row>
    <row r="207" spans="8:65" x14ac:dyDescent="0.2">
      <c r="H207" s="612"/>
      <c r="I207" s="4"/>
      <c r="L207" s="4"/>
      <c r="M207" s="4"/>
      <c r="Q207" s="387"/>
      <c r="R207" s="387"/>
      <c r="S207" s="387"/>
      <c r="T207" s="387"/>
      <c r="V207" s="387"/>
      <c r="W207" s="387"/>
      <c r="X207" s="387"/>
      <c r="Y207" s="387"/>
      <c r="Z207" s="605"/>
      <c r="AA207" s="387"/>
      <c r="AB207" s="387"/>
      <c r="AC207" s="387"/>
      <c r="AE207" s="387"/>
      <c r="AF207" s="387"/>
      <c r="AG207" s="387"/>
      <c r="AH207" s="387"/>
      <c r="AI207" s="387"/>
      <c r="AJ207" s="387"/>
      <c r="AK207" s="387"/>
      <c r="AL207" s="387"/>
      <c r="AN207" s="387"/>
      <c r="AO207" s="387"/>
      <c r="AP207" s="387"/>
      <c r="AQ207" s="387"/>
      <c r="AR207" s="387"/>
      <c r="AS207" s="387"/>
      <c r="AT207" s="387"/>
      <c r="AU207" s="387"/>
      <c r="AV207" s="387"/>
      <c r="AW207" s="387"/>
      <c r="AX207" s="387"/>
      <c r="AY207" s="387"/>
      <c r="AZ207" s="387"/>
      <c r="BA207" s="387"/>
      <c r="BB207" s="387"/>
      <c r="BD207" s="606"/>
      <c r="BE207" s="616"/>
      <c r="BF207" s="616"/>
      <c r="BG207" s="9"/>
      <c r="BH207" s="48"/>
      <c r="BI207" s="387"/>
      <c r="BJ207" s="387"/>
      <c r="BK207" s="387"/>
      <c r="BL207" s="387"/>
      <c r="BM207" s="387"/>
    </row>
    <row r="208" spans="8:65" x14ac:dyDescent="0.2">
      <c r="H208" s="612"/>
      <c r="I208" s="4"/>
      <c r="L208" s="4"/>
      <c r="M208" s="4"/>
      <c r="Q208" s="387"/>
      <c r="R208" s="387"/>
      <c r="S208" s="387"/>
      <c r="T208" s="387"/>
      <c r="V208" s="387"/>
      <c r="W208" s="387"/>
      <c r="X208" s="387"/>
      <c r="Y208" s="387"/>
      <c r="Z208" s="605"/>
      <c r="AA208" s="387"/>
      <c r="AB208" s="387"/>
      <c r="AC208" s="387"/>
      <c r="AE208" s="387"/>
      <c r="AF208" s="387"/>
      <c r="AG208" s="387"/>
      <c r="AH208" s="387"/>
      <c r="AI208" s="387"/>
      <c r="AJ208" s="387"/>
      <c r="AK208" s="387"/>
      <c r="AL208" s="387"/>
      <c r="AN208" s="387"/>
      <c r="AO208" s="387"/>
      <c r="AP208" s="387"/>
      <c r="AQ208" s="387"/>
      <c r="AR208" s="387"/>
      <c r="AS208" s="387"/>
      <c r="AT208" s="387"/>
      <c r="AU208" s="387"/>
      <c r="AV208" s="387"/>
      <c r="AW208" s="387"/>
      <c r="AX208" s="387"/>
      <c r="AY208" s="387"/>
      <c r="AZ208" s="387"/>
      <c r="BA208" s="387"/>
      <c r="BB208" s="387"/>
      <c r="BD208" s="606"/>
      <c r="BE208" s="616"/>
      <c r="BF208" s="616"/>
      <c r="BG208" s="9"/>
      <c r="BH208" s="48"/>
      <c r="BI208" s="387"/>
      <c r="BJ208" s="387"/>
      <c r="BK208" s="387"/>
      <c r="BL208" s="387"/>
      <c r="BM208" s="387"/>
    </row>
    <row r="209" spans="8:65" x14ac:dyDescent="0.2">
      <c r="H209" s="612"/>
      <c r="I209" s="4"/>
      <c r="L209" s="4"/>
      <c r="M209" s="4"/>
      <c r="Q209" s="387"/>
      <c r="R209" s="387"/>
      <c r="S209" s="387"/>
      <c r="T209" s="387"/>
      <c r="V209" s="387"/>
      <c r="W209" s="387"/>
      <c r="X209" s="387"/>
      <c r="Y209" s="387"/>
      <c r="Z209" s="605"/>
      <c r="AA209" s="387"/>
      <c r="AB209" s="387"/>
      <c r="AC209" s="387"/>
      <c r="AE209" s="387"/>
      <c r="AF209" s="387"/>
      <c r="AG209" s="387"/>
      <c r="AH209" s="387"/>
      <c r="AI209" s="387"/>
      <c r="AJ209" s="387"/>
      <c r="AK209" s="387"/>
      <c r="AL209" s="387"/>
      <c r="AN209" s="387"/>
      <c r="AO209" s="387"/>
      <c r="AP209" s="387"/>
      <c r="AQ209" s="387"/>
      <c r="AR209" s="387"/>
      <c r="AS209" s="387"/>
      <c r="AT209" s="387"/>
      <c r="AU209" s="387"/>
      <c r="AV209" s="387"/>
      <c r="AW209" s="387"/>
      <c r="AX209" s="387"/>
      <c r="AY209" s="387"/>
      <c r="AZ209" s="387"/>
      <c r="BA209" s="387"/>
      <c r="BB209" s="387"/>
      <c r="BD209" s="606"/>
      <c r="BE209" s="616"/>
      <c r="BF209" s="616"/>
      <c r="BG209" s="9"/>
      <c r="BH209" s="48"/>
      <c r="BI209" s="387"/>
      <c r="BJ209" s="387"/>
      <c r="BK209" s="387"/>
      <c r="BL209" s="387"/>
      <c r="BM209" s="387"/>
    </row>
  </sheetData>
  <sheetProtection selectLockedCells="1"/>
  <mergeCells count="13">
    <mergeCell ref="BH7:BM7"/>
    <mergeCell ref="AA7:AE7"/>
    <mergeCell ref="AF7:AI7"/>
    <mergeCell ref="AJ7:AN7"/>
    <mergeCell ref="AO7:AR7"/>
    <mergeCell ref="AX7:BA7"/>
    <mergeCell ref="BB7:BF7"/>
    <mergeCell ref="X7:Z7"/>
    <mergeCell ref="A1:D4"/>
    <mergeCell ref="A6:D7"/>
    <mergeCell ref="G7:P7"/>
    <mergeCell ref="Q7:T7"/>
    <mergeCell ref="U7:W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AE687"/>
  <sheetViews>
    <sheetView zoomScaleNormal="100" workbookViewId="0">
      <pane ySplit="11" topLeftCell="A13" activePane="bottomLeft" state="frozen"/>
      <selection activeCell="A93" sqref="A93"/>
      <selection pane="bottomLeft" activeCell="K5" sqref="K5"/>
    </sheetView>
  </sheetViews>
  <sheetFormatPr defaultRowHeight="12.75" x14ac:dyDescent="0.2"/>
  <cols>
    <col min="1" max="1" width="16.140625" style="346" customWidth="1"/>
    <col min="2" max="2" width="15.7109375" style="346" customWidth="1"/>
    <col min="3" max="3" width="10" style="346" customWidth="1"/>
    <col min="4" max="4" width="10.85546875" style="346" customWidth="1"/>
    <col min="5" max="5" width="10.140625" style="346" customWidth="1"/>
    <col min="6" max="8" width="11.85546875" style="346" customWidth="1"/>
    <col min="9" max="9" width="14.28515625" style="346" customWidth="1"/>
    <col min="10" max="10" width="11" style="346" customWidth="1"/>
    <col min="11" max="11" width="12" style="346" customWidth="1"/>
    <col min="12" max="12" width="11.42578125" style="346" customWidth="1"/>
    <col min="13" max="13" width="10.85546875" style="346" customWidth="1"/>
    <col min="14" max="14" width="11.42578125" style="346" customWidth="1"/>
    <col min="15" max="15" width="12.28515625" style="346" customWidth="1"/>
    <col min="16" max="16" width="12.140625" style="346" customWidth="1"/>
    <col min="17" max="17" width="9.42578125" style="346" customWidth="1"/>
    <col min="18" max="18" width="16.140625" style="346" bestFit="1" customWidth="1"/>
    <col min="19" max="19" width="13.140625" style="386" customWidth="1"/>
    <col min="20" max="20" width="9.140625" style="346"/>
    <col min="21" max="21" width="13.42578125" style="346" bestFit="1" customWidth="1"/>
    <col min="22" max="22" width="9.28515625" style="346" bestFit="1" customWidth="1"/>
    <col min="23" max="23" width="9.140625" style="346"/>
    <col min="24" max="24" width="13.5703125" style="346" customWidth="1"/>
    <col min="25" max="25" width="10.5703125" style="346" customWidth="1"/>
    <col min="26" max="26" width="9.140625" style="346"/>
    <col min="27" max="27" width="9.28515625" style="346" bestFit="1" customWidth="1"/>
    <col min="28" max="28" width="11.28515625" style="346" bestFit="1" customWidth="1"/>
    <col min="29" max="29" width="9.140625" style="346"/>
    <col min="30" max="30" width="12.28515625" customWidth="1"/>
    <col min="32" max="16384" width="9.140625" style="346"/>
  </cols>
  <sheetData>
    <row r="1" spans="1:31" ht="13.5" thickBot="1" x14ac:dyDescent="0.25"/>
    <row r="2" spans="1:31" x14ac:dyDescent="0.2">
      <c r="A2" s="701" t="s">
        <v>588</v>
      </c>
      <c r="B2" s="702"/>
      <c r="C2" s="703"/>
      <c r="D2" s="704"/>
      <c r="E2" s="701" t="s">
        <v>475</v>
      </c>
      <c r="F2" s="702"/>
      <c r="G2" s="702"/>
      <c r="H2" s="437"/>
      <c r="I2" s="454"/>
      <c r="J2" s="701" t="s">
        <v>586</v>
      </c>
      <c r="K2" s="703"/>
      <c r="L2" s="704"/>
      <c r="M2" s="701" t="s">
        <v>587</v>
      </c>
      <c r="N2" s="703"/>
      <c r="O2" s="704"/>
      <c r="P2" s="701" t="s">
        <v>476</v>
      </c>
      <c r="Q2" s="702"/>
      <c r="R2" s="710"/>
      <c r="AD2" s="118"/>
      <c r="AE2" s="118"/>
    </row>
    <row r="3" spans="1:31" x14ac:dyDescent="0.2">
      <c r="B3" s="347" t="s">
        <v>477</v>
      </c>
      <c r="C3" s="440">
        <f>Afb</f>
        <v>6.6666666666666666E-2</v>
      </c>
      <c r="D3" s="349" t="s">
        <v>30</v>
      </c>
      <c r="E3" s="350" t="s">
        <v>478</v>
      </c>
      <c r="F3" s="348">
        <f>Acs</f>
        <v>25</v>
      </c>
      <c r="G3" s="349" t="s">
        <v>585</v>
      </c>
      <c r="H3" s="452" t="s">
        <v>494</v>
      </c>
      <c r="I3" s="465">
        <f>gm</f>
        <v>1.2700000000000001E-3</v>
      </c>
      <c r="J3" s="350" t="s">
        <v>614</v>
      </c>
      <c r="K3" s="351">
        <f>Fesr</f>
        <v>83589.781131174561</v>
      </c>
      <c r="L3" s="349" t="s">
        <v>10</v>
      </c>
      <c r="M3" s="350" t="s">
        <v>480</v>
      </c>
      <c r="N3" s="351">
        <f>Fsw/2</f>
        <v>112000</v>
      </c>
      <c r="O3" s="349" t="s">
        <v>10</v>
      </c>
      <c r="P3" s="352" t="s">
        <v>481</v>
      </c>
      <c r="Q3" s="351">
        <f>Am*Afb*AEA</f>
        <v>31693.987160866745</v>
      </c>
      <c r="R3" s="349" t="s">
        <v>30</v>
      </c>
    </row>
    <row r="4" spans="1:31" x14ac:dyDescent="0.2">
      <c r="B4" s="347" t="s">
        <v>621</v>
      </c>
      <c r="C4" s="351">
        <f>Fz1_u</f>
        <v>4871.5929988906146</v>
      </c>
      <c r="D4" s="349" t="s">
        <v>10</v>
      </c>
      <c r="E4" s="350" t="s">
        <v>483</v>
      </c>
      <c r="F4" s="356">
        <f>Am</f>
        <v>18.716921551692959</v>
      </c>
      <c r="G4" s="349" t="s">
        <v>30</v>
      </c>
      <c r="H4" s="453"/>
      <c r="I4" s="453"/>
      <c r="J4" s="350" t="s">
        <v>613</v>
      </c>
      <c r="K4" s="351">
        <f>Fp_dominant</f>
        <v>781.55008864865476</v>
      </c>
      <c r="L4" s="349" t="s">
        <v>10</v>
      </c>
      <c r="M4" s="350" t="s">
        <v>485</v>
      </c>
      <c r="N4" s="438">
        <f>Q*pole3</f>
        <v>40520.724908446762</v>
      </c>
      <c r="O4" s="349"/>
      <c r="P4" s="352" t="s">
        <v>486</v>
      </c>
      <c r="Q4" s="392">
        <f>AE7</f>
        <v>15.135999999999999</v>
      </c>
      <c r="R4" s="349" t="s">
        <v>3</v>
      </c>
    </row>
    <row r="5" spans="1:31" x14ac:dyDescent="0.2">
      <c r="B5" s="347" t="s">
        <v>620</v>
      </c>
      <c r="C5" s="356">
        <f>Fp1_u</f>
        <v>2.9455317176396494</v>
      </c>
      <c r="D5" s="349" t="s">
        <v>10</v>
      </c>
      <c r="E5" s="350" t="s">
        <v>29</v>
      </c>
      <c r="F5" s="440">
        <f>Q</f>
        <v>0.36179218668256036</v>
      </c>
      <c r="G5" s="349"/>
      <c r="H5" s="453"/>
      <c r="I5" s="453"/>
      <c r="J5" s="350" t="s">
        <v>615</v>
      </c>
      <c r="K5" s="351">
        <f>IF(VIN_nom&gt;Vout, 10000000,Frhp)</f>
        <v>10000000</v>
      </c>
      <c r="L5" s="349" t="s">
        <v>10</v>
      </c>
      <c r="M5" s="350" t="s">
        <v>488</v>
      </c>
      <c r="N5" s="348">
        <f>pole3^2</f>
        <v>12544000000</v>
      </c>
      <c r="O5" s="349"/>
      <c r="P5" s="352" t="s">
        <v>489</v>
      </c>
      <c r="Q5" s="356">
        <f>AE9</f>
        <v>62.234574772635284</v>
      </c>
      <c r="R5" s="419" t="s">
        <v>554</v>
      </c>
    </row>
    <row r="6" spans="1:31" x14ac:dyDescent="0.2">
      <c r="B6" s="347" t="s">
        <v>490</v>
      </c>
      <c r="C6" s="348">
        <f>AEA</f>
        <v>25400</v>
      </c>
      <c r="D6" s="349" t="s">
        <v>30</v>
      </c>
      <c r="E6" s="350" t="s">
        <v>519</v>
      </c>
      <c r="F6" s="440">
        <f>mc</f>
        <v>2.1749999999999998</v>
      </c>
      <c r="G6" s="452"/>
      <c r="H6" s="455"/>
      <c r="I6" s="355"/>
      <c r="J6" s="353"/>
      <c r="K6" s="354"/>
      <c r="L6" s="355"/>
      <c r="M6" s="353"/>
      <c r="N6" s="468"/>
      <c r="O6" s="355"/>
      <c r="P6" s="436" t="s">
        <v>491</v>
      </c>
      <c r="Q6" s="354">
        <f>180/Pi</f>
        <v>57.295779578552292</v>
      </c>
      <c r="R6" s="355"/>
      <c r="AD6" s="5" t="s">
        <v>50</v>
      </c>
      <c r="AE6" s="5"/>
    </row>
    <row r="7" spans="1:31" ht="13.5" thickBot="1" x14ac:dyDescent="0.25">
      <c r="B7" s="432" t="s">
        <v>619</v>
      </c>
      <c r="C7" s="439">
        <f>Fp2_u</f>
        <v>372975.61591911386</v>
      </c>
      <c r="D7" s="434" t="s">
        <v>10</v>
      </c>
      <c r="E7" s="433" t="s">
        <v>493</v>
      </c>
      <c r="F7" s="435">
        <f>k</f>
        <v>1.3798141537169255</v>
      </c>
      <c r="G7" s="435"/>
      <c r="H7" s="456"/>
      <c r="I7" s="434"/>
      <c r="J7" s="433"/>
      <c r="K7" s="433"/>
      <c r="L7" s="434"/>
      <c r="M7" s="433"/>
      <c r="N7" s="433"/>
      <c r="O7" s="434"/>
      <c r="P7" s="433"/>
      <c r="Q7" s="433"/>
      <c r="R7" s="434"/>
      <c r="AD7" t="s">
        <v>47</v>
      </c>
      <c r="AE7">
        <f>SUM(AD12:AD613)/1000</f>
        <v>15.135999999999999</v>
      </c>
    </row>
    <row r="8" spans="1:31" x14ac:dyDescent="0.2">
      <c r="B8" s="441"/>
      <c r="C8" s="442"/>
      <c r="F8" s="443"/>
      <c r="G8" s="443"/>
      <c r="H8" s="443"/>
    </row>
    <row r="9" spans="1:31" ht="13.5" thickBot="1" x14ac:dyDescent="0.25">
      <c r="AD9" t="s">
        <v>48</v>
      </c>
      <c r="AE9" s="4">
        <f>SUM(AE13:AE613)</f>
        <v>62.234574772635284</v>
      </c>
    </row>
    <row r="10" spans="1:31" ht="15" x14ac:dyDescent="0.25">
      <c r="A10" s="705" t="s">
        <v>629</v>
      </c>
      <c r="B10" s="699"/>
      <c r="C10" s="713" t="s">
        <v>495</v>
      </c>
      <c r="D10" s="714"/>
      <c r="E10" s="714"/>
      <c r="F10" s="714"/>
      <c r="G10" s="714"/>
      <c r="H10" s="715"/>
      <c r="I10" s="713" t="s">
        <v>496</v>
      </c>
      <c r="J10" s="714"/>
      <c r="K10" s="714"/>
      <c r="L10" s="714"/>
      <c r="M10" s="714"/>
      <c r="N10" s="715"/>
      <c r="O10" s="708" t="s">
        <v>497</v>
      </c>
      <c r="P10" s="709"/>
      <c r="Q10" s="708" t="s">
        <v>498</v>
      </c>
      <c r="R10" s="716"/>
      <c r="S10" s="717"/>
      <c r="X10" s="718" t="s">
        <v>499</v>
      </c>
      <c r="Y10" s="719"/>
      <c r="AA10" s="718" t="s">
        <v>500</v>
      </c>
      <c r="AB10" s="719"/>
    </row>
    <row r="11" spans="1:31" x14ac:dyDescent="0.2">
      <c r="A11" s="706"/>
      <c r="B11" s="700"/>
      <c r="C11" s="720" t="s">
        <v>613</v>
      </c>
      <c r="D11" s="721"/>
      <c r="E11" s="721" t="s">
        <v>614</v>
      </c>
      <c r="F11" s="722"/>
      <c r="G11" s="711" t="s">
        <v>615</v>
      </c>
      <c r="H11" s="712"/>
      <c r="I11" s="720" t="s">
        <v>484</v>
      </c>
      <c r="J11" s="721"/>
      <c r="K11" s="721" t="s">
        <v>479</v>
      </c>
      <c r="L11" s="722"/>
      <c r="M11" s="711" t="s">
        <v>487</v>
      </c>
      <c r="N11" s="712"/>
      <c r="O11" s="720" t="s">
        <v>480</v>
      </c>
      <c r="P11" s="722"/>
      <c r="Q11" s="350"/>
      <c r="R11" s="348"/>
      <c r="S11" s="393"/>
      <c r="X11" s="350"/>
      <c r="Y11" s="349"/>
      <c r="AA11" s="350"/>
      <c r="AB11" s="349"/>
    </row>
    <row r="12" spans="1:31" ht="13.5" thickBot="1" x14ac:dyDescent="0.25">
      <c r="A12" s="707"/>
      <c r="B12" s="390"/>
      <c r="C12" s="357" t="s">
        <v>501</v>
      </c>
      <c r="D12" s="358" t="s">
        <v>502</v>
      </c>
      <c r="E12" s="358" t="s">
        <v>501</v>
      </c>
      <c r="F12" s="359" t="s">
        <v>502</v>
      </c>
      <c r="G12" s="358" t="s">
        <v>501</v>
      </c>
      <c r="H12" s="359" t="s">
        <v>502</v>
      </c>
      <c r="I12" s="357" t="s">
        <v>501</v>
      </c>
      <c r="J12" s="358" t="s">
        <v>502</v>
      </c>
      <c r="K12" s="358" t="s">
        <v>501</v>
      </c>
      <c r="L12" s="359" t="s">
        <v>502</v>
      </c>
      <c r="M12" s="357" t="s">
        <v>501</v>
      </c>
      <c r="N12" s="358" t="s">
        <v>502</v>
      </c>
      <c r="O12" s="357" t="s">
        <v>501</v>
      </c>
      <c r="P12" s="359" t="s">
        <v>502</v>
      </c>
      <c r="Q12" s="357" t="s">
        <v>503</v>
      </c>
      <c r="R12" s="358" t="s">
        <v>504</v>
      </c>
      <c r="S12" s="394" t="s">
        <v>505</v>
      </c>
      <c r="V12" s="360" t="s">
        <v>506</v>
      </c>
      <c r="X12" s="361" t="s">
        <v>507</v>
      </c>
      <c r="Y12" s="362" t="s">
        <v>508</v>
      </c>
      <c r="AA12" s="361" t="s">
        <v>507</v>
      </c>
      <c r="AB12" s="362" t="s">
        <v>508</v>
      </c>
    </row>
    <row r="13" spans="1:31" x14ac:dyDescent="0.2">
      <c r="A13" s="363">
        <v>1</v>
      </c>
      <c r="B13" s="391">
        <f>A13/1000</f>
        <v>1E-3</v>
      </c>
      <c r="C13" s="364">
        <f t="shared" ref="C13:C76" si="0">SQRT(1+(A13/pole1)^2)</f>
        <v>1.0000008185706959</v>
      </c>
      <c r="D13" s="365">
        <f t="shared" ref="D13:D76" si="1">ATAN(A13/pole1)</f>
        <v>1.2795078252957174E-3</v>
      </c>
      <c r="E13" s="365">
        <f t="shared" ref="E13:E76" si="2">SQRT(1+(A13/Zero1)^2)</f>
        <v>1.0000000000715588</v>
      </c>
      <c r="F13" s="366">
        <f t="shared" ref="F13:F76" si="3">ATAN(A13/Zero1)</f>
        <v>1.1963184810629286E-5</v>
      </c>
      <c r="G13" s="365">
        <f t="shared" ref="G13:G76" si="4">IF(VIN_nom&gt;Vout, 1, SQRT(1+(A13/z_RHP)^2))</f>
        <v>1</v>
      </c>
      <c r="H13" s="366">
        <f t="shared" ref="H13:H76" si="5">IF(VIN_nom&gt;Vout, 0, -ATAN(A13/z_RHP))</f>
        <v>0</v>
      </c>
      <c r="I13" s="364">
        <f t="shared" ref="I13:I76" si="6">SQRT(1+(A13/Pole2)^2)</f>
        <v>1.0560579537491761</v>
      </c>
      <c r="J13" s="367">
        <f t="shared" ref="J13:J76" si="7">ATAN(A13/Pole2)</f>
        <v>0.32728780837783811</v>
      </c>
      <c r="K13" s="365">
        <f t="shared" ref="K13:K76" si="8">SQRT(1+(A13/Zero2)^2)</f>
        <v>1.0000000210682278</v>
      </c>
      <c r="L13" s="366">
        <f t="shared" ref="L13:L76" si="9">ATAN(A13/Zero2)</f>
        <v>2.0527166086785993E-4</v>
      </c>
      <c r="M13" s="364">
        <f t="shared" ref="M13:M76" si="10">SQRT(1+(A13/pole4)^2)</f>
        <v>1.0000000000035942</v>
      </c>
      <c r="N13" s="367">
        <f t="shared" ref="N13:N76" si="11">ATAN(A13/pole4)</f>
        <v>2.6811404212935757E-6</v>
      </c>
      <c r="O13" s="368">
        <f t="shared" ref="O13:O76" si="12">SQRT((1-(V13/pterm2))^2+(A13/pterm1)^2)</f>
        <v>1.0000000002248006</v>
      </c>
      <c r="P13" s="369">
        <f t="shared" ref="P13:P76" si="13">IF((ATAN((A13/pterm1)/(1-A13^2/pterm2))&gt;0),ATAN((A13/pterm1)/(1-A13^2/pterm2)),PI()+ATAN((A13/pterm1)/(1-A13^2/pterm2)))</f>
        <v>2.4678729270913186E-5</v>
      </c>
      <c r="Q13" s="370">
        <f t="shared" ref="Q13:Q76" si="14">20*LOG10(((E13*K13*G13)/(C13*I13*O13*M13))*Adc)</f>
        <v>89.545775588422288</v>
      </c>
      <c r="R13" s="371">
        <f t="shared" ref="R13:R76" si="15">((F13+L13+H13)-(D13+J13+P13+N13))*radconv</f>
        <v>-18.814641491119659</v>
      </c>
      <c r="S13" s="395">
        <f t="shared" ref="S13:S76" si="16">IF(R13&gt;0,R13,R13+180)</f>
        <v>161.18535850888034</v>
      </c>
      <c r="U13" s="346">
        <f>IF(Q13&lt;0,A13,1000000000)</f>
        <v>1000000000</v>
      </c>
      <c r="V13" s="346">
        <f>A13^2</f>
        <v>1</v>
      </c>
      <c r="X13" s="372">
        <f t="shared" ref="X13:X76" si="17">20*LOG10((K13/(I13*M13))*AEA)</f>
        <v>87.622919479005418</v>
      </c>
      <c r="Y13" s="373">
        <f t="shared" ref="Y13:Y76" si="18">(L13-(J13+N13))*radconv</f>
        <v>-18.74060254575986</v>
      </c>
      <c r="AA13" s="372">
        <f t="shared" ref="AA13:AA76" si="19">20*LOG10((E13*G13/(C13*O13))*Acs*Am)</f>
        <v>53.403481463971247</v>
      </c>
      <c r="AB13" s="373">
        <f t="shared" ref="AB13:AB76" si="20">(F13+H13-(D13+P13))*radconv</f>
        <v>-7.4038945359793926E-2</v>
      </c>
      <c r="AD13">
        <f>SUM((Q14&lt;0)*(Q13&gt;0))*A13</f>
        <v>0</v>
      </c>
      <c r="AE13">
        <f t="shared" ref="AE13:AE44" si="21">IF(AD13&gt;0,S11,0)</f>
        <v>0</v>
      </c>
    </row>
    <row r="14" spans="1:31" x14ac:dyDescent="0.2">
      <c r="A14" s="374">
        <v>1.0965</v>
      </c>
      <c r="B14" s="391">
        <f t="shared" ref="B14:B77" si="22">A14/1000</f>
        <v>1.0965E-3</v>
      </c>
      <c r="C14" s="364">
        <f t="shared" si="0"/>
        <v>1.0000009841774937</v>
      </c>
      <c r="D14" s="365">
        <f t="shared" si="1"/>
        <v>1.4029801755414788E-3</v>
      </c>
      <c r="E14" s="365">
        <f t="shared" si="2"/>
        <v>1.0000000000860361</v>
      </c>
      <c r="F14" s="366">
        <f t="shared" si="3"/>
        <v>1.3117632144728409E-5</v>
      </c>
      <c r="G14" s="365">
        <f t="shared" si="4"/>
        <v>1</v>
      </c>
      <c r="H14" s="366">
        <f t="shared" si="5"/>
        <v>0</v>
      </c>
      <c r="I14" s="364">
        <f t="shared" si="6"/>
        <v>1.0670410433772235</v>
      </c>
      <c r="J14" s="367">
        <f t="shared" si="7"/>
        <v>0.35636523269352766</v>
      </c>
      <c r="K14" s="375">
        <f t="shared" si="8"/>
        <v>1.0000000253305883</v>
      </c>
      <c r="L14" s="376">
        <f t="shared" si="9"/>
        <v>2.2508037550202599E-4</v>
      </c>
      <c r="M14" s="364">
        <f t="shared" si="10"/>
        <v>1.0000000000043214</v>
      </c>
      <c r="N14" s="367">
        <f t="shared" si="11"/>
        <v>2.9398704719469809E-6</v>
      </c>
      <c r="O14" s="368">
        <f t="shared" si="12"/>
        <v>1.0000000002702802</v>
      </c>
      <c r="P14" s="369">
        <f t="shared" si="13"/>
        <v>2.7060226644881321E-5</v>
      </c>
      <c r="Q14" s="370">
        <f t="shared" si="14"/>
        <v>89.455906728328472</v>
      </c>
      <c r="R14" s="371">
        <f t="shared" si="15"/>
        <v>-20.486679803168325</v>
      </c>
      <c r="S14" s="393">
        <f t="shared" si="16"/>
        <v>159.51332019683167</v>
      </c>
      <c r="U14" s="346">
        <f t="shared" ref="U14:U77" si="23">IF(Q14&lt;0,A14,1000000000)</f>
        <v>1000000000</v>
      </c>
      <c r="V14" s="346">
        <f t="shared" ref="V14:V77" si="24">A14^2</f>
        <v>1.2023122500000001</v>
      </c>
      <c r="X14" s="372">
        <f t="shared" si="17"/>
        <v>87.533052057621958</v>
      </c>
      <c r="Y14" s="373">
        <f t="shared" si="18"/>
        <v>-20.405496108456187</v>
      </c>
      <c r="AA14" s="372">
        <f t="shared" si="19"/>
        <v>53.403480025260883</v>
      </c>
      <c r="AB14" s="373">
        <f t="shared" si="20"/>
        <v>-8.1183694712137058E-2</v>
      </c>
      <c r="AD14">
        <f t="shared" ref="AD14:AD77" si="25">SUM((Q15&lt;0)*(Q14&gt;0))*A14</f>
        <v>0</v>
      </c>
      <c r="AE14">
        <f t="shared" si="21"/>
        <v>0</v>
      </c>
    </row>
    <row r="15" spans="1:31" x14ac:dyDescent="0.2">
      <c r="A15" s="374">
        <v>1.2022999999999999</v>
      </c>
      <c r="B15" s="391">
        <f t="shared" si="22"/>
        <v>1.2022999999999999E-3</v>
      </c>
      <c r="C15" s="364">
        <f t="shared" si="0"/>
        <v>1.0000011832644269</v>
      </c>
      <c r="D15" s="365">
        <f t="shared" si="1"/>
        <v>1.5383518843350781E-3</v>
      </c>
      <c r="E15" s="365">
        <f t="shared" si="2"/>
        <v>1.0000000001034401</v>
      </c>
      <c r="F15" s="366">
        <f t="shared" si="3"/>
        <v>1.4383337097513883E-5</v>
      </c>
      <c r="G15" s="365">
        <f t="shared" si="4"/>
        <v>1</v>
      </c>
      <c r="H15" s="366">
        <f t="shared" si="5"/>
        <v>0</v>
      </c>
      <c r="I15" s="364">
        <f t="shared" si="6"/>
        <v>1.0800967246080015</v>
      </c>
      <c r="J15" s="367">
        <f t="shared" si="7"/>
        <v>0.38753607376546934</v>
      </c>
      <c r="K15" s="375">
        <f t="shared" si="8"/>
        <v>1.0000000304546559</v>
      </c>
      <c r="L15" s="376">
        <f t="shared" si="9"/>
        <v>2.467981163170595E-4</v>
      </c>
      <c r="M15" s="364">
        <f t="shared" si="10"/>
        <v>1.0000000000051956</v>
      </c>
      <c r="N15" s="367">
        <f t="shared" si="11"/>
        <v>3.2235351285178244E-6</v>
      </c>
      <c r="O15" s="368">
        <f t="shared" si="12"/>
        <v>1.0000000003249547</v>
      </c>
      <c r="P15" s="369">
        <f t="shared" si="13"/>
        <v>2.9671236200789065E-5</v>
      </c>
      <c r="Q15" s="370">
        <f t="shared" si="14"/>
        <v>89.350274556378622</v>
      </c>
      <c r="R15" s="371">
        <f t="shared" si="15"/>
        <v>-22.27924266826555</v>
      </c>
      <c r="S15" s="393">
        <f t="shared" si="16"/>
        <v>157.72075733173446</v>
      </c>
      <c r="U15" s="346">
        <f t="shared" si="23"/>
        <v>1000000000</v>
      </c>
      <c r="V15" s="346">
        <f t="shared" si="24"/>
        <v>1.4455252899999997</v>
      </c>
      <c r="X15" s="372">
        <f t="shared" si="17"/>
        <v>87.427421615241087</v>
      </c>
      <c r="Y15" s="373">
        <f t="shared" si="18"/>
        <v>-22.190225665689194</v>
      </c>
      <c r="AA15" s="372">
        <f t="shared" si="19"/>
        <v>53.403478295691905</v>
      </c>
      <c r="AB15" s="373">
        <f t="shared" si="20"/>
        <v>-8.9017002576353615E-2</v>
      </c>
      <c r="AD15">
        <f t="shared" si="25"/>
        <v>0</v>
      </c>
      <c r="AE15">
        <f t="shared" si="21"/>
        <v>0</v>
      </c>
    </row>
    <row r="16" spans="1:31" x14ac:dyDescent="0.2">
      <c r="A16" s="374">
        <v>1.3183</v>
      </c>
      <c r="B16" s="391">
        <f t="shared" si="22"/>
        <v>1.3183000000000001E-3</v>
      </c>
      <c r="C16" s="364">
        <f t="shared" si="0"/>
        <v>1.0000014226057712</v>
      </c>
      <c r="D16" s="365">
        <f t="shared" si="1"/>
        <v>1.686774486840463E-3</v>
      </c>
      <c r="E16" s="365">
        <f t="shared" si="2"/>
        <v>1.0000000001243632</v>
      </c>
      <c r="F16" s="366">
        <f t="shared" si="3"/>
        <v>1.5771066535297402E-5</v>
      </c>
      <c r="G16" s="365">
        <f t="shared" si="4"/>
        <v>1</v>
      </c>
      <c r="H16" s="366">
        <f t="shared" si="5"/>
        <v>0</v>
      </c>
      <c r="I16" s="364">
        <f t="shared" si="6"/>
        <v>1.0955862779680476</v>
      </c>
      <c r="J16" s="367">
        <f t="shared" si="7"/>
        <v>0.42082235309613453</v>
      </c>
      <c r="K16" s="375">
        <f t="shared" si="8"/>
        <v>1.0000000366147863</v>
      </c>
      <c r="L16" s="376">
        <f t="shared" si="9"/>
        <v>2.706096277174009E-4</v>
      </c>
      <c r="M16" s="364">
        <f t="shared" si="10"/>
        <v>1.0000000000062466</v>
      </c>
      <c r="N16" s="367">
        <f t="shared" si="11"/>
        <v>3.5345474173850715E-6</v>
      </c>
      <c r="O16" s="368">
        <f t="shared" si="12"/>
        <v>1.0000000003906839</v>
      </c>
      <c r="P16" s="369">
        <f t="shared" si="13"/>
        <v>3.2533968794884906E-5</v>
      </c>
      <c r="Q16" s="370">
        <f t="shared" si="14"/>
        <v>89.226593829206976</v>
      </c>
      <c r="R16" s="371">
        <f t="shared" si="15"/>
        <v>-24.193648012541729</v>
      </c>
      <c r="S16" s="393">
        <f t="shared" si="16"/>
        <v>155.80635198745827</v>
      </c>
      <c r="U16" s="346">
        <f t="shared" si="23"/>
        <v>1000000000</v>
      </c>
      <c r="V16" s="346">
        <f t="shared" si="24"/>
        <v>1.7379148900000001</v>
      </c>
      <c r="X16" s="372">
        <f t="shared" si="17"/>
        <v>87.303742967348398</v>
      </c>
      <c r="Y16" s="373">
        <f t="shared" si="18"/>
        <v>-24.096042509792031</v>
      </c>
      <c r="AA16" s="372">
        <f t="shared" si="19"/>
        <v>53.403476216412926</v>
      </c>
      <c r="AB16" s="373">
        <f t="shared" si="20"/>
        <v>-9.7605502749698966E-2</v>
      </c>
      <c r="AD16">
        <f t="shared" si="25"/>
        <v>0</v>
      </c>
      <c r="AE16">
        <f t="shared" si="21"/>
        <v>0</v>
      </c>
    </row>
    <row r="17" spans="1:31" x14ac:dyDescent="0.2">
      <c r="A17" s="374">
        <v>1.4454</v>
      </c>
      <c r="B17" s="391">
        <f t="shared" si="22"/>
        <v>1.4454000000000001E-3</v>
      </c>
      <c r="C17" s="364">
        <f t="shared" si="0"/>
        <v>1.0000017101417136</v>
      </c>
      <c r="D17" s="365">
        <f t="shared" si="1"/>
        <v>1.8493995114357861E-3</v>
      </c>
      <c r="E17" s="365">
        <f t="shared" si="2"/>
        <v>1.0000000001494995</v>
      </c>
      <c r="F17" s="366">
        <f t="shared" si="3"/>
        <v>1.7291587324385091E-5</v>
      </c>
      <c r="G17" s="365">
        <f t="shared" si="4"/>
        <v>1</v>
      </c>
      <c r="H17" s="366">
        <f t="shared" si="5"/>
        <v>0</v>
      </c>
      <c r="I17" s="364">
        <f t="shared" si="6"/>
        <v>1.1139100867283165</v>
      </c>
      <c r="J17" s="367">
        <f t="shared" si="7"/>
        <v>0.45618751562056453</v>
      </c>
      <c r="K17" s="375">
        <f t="shared" si="8"/>
        <v>1.000000044015344</v>
      </c>
      <c r="L17" s="376">
        <f t="shared" si="9"/>
        <v>2.9669965407947053E-4</v>
      </c>
      <c r="M17" s="364">
        <f t="shared" si="10"/>
        <v>1.0000000000075091</v>
      </c>
      <c r="N17" s="367">
        <f t="shared" si="11"/>
        <v>3.8753203649276211E-6</v>
      </c>
      <c r="O17" s="368">
        <f t="shared" si="12"/>
        <v>1.0000000004696488</v>
      </c>
      <c r="P17" s="369">
        <f t="shared" si="13"/>
        <v>3.5670635283387733E-5</v>
      </c>
      <c r="Q17" s="370">
        <f t="shared" si="14"/>
        <v>89.082520346407478</v>
      </c>
      <c r="R17" s="371">
        <f t="shared" si="15"/>
        <v>-26.227857571644133</v>
      </c>
      <c r="S17" s="393">
        <f t="shared" si="16"/>
        <v>153.77214242835586</v>
      </c>
      <c r="U17" s="346">
        <f t="shared" si="23"/>
        <v>1000000000</v>
      </c>
      <c r="V17" s="346">
        <f t="shared" si="24"/>
        <v>2.0891811599999999</v>
      </c>
      <c r="X17" s="372">
        <f t="shared" si="17"/>
        <v>87.15967198251802</v>
      </c>
      <c r="Y17" s="373">
        <f t="shared" si="18"/>
        <v>-26.120841743003503</v>
      </c>
      <c r="AA17" s="372">
        <f t="shared" si="19"/>
        <v>53.40347371844382</v>
      </c>
      <c r="AB17" s="373">
        <f t="shared" si="20"/>
        <v>-0.10701582864062976</v>
      </c>
      <c r="AD17">
        <f t="shared" si="25"/>
        <v>0</v>
      </c>
      <c r="AE17">
        <f t="shared" si="21"/>
        <v>0</v>
      </c>
    </row>
    <row r="18" spans="1:31" x14ac:dyDescent="0.2">
      <c r="A18" s="374">
        <v>1.5849</v>
      </c>
      <c r="B18" s="391">
        <f t="shared" si="22"/>
        <v>1.5849E-3</v>
      </c>
      <c r="C18" s="364">
        <f t="shared" si="0"/>
        <v>1.0000020561730154</v>
      </c>
      <c r="D18" s="365">
        <f t="shared" si="1"/>
        <v>2.0278902791644473E-3</v>
      </c>
      <c r="E18" s="365">
        <f t="shared" si="2"/>
        <v>1.0000000001797493</v>
      </c>
      <c r="F18" s="366">
        <f t="shared" si="3"/>
        <v>1.8960451604998797E-5</v>
      </c>
      <c r="G18" s="365">
        <f t="shared" si="4"/>
        <v>1</v>
      </c>
      <c r="H18" s="366">
        <f t="shared" si="5"/>
        <v>0</v>
      </c>
      <c r="I18" s="364">
        <f t="shared" si="6"/>
        <v>1.1355696818742542</v>
      </c>
      <c r="J18" s="367">
        <f t="shared" si="7"/>
        <v>0.49363719448899146</v>
      </c>
      <c r="K18" s="375">
        <f t="shared" si="8"/>
        <v>1.0000000529214492</v>
      </c>
      <c r="L18" s="376">
        <f t="shared" si="9"/>
        <v>3.2533504840082512E-4</v>
      </c>
      <c r="M18" s="364">
        <f t="shared" si="10"/>
        <v>1.0000000000090283</v>
      </c>
      <c r="N18" s="367">
        <f t="shared" si="11"/>
        <v>4.2493394536927933E-6</v>
      </c>
      <c r="O18" s="368">
        <f t="shared" si="12"/>
        <v>1.0000000005646779</v>
      </c>
      <c r="P18" s="369">
        <f t="shared" si="13"/>
        <v>3.9113318014179243E-5</v>
      </c>
      <c r="Q18" s="370">
        <f t="shared" si="14"/>
        <v>88.915244370692506</v>
      </c>
      <c r="R18" s="371">
        <f t="shared" si="15"/>
        <v>-28.382275259846701</v>
      </c>
      <c r="S18" s="393">
        <f t="shared" si="16"/>
        <v>151.61772474015331</v>
      </c>
      <c r="U18" s="346">
        <f t="shared" si="23"/>
        <v>1000000000</v>
      </c>
      <c r="V18" s="346">
        <f t="shared" si="24"/>
        <v>2.51190801</v>
      </c>
      <c r="X18" s="372">
        <f t="shared" si="17"/>
        <v>86.992399012949761</v>
      </c>
      <c r="Y18" s="373">
        <f t="shared" si="18"/>
        <v>-28.264931031210544</v>
      </c>
      <c r="AA18" s="372">
        <f t="shared" si="19"/>
        <v>53.403470712297121</v>
      </c>
      <c r="AB18" s="373">
        <f t="shared" si="20"/>
        <v>-0.11734422863615145</v>
      </c>
      <c r="AD18">
        <f t="shared" si="25"/>
        <v>0</v>
      </c>
      <c r="AE18">
        <f t="shared" si="21"/>
        <v>0</v>
      </c>
    </row>
    <row r="19" spans="1:31" x14ac:dyDescent="0.2">
      <c r="A19" s="374">
        <v>1.7378</v>
      </c>
      <c r="B19" s="391">
        <f t="shared" si="22"/>
        <v>1.7378000000000001E-3</v>
      </c>
      <c r="C19" s="364">
        <f t="shared" si="0"/>
        <v>1.0000024720395797</v>
      </c>
      <c r="D19" s="365">
        <f t="shared" si="1"/>
        <v>2.2235262477795286E-3</v>
      </c>
      <c r="E19" s="365">
        <f t="shared" si="2"/>
        <v>1.0000000002161042</v>
      </c>
      <c r="F19" s="366">
        <f t="shared" si="3"/>
        <v>2.0789622561908215E-5</v>
      </c>
      <c r="G19" s="365">
        <f t="shared" si="4"/>
        <v>1</v>
      </c>
      <c r="H19" s="366">
        <f t="shared" si="5"/>
        <v>0</v>
      </c>
      <c r="I19" s="364">
        <f t="shared" si="6"/>
        <v>1.1610660947785871</v>
      </c>
      <c r="J19" s="367">
        <f t="shared" si="7"/>
        <v>0.53301806482985825</v>
      </c>
      <c r="K19" s="375">
        <f t="shared" si="8"/>
        <v>1.0000000636249686</v>
      </c>
      <c r="L19" s="376">
        <f t="shared" si="9"/>
        <v>3.5672108213557612E-4</v>
      </c>
      <c r="M19" s="364">
        <f t="shared" si="10"/>
        <v>1.0000000000108544</v>
      </c>
      <c r="N19" s="367">
        <f t="shared" si="11"/>
        <v>4.6592858241014244E-6</v>
      </c>
      <c r="O19" s="368">
        <f t="shared" si="12"/>
        <v>1.0000000006788858</v>
      </c>
      <c r="P19" s="369">
        <f t="shared" si="13"/>
        <v>4.2886695716312118E-5</v>
      </c>
      <c r="Q19" s="370">
        <f t="shared" si="14"/>
        <v>88.722377768571505</v>
      </c>
      <c r="R19" s="371">
        <f t="shared" si="15"/>
        <v>-30.648178637611245</v>
      </c>
      <c r="S19" s="393">
        <f t="shared" si="16"/>
        <v>149.35182136238876</v>
      </c>
      <c r="U19" s="346">
        <f t="shared" si="23"/>
        <v>1000000000</v>
      </c>
      <c r="V19" s="346">
        <f t="shared" si="24"/>
        <v>3.0199488400000001</v>
      </c>
      <c r="X19" s="372">
        <f t="shared" si="17"/>
        <v>86.799536023667883</v>
      </c>
      <c r="Y19" s="373">
        <f t="shared" si="18"/>
        <v>-30.519513898798561</v>
      </c>
      <c r="AA19" s="372">
        <f t="shared" si="19"/>
        <v>53.403467099457991</v>
      </c>
      <c r="AB19" s="373">
        <f t="shared" si="20"/>
        <v>-0.1286647388126872</v>
      </c>
      <c r="AD19">
        <f t="shared" si="25"/>
        <v>0</v>
      </c>
      <c r="AE19">
        <f t="shared" si="21"/>
        <v>0</v>
      </c>
    </row>
    <row r="20" spans="1:31" x14ac:dyDescent="0.2">
      <c r="A20" s="374">
        <v>1.9055</v>
      </c>
      <c r="B20" s="391">
        <f t="shared" si="22"/>
        <v>1.9055000000000001E-3</v>
      </c>
      <c r="C20" s="364">
        <f t="shared" si="0"/>
        <v>1.0000029721699011</v>
      </c>
      <c r="D20" s="365">
        <f t="shared" si="1"/>
        <v>2.4380986606451173E-3</v>
      </c>
      <c r="E20" s="365">
        <f t="shared" si="2"/>
        <v>1.0000000002598255</v>
      </c>
      <c r="F20" s="366">
        <f t="shared" si="3"/>
        <v>2.2795848653792976E-5</v>
      </c>
      <c r="G20" s="365">
        <f t="shared" si="4"/>
        <v>1</v>
      </c>
      <c r="H20" s="366">
        <f t="shared" si="5"/>
        <v>0</v>
      </c>
      <c r="I20" s="364">
        <f t="shared" si="6"/>
        <v>1.1910059685892829</v>
      </c>
      <c r="J20" s="367">
        <f t="shared" si="7"/>
        <v>0.57420137495288004</v>
      </c>
      <c r="K20" s="375">
        <f t="shared" si="8"/>
        <v>1.0000000764972634</v>
      </c>
      <c r="L20" s="376">
        <f t="shared" si="9"/>
        <v>3.9114513532984225E-4</v>
      </c>
      <c r="M20" s="364">
        <f t="shared" si="10"/>
        <v>1.0000000000130504</v>
      </c>
      <c r="N20" s="367">
        <f t="shared" si="11"/>
        <v>5.1089130727427017E-6</v>
      </c>
      <c r="O20" s="368">
        <f t="shared" si="12"/>
        <v>1.0000000008162346</v>
      </c>
      <c r="P20" s="369">
        <f t="shared" si="13"/>
        <v>4.702531861047112E-5</v>
      </c>
      <c r="Q20" s="370">
        <f t="shared" si="14"/>
        <v>88.501233638657126</v>
      </c>
      <c r="R20" s="371">
        <f t="shared" si="15"/>
        <v>-33.018278176523118</v>
      </c>
      <c r="S20" s="393">
        <f t="shared" si="16"/>
        <v>146.98172182347687</v>
      </c>
      <c r="U20" s="346">
        <f t="shared" si="23"/>
        <v>1000000000</v>
      </c>
      <c r="V20" s="346">
        <f t="shared" si="24"/>
        <v>3.63093025</v>
      </c>
      <c r="X20" s="372">
        <f t="shared" si="17"/>
        <v>86.578396238631697</v>
      </c>
      <c r="Y20" s="373">
        <f t="shared" si="18"/>
        <v>-32.877197166702089</v>
      </c>
      <c r="AA20" s="372">
        <f t="shared" si="19"/>
        <v>53.403462754579813</v>
      </c>
      <c r="AB20" s="373">
        <f t="shared" si="20"/>
        <v>-0.14108100982102917</v>
      </c>
      <c r="AD20">
        <f t="shared" si="25"/>
        <v>0</v>
      </c>
      <c r="AE20">
        <f t="shared" si="21"/>
        <v>0</v>
      </c>
    </row>
    <row r="21" spans="1:31" x14ac:dyDescent="0.2">
      <c r="A21" s="374">
        <v>2.0893000000000002</v>
      </c>
      <c r="B21" s="391">
        <f t="shared" si="22"/>
        <v>2.0893000000000001E-3</v>
      </c>
      <c r="C21" s="364">
        <f t="shared" si="0"/>
        <v>1.0000035731989985</v>
      </c>
      <c r="D21" s="365">
        <f t="shared" si="1"/>
        <v>2.6732707901488211E-3</v>
      </c>
      <c r="E21" s="365">
        <f t="shared" si="2"/>
        <v>1.000000000312367</v>
      </c>
      <c r="F21" s="366">
        <f t="shared" si="3"/>
        <v>2.4994682020835154E-5</v>
      </c>
      <c r="G21" s="365">
        <f t="shared" si="4"/>
        <v>1</v>
      </c>
      <c r="H21" s="366">
        <f t="shared" si="5"/>
        <v>0</v>
      </c>
      <c r="I21" s="364">
        <f t="shared" si="6"/>
        <v>1.2260191820514734</v>
      </c>
      <c r="J21" s="367">
        <f t="shared" si="7"/>
        <v>0.61694810234807596</v>
      </c>
      <c r="K21" s="375">
        <f t="shared" si="8"/>
        <v>1.0000000919664871</v>
      </c>
      <c r="L21" s="376">
        <f t="shared" si="9"/>
        <v>4.2887406078027061E-4</v>
      </c>
      <c r="M21" s="364">
        <f t="shared" si="10"/>
        <v>1.0000000000156897</v>
      </c>
      <c r="N21" s="367">
        <f t="shared" si="11"/>
        <v>5.6017066821634989E-6</v>
      </c>
      <c r="O21" s="368">
        <f t="shared" si="12"/>
        <v>1.000000000981293</v>
      </c>
      <c r="P21" s="369">
        <f t="shared" si="13"/>
        <v>5.1561269044325884E-5</v>
      </c>
      <c r="Q21" s="370">
        <f t="shared" si="14"/>
        <v>88.249562007258916</v>
      </c>
      <c r="R21" s="371">
        <f t="shared" si="15"/>
        <v>-35.478960051299786</v>
      </c>
      <c r="S21" s="393">
        <f t="shared" si="16"/>
        <v>144.52103994870021</v>
      </c>
      <c r="U21" s="346">
        <f t="shared" si="23"/>
        <v>1000000000</v>
      </c>
      <c r="V21" s="346">
        <f t="shared" si="24"/>
        <v>4.3651744900000002</v>
      </c>
      <c r="X21" s="372">
        <f t="shared" si="17"/>
        <v>86.326729828666117</v>
      </c>
      <c r="Y21" s="373">
        <f t="shared" si="18"/>
        <v>-35.324270764039376</v>
      </c>
      <c r="AA21" s="372">
        <f t="shared" si="19"/>
        <v>53.403457533147176</v>
      </c>
      <c r="AB21" s="373">
        <f t="shared" si="20"/>
        <v>-0.15468928726040151</v>
      </c>
      <c r="AD21">
        <f t="shared" si="25"/>
        <v>0</v>
      </c>
      <c r="AE21">
        <f t="shared" si="21"/>
        <v>0</v>
      </c>
    </row>
    <row r="22" spans="1:31" x14ac:dyDescent="0.2">
      <c r="A22" s="374">
        <v>2.2909000000000002</v>
      </c>
      <c r="B22" s="391">
        <f t="shared" si="22"/>
        <v>2.2909000000000002E-3</v>
      </c>
      <c r="C22" s="364">
        <f t="shared" si="0"/>
        <v>1.0000042960339279</v>
      </c>
      <c r="D22" s="365">
        <f t="shared" si="1"/>
        <v>2.9312176815070173E-3</v>
      </c>
      <c r="E22" s="365">
        <f t="shared" si="2"/>
        <v>1.0000000003755569</v>
      </c>
      <c r="F22" s="366">
        <f t="shared" si="3"/>
        <v>2.7406460077116292E-5</v>
      </c>
      <c r="G22" s="365">
        <f t="shared" si="4"/>
        <v>1</v>
      </c>
      <c r="H22" s="366">
        <f t="shared" si="5"/>
        <v>0</v>
      </c>
      <c r="I22" s="364">
        <f t="shared" si="6"/>
        <v>1.2668471781256148</v>
      </c>
      <c r="J22" s="367">
        <f t="shared" si="7"/>
        <v>0.6610285488575478</v>
      </c>
      <c r="K22" s="375">
        <f t="shared" si="8"/>
        <v>1.0000001105707483</v>
      </c>
      <c r="L22" s="376">
        <f t="shared" si="9"/>
        <v>4.7025681982273374E-4</v>
      </c>
      <c r="M22" s="364">
        <f t="shared" si="10"/>
        <v>1.0000000000188636</v>
      </c>
      <c r="N22" s="367">
        <f t="shared" si="11"/>
        <v>6.1422245910789284E-6</v>
      </c>
      <c r="O22" s="368">
        <f t="shared" si="12"/>
        <v>1.0000000011798027</v>
      </c>
      <c r="P22" s="369">
        <f t="shared" si="13"/>
        <v>5.6536500857122353E-5</v>
      </c>
      <c r="Q22" s="370">
        <f t="shared" si="14"/>
        <v>87.965016624016016</v>
      </c>
      <c r="R22" s="371">
        <f t="shared" si="15"/>
        <v>-38.017169653496786</v>
      </c>
      <c r="S22" s="393">
        <f t="shared" si="16"/>
        <v>141.98283034650322</v>
      </c>
      <c r="U22" s="346">
        <f t="shared" si="23"/>
        <v>1000000000</v>
      </c>
      <c r="V22" s="346">
        <f t="shared" si="24"/>
        <v>5.2482228100000006</v>
      </c>
      <c r="X22" s="372">
        <f t="shared" si="17"/>
        <v>86.04219072503831</v>
      </c>
      <c r="Y22" s="373">
        <f t="shared" si="18"/>
        <v>-37.847554222924764</v>
      </c>
      <c r="AA22" s="372">
        <f t="shared" si="19"/>
        <v>53.403451253532083</v>
      </c>
      <c r="AB22" s="373">
        <f t="shared" si="20"/>
        <v>-0.16961543057202663</v>
      </c>
      <c r="AD22">
        <f t="shared" si="25"/>
        <v>0</v>
      </c>
      <c r="AE22">
        <f t="shared" si="21"/>
        <v>0</v>
      </c>
    </row>
    <row r="23" spans="1:31" x14ac:dyDescent="0.2">
      <c r="A23" s="374">
        <v>2.5118999999999998</v>
      </c>
      <c r="B23" s="391">
        <f t="shared" si="22"/>
        <v>2.5118999999999996E-3</v>
      </c>
      <c r="C23" s="364">
        <f t="shared" si="0"/>
        <v>1.0000051648764994</v>
      </c>
      <c r="D23" s="365">
        <f t="shared" si="1"/>
        <v>3.2139863937221081E-3</v>
      </c>
      <c r="E23" s="365">
        <f t="shared" si="2"/>
        <v>1.0000000004515108</v>
      </c>
      <c r="F23" s="366">
        <f t="shared" si="3"/>
        <v>3.0050323918207915E-5</v>
      </c>
      <c r="G23" s="365">
        <f t="shared" si="4"/>
        <v>1</v>
      </c>
      <c r="H23" s="366">
        <f t="shared" si="5"/>
        <v>0</v>
      </c>
      <c r="I23" s="364">
        <f t="shared" si="6"/>
        <v>1.3142447287787169</v>
      </c>
      <c r="J23" s="367">
        <f t="shared" si="7"/>
        <v>0.70610764482496369</v>
      </c>
      <c r="K23" s="375">
        <f t="shared" si="8"/>
        <v>1.0000001329329591</v>
      </c>
      <c r="L23" s="376">
        <f t="shared" si="9"/>
        <v>5.1562184648071187E-4</v>
      </c>
      <c r="M23" s="364">
        <f t="shared" si="10"/>
        <v>1.0000000000226785</v>
      </c>
      <c r="N23" s="367">
        <f t="shared" si="11"/>
        <v>6.7347566241616474E-6</v>
      </c>
      <c r="O23" s="368">
        <f t="shared" si="12"/>
        <v>1.0000000014184103</v>
      </c>
      <c r="P23" s="369">
        <f t="shared" si="13"/>
        <v>6.1990500015024984E-5</v>
      </c>
      <c r="Q23" s="370">
        <f t="shared" si="14"/>
        <v>87.64596896158038</v>
      </c>
      <c r="R23" s="371">
        <f t="shared" si="15"/>
        <v>-40.613808787363524</v>
      </c>
      <c r="S23" s="393">
        <f t="shared" si="16"/>
        <v>139.38619121263648</v>
      </c>
      <c r="U23" s="346">
        <f t="shared" si="23"/>
        <v>1000000000</v>
      </c>
      <c r="V23" s="346">
        <f t="shared" si="24"/>
        <v>6.309641609999999</v>
      </c>
      <c r="X23" s="372">
        <f t="shared" si="17"/>
        <v>85.723150610650464</v>
      </c>
      <c r="Y23" s="373">
        <f t="shared" si="18"/>
        <v>-40.427830894091016</v>
      </c>
      <c r="AA23" s="372">
        <f t="shared" si="19"/>
        <v>53.4034437054843</v>
      </c>
      <c r="AB23" s="373">
        <f t="shared" si="20"/>
        <v>-0.18597789327251146</v>
      </c>
      <c r="AD23">
        <f t="shared" si="25"/>
        <v>0</v>
      </c>
      <c r="AE23">
        <f t="shared" si="21"/>
        <v>0</v>
      </c>
    </row>
    <row r="24" spans="1:31" x14ac:dyDescent="0.2">
      <c r="A24" s="374">
        <v>2.7542</v>
      </c>
      <c r="B24" s="391">
        <f t="shared" si="22"/>
        <v>2.7542000000000001E-3</v>
      </c>
      <c r="C24" s="364">
        <f t="shared" si="0"/>
        <v>1.0000062093475737</v>
      </c>
      <c r="D24" s="365">
        <f t="shared" si="1"/>
        <v>3.5240077876795436E-3</v>
      </c>
      <c r="E24" s="365">
        <f t="shared" si="2"/>
        <v>1.0000000005428185</v>
      </c>
      <c r="F24" s="366">
        <f t="shared" si="3"/>
        <v>3.2949003595083492E-5</v>
      </c>
      <c r="G24" s="365">
        <f t="shared" si="4"/>
        <v>1</v>
      </c>
      <c r="H24" s="366">
        <f t="shared" si="5"/>
        <v>0</v>
      </c>
      <c r="I24" s="364">
        <f t="shared" si="6"/>
        <v>1.3690530175703479</v>
      </c>
      <c r="J24" s="367">
        <f t="shared" si="7"/>
        <v>0.75184221577597654</v>
      </c>
      <c r="K24" s="375">
        <f t="shared" si="8"/>
        <v>1.0000001598155088</v>
      </c>
      <c r="L24" s="376">
        <f t="shared" si="9"/>
        <v>5.6535915606756369E-4</v>
      </c>
      <c r="M24" s="364">
        <f t="shared" si="10"/>
        <v>1.0000000000272646</v>
      </c>
      <c r="N24" s="367">
        <f t="shared" si="11"/>
        <v>7.384396948210239E-6</v>
      </c>
      <c r="O24" s="368">
        <f t="shared" si="12"/>
        <v>1.0000000017052502</v>
      </c>
      <c r="P24" s="369">
        <f t="shared" si="13"/>
        <v>6.797015610275964E-5</v>
      </c>
      <c r="Q24" s="370">
        <f t="shared" si="14"/>
        <v>87.291079660859893</v>
      </c>
      <c r="R24" s="371">
        <f t="shared" si="15"/>
        <v>-43.24933361181246</v>
      </c>
      <c r="S24" s="393">
        <f t="shared" si="16"/>
        <v>136.75066638818754</v>
      </c>
      <c r="U24" s="346">
        <f t="shared" si="23"/>
        <v>1000000000</v>
      </c>
      <c r="V24" s="346">
        <f t="shared" si="24"/>
        <v>7.5856176399999997</v>
      </c>
      <c r="X24" s="372">
        <f t="shared" si="17"/>
        <v>85.368270383737226</v>
      </c>
      <c r="Y24" s="373">
        <f t="shared" si="18"/>
        <v>-43.045416274141807</v>
      </c>
      <c r="AA24" s="372">
        <f t="shared" si="19"/>
        <v>53.403434631677044</v>
      </c>
      <c r="AB24" s="373">
        <f t="shared" si="20"/>
        <v>-0.20391733767065551</v>
      </c>
      <c r="AD24">
        <f t="shared" si="25"/>
        <v>0</v>
      </c>
      <c r="AE24">
        <f t="shared" si="21"/>
        <v>0</v>
      </c>
    </row>
    <row r="25" spans="1:31" x14ac:dyDescent="0.2">
      <c r="A25" s="374">
        <v>3.02</v>
      </c>
      <c r="B25" s="391">
        <f t="shared" si="22"/>
        <v>3.0200000000000001E-3</v>
      </c>
      <c r="C25" s="364">
        <f t="shared" si="0"/>
        <v>1.0000074656673621</v>
      </c>
      <c r="D25" s="365">
        <f t="shared" si="1"/>
        <v>3.8640965090584573E-3</v>
      </c>
      <c r="E25" s="365">
        <f t="shared" si="2"/>
        <v>1.0000000006526457</v>
      </c>
      <c r="F25" s="366">
        <f t="shared" si="3"/>
        <v>3.6128818114104453E-5</v>
      </c>
      <c r="G25" s="365">
        <f t="shared" si="4"/>
        <v>1</v>
      </c>
      <c r="H25" s="366">
        <f t="shared" si="5"/>
        <v>0</v>
      </c>
      <c r="I25" s="364">
        <f t="shared" si="6"/>
        <v>1.432202055107439</v>
      </c>
      <c r="J25" s="367">
        <f t="shared" si="7"/>
        <v>0.79788060723908827</v>
      </c>
      <c r="K25" s="375">
        <f t="shared" si="8"/>
        <v>1.0000001921506478</v>
      </c>
      <c r="L25" s="376">
        <f t="shared" si="9"/>
        <v>6.1992034511595647E-4</v>
      </c>
      <c r="M25" s="364">
        <f t="shared" si="10"/>
        <v>1.0000000000327811</v>
      </c>
      <c r="N25" s="367">
        <f t="shared" si="11"/>
        <v>8.0970440721490477E-6</v>
      </c>
      <c r="O25" s="368">
        <f t="shared" si="12"/>
        <v>1.00000000205027</v>
      </c>
      <c r="P25" s="369">
        <f t="shared" si="13"/>
        <v>7.4529762323538975E-5</v>
      </c>
      <c r="Q25" s="370">
        <f t="shared" si="14"/>
        <v>86.899388512565736</v>
      </c>
      <c r="R25" s="371">
        <f t="shared" si="15"/>
        <v>-45.903733143262933</v>
      </c>
      <c r="S25" s="393">
        <f t="shared" si="16"/>
        <v>134.09626685673706</v>
      </c>
      <c r="U25" s="346">
        <f t="shared" si="23"/>
        <v>1000000000</v>
      </c>
      <c r="V25" s="346">
        <f t="shared" si="24"/>
        <v>9.1204000000000001</v>
      </c>
      <c r="X25" s="372">
        <f t="shared" si="17"/>
        <v>84.97659014966635</v>
      </c>
      <c r="Y25" s="373">
        <f t="shared" si="18"/>
        <v>-45.680136509374627</v>
      </c>
      <c r="AA25" s="372">
        <f t="shared" si="19"/>
        <v>53.403423717453762</v>
      </c>
      <c r="AB25" s="373">
        <f t="shared" si="20"/>
        <v>-0.22359663388829881</v>
      </c>
      <c r="AD25">
        <f t="shared" si="25"/>
        <v>0</v>
      </c>
      <c r="AE25">
        <f t="shared" si="21"/>
        <v>0</v>
      </c>
    </row>
    <row r="26" spans="1:31" x14ac:dyDescent="0.2">
      <c r="A26" s="374">
        <v>3.3113000000000001</v>
      </c>
      <c r="B26" s="391">
        <f t="shared" si="22"/>
        <v>3.3113000000000001E-3</v>
      </c>
      <c r="C26" s="364">
        <f t="shared" si="0"/>
        <v>1.0000089753517989</v>
      </c>
      <c r="D26" s="365">
        <f t="shared" si="1"/>
        <v>4.2368112227606572E-3</v>
      </c>
      <c r="E26" s="365">
        <f t="shared" si="2"/>
        <v>1.0000000007846224</v>
      </c>
      <c r="F26" s="366">
        <f t="shared" si="3"/>
        <v>3.9613693844605375E-5</v>
      </c>
      <c r="G26" s="365">
        <f t="shared" si="4"/>
        <v>1</v>
      </c>
      <c r="H26" s="366">
        <f t="shared" si="5"/>
        <v>0</v>
      </c>
      <c r="I26" s="364">
        <f t="shared" si="6"/>
        <v>1.5045845550196844</v>
      </c>
      <c r="J26" s="367">
        <f t="shared" si="7"/>
        <v>0.84379073095618051</v>
      </c>
      <c r="K26" s="375">
        <f t="shared" si="8"/>
        <v>1.0000002310069345</v>
      </c>
      <c r="L26" s="376">
        <f t="shared" si="9"/>
        <v>6.7971595549928766E-4</v>
      </c>
      <c r="M26" s="364">
        <f t="shared" si="10"/>
        <v>1.00000000003941</v>
      </c>
      <c r="N26" s="367">
        <f t="shared" si="11"/>
        <v>8.878060276817436E-6</v>
      </c>
      <c r="O26" s="368">
        <f t="shared" si="12"/>
        <v>1.0000000024648712</v>
      </c>
      <c r="P26" s="369">
        <f t="shared" si="13"/>
        <v>8.1718676134376331E-5</v>
      </c>
      <c r="Q26" s="370">
        <f t="shared" si="14"/>
        <v>86.471129599116821</v>
      </c>
      <c r="R26" s="371">
        <f t="shared" si="15"/>
        <v>-48.5523753908329</v>
      </c>
      <c r="S26" s="393">
        <f t="shared" si="16"/>
        <v>131.44762460916709</v>
      </c>
      <c r="U26" s="346">
        <f t="shared" si="23"/>
        <v>1000000000</v>
      </c>
      <c r="V26" s="346">
        <f t="shared" si="24"/>
        <v>10.964707690000001</v>
      </c>
      <c r="X26" s="372">
        <f t="shared" si="17"/>
        <v>84.548344351516903</v>
      </c>
      <c r="Y26" s="373">
        <f t="shared" si="18"/>
        <v>-48.307211551113234</v>
      </c>
      <c r="AA26" s="372">
        <f t="shared" si="19"/>
        <v>53.403410602154302</v>
      </c>
      <c r="AB26" s="373">
        <f t="shared" si="20"/>
        <v>-0.24516383971966482</v>
      </c>
      <c r="AD26">
        <f t="shared" si="25"/>
        <v>0</v>
      </c>
      <c r="AE26">
        <f t="shared" si="21"/>
        <v>0</v>
      </c>
    </row>
    <row r="27" spans="1:31" x14ac:dyDescent="0.2">
      <c r="A27" s="374">
        <v>3.6307999999999998</v>
      </c>
      <c r="B27" s="391">
        <f t="shared" si="22"/>
        <v>3.6308E-3</v>
      </c>
      <c r="C27" s="364">
        <f t="shared" si="0"/>
        <v>1.0000107909251796</v>
      </c>
      <c r="D27" s="365">
        <f t="shared" si="1"/>
        <v>4.645606127025104E-3</v>
      </c>
      <c r="E27" s="365">
        <f t="shared" si="2"/>
        <v>1.0000000009433401</v>
      </c>
      <c r="F27" s="366">
        <f t="shared" si="3"/>
        <v>4.3435931385188396E-5</v>
      </c>
      <c r="G27" s="365">
        <f t="shared" si="4"/>
        <v>1</v>
      </c>
      <c r="H27" s="366">
        <f t="shared" si="5"/>
        <v>0</v>
      </c>
      <c r="I27" s="364">
        <f t="shared" si="6"/>
        <v>1.5872674404833675</v>
      </c>
      <c r="J27" s="367">
        <f t="shared" si="7"/>
        <v>0.88922566307545348</v>
      </c>
      <c r="K27" s="375">
        <f t="shared" si="8"/>
        <v>1.0000002777362722</v>
      </c>
      <c r="L27" s="376">
        <f t="shared" si="9"/>
        <v>7.453002187491958E-4</v>
      </c>
      <c r="M27" s="364">
        <f t="shared" si="10"/>
        <v>1.0000000000473821</v>
      </c>
      <c r="N27" s="367">
        <f t="shared" si="11"/>
        <v>9.7346846413485395E-6</v>
      </c>
      <c r="O27" s="368">
        <f t="shared" si="12"/>
        <v>1.0000000029634788</v>
      </c>
      <c r="P27" s="369">
        <f t="shared" si="13"/>
        <v>8.9603530102242351E-5</v>
      </c>
      <c r="Q27" s="370">
        <f t="shared" si="14"/>
        <v>86.006444065550085</v>
      </c>
      <c r="R27" s="371">
        <f t="shared" si="15"/>
        <v>-51.175551619677933</v>
      </c>
      <c r="S27" s="393">
        <f t="shared" si="16"/>
        <v>128.82444838032205</v>
      </c>
      <c r="U27" s="346">
        <f t="shared" si="23"/>
        <v>1000000000</v>
      </c>
      <c r="V27" s="346">
        <f t="shared" si="24"/>
        <v>13.182708639999998</v>
      </c>
      <c r="X27" s="372">
        <f t="shared" si="17"/>
        <v>84.083674590616567</v>
      </c>
      <c r="Y27" s="373">
        <f t="shared" si="18"/>
        <v>-50.906732786455365</v>
      </c>
      <c r="AA27" s="372">
        <f t="shared" si="19"/>
        <v>53.403394829487894</v>
      </c>
      <c r="AB27" s="373">
        <f t="shared" si="20"/>
        <v>-0.26881883322256572</v>
      </c>
      <c r="AD27">
        <f t="shared" si="25"/>
        <v>0</v>
      </c>
      <c r="AE27">
        <f t="shared" si="21"/>
        <v>0</v>
      </c>
    </row>
    <row r="28" spans="1:31" x14ac:dyDescent="0.2">
      <c r="A28" s="374">
        <v>3.9811000000000001</v>
      </c>
      <c r="B28" s="391">
        <f t="shared" si="22"/>
        <v>3.9811000000000004E-3</v>
      </c>
      <c r="C28" s="364">
        <f t="shared" si="0"/>
        <v>1.0000129735767995</v>
      </c>
      <c r="D28" s="365">
        <f t="shared" si="1"/>
        <v>5.0938073264868529E-3</v>
      </c>
      <c r="E28" s="365">
        <f t="shared" si="2"/>
        <v>1.0000000011341481</v>
      </c>
      <c r="F28" s="366">
        <f t="shared" si="3"/>
        <v>4.7626635015857885E-5</v>
      </c>
      <c r="G28" s="365">
        <f t="shared" si="4"/>
        <v>1</v>
      </c>
      <c r="H28" s="366">
        <f t="shared" si="5"/>
        <v>0</v>
      </c>
      <c r="I28" s="364">
        <f t="shared" si="6"/>
        <v>1.6812937066290554</v>
      </c>
      <c r="J28" s="367">
        <f t="shared" si="7"/>
        <v>0.9338042800264309</v>
      </c>
      <c r="K28" s="375">
        <f t="shared" si="8"/>
        <v>1.0000003339136014</v>
      </c>
      <c r="L28" s="376">
        <f t="shared" si="9"/>
        <v>8.1720683864145577E-4</v>
      </c>
      <c r="M28" s="364">
        <f t="shared" si="10"/>
        <v>1.000000000056966</v>
      </c>
      <c r="N28" s="367">
        <f t="shared" si="11"/>
        <v>1.0673888130832065E-5</v>
      </c>
      <c r="O28" s="368">
        <f t="shared" si="12"/>
        <v>1.0000000035628978</v>
      </c>
      <c r="P28" s="369">
        <f t="shared" si="13"/>
        <v>9.8248488920558213E-5</v>
      </c>
      <c r="Q28" s="370">
        <f t="shared" si="14"/>
        <v>85.506555998784677</v>
      </c>
      <c r="R28" s="371">
        <f t="shared" si="15"/>
        <v>-53.751587344124999</v>
      </c>
      <c r="S28" s="393">
        <f t="shared" si="16"/>
        <v>126.248412655875</v>
      </c>
      <c r="U28" s="346">
        <f t="shared" si="23"/>
        <v>1000000000</v>
      </c>
      <c r="V28" s="346">
        <f t="shared" si="24"/>
        <v>15.849157210000001</v>
      </c>
      <c r="X28" s="372">
        <f t="shared" si="17"/>
        <v>83.583805485446135</v>
      </c>
      <c r="Y28" s="373">
        <f t="shared" si="18"/>
        <v>-53.456833263747804</v>
      </c>
      <c r="AA28" s="372">
        <f t="shared" si="19"/>
        <v>53.403375867892926</v>
      </c>
      <c r="AB28" s="373">
        <f t="shared" si="20"/>
        <v>-0.29475408037718687</v>
      </c>
      <c r="AD28">
        <f t="shared" si="25"/>
        <v>0</v>
      </c>
      <c r="AE28">
        <f t="shared" si="21"/>
        <v>0</v>
      </c>
    </row>
    <row r="29" spans="1:31" x14ac:dyDescent="0.2">
      <c r="A29" s="374">
        <v>4.3651999999999997</v>
      </c>
      <c r="B29" s="391">
        <f t="shared" si="22"/>
        <v>4.3651999999999996E-3</v>
      </c>
      <c r="C29" s="364">
        <f t="shared" si="0"/>
        <v>1.0000155977256435</v>
      </c>
      <c r="D29" s="365">
        <f t="shared" si="1"/>
        <v>5.585252528832645E-3</v>
      </c>
      <c r="E29" s="365">
        <f t="shared" si="2"/>
        <v>1.0000000013635526</v>
      </c>
      <c r="F29" s="366">
        <f t="shared" si="3"/>
        <v>5.2221694290378892E-5</v>
      </c>
      <c r="G29" s="365">
        <f t="shared" si="4"/>
        <v>1</v>
      </c>
      <c r="H29" s="366">
        <f t="shared" si="5"/>
        <v>0</v>
      </c>
      <c r="I29" s="364">
        <f t="shared" si="6"/>
        <v>1.7878046610494001</v>
      </c>
      <c r="J29" s="367">
        <f t="shared" si="7"/>
        <v>0.97720063703054039</v>
      </c>
      <c r="K29" s="375">
        <f t="shared" si="8"/>
        <v>1.0000004014543933</v>
      </c>
      <c r="L29" s="376">
        <f t="shared" si="9"/>
        <v>8.9605162678996035E-4</v>
      </c>
      <c r="M29" s="364">
        <f t="shared" si="10"/>
        <v>1.0000000000684883</v>
      </c>
      <c r="N29" s="367">
        <f t="shared" si="11"/>
        <v>1.1703714166524381E-5</v>
      </c>
      <c r="O29" s="368">
        <f t="shared" si="12"/>
        <v>1.0000000042835659</v>
      </c>
      <c r="P29" s="369">
        <f t="shared" si="13"/>
        <v>1.0772758877358145E-4</v>
      </c>
      <c r="Q29" s="370">
        <f t="shared" si="14"/>
        <v>84.973004230965813</v>
      </c>
      <c r="R29" s="371">
        <f t="shared" si="15"/>
        <v>-56.26199455152846</v>
      </c>
      <c r="S29" s="393">
        <f t="shared" si="16"/>
        <v>123.73800544847154</v>
      </c>
      <c r="U29" s="346">
        <f t="shared" si="23"/>
        <v>1000000000</v>
      </c>
      <c r="V29" s="346">
        <f t="shared" si="24"/>
        <v>19.054971039999998</v>
      </c>
      <c r="X29" s="372">
        <f t="shared" si="17"/>
        <v>83.050276514635968</v>
      </c>
      <c r="Y29" s="373">
        <f t="shared" si="18"/>
        <v>-55.938802900250302</v>
      </c>
      <c r="AA29" s="372">
        <f t="shared" si="19"/>
        <v>53.403353070884222</v>
      </c>
      <c r="AB29" s="373">
        <f t="shared" si="20"/>
        <v>-0.32319165127816696</v>
      </c>
      <c r="AD29">
        <f t="shared" si="25"/>
        <v>0</v>
      </c>
      <c r="AE29">
        <f t="shared" si="21"/>
        <v>0</v>
      </c>
    </row>
    <row r="30" spans="1:31" x14ac:dyDescent="0.2">
      <c r="A30" s="374">
        <v>4.7862999999999998</v>
      </c>
      <c r="B30" s="391">
        <f t="shared" si="22"/>
        <v>4.7862999999999994E-3</v>
      </c>
      <c r="C30" s="364">
        <f t="shared" si="0"/>
        <v>1.0000187521959052</v>
      </c>
      <c r="D30" s="365">
        <f t="shared" si="1"/>
        <v>6.1240350868672659E-3</v>
      </c>
      <c r="E30" s="365">
        <f t="shared" si="2"/>
        <v>1.0000000016393189</v>
      </c>
      <c r="F30" s="366">
        <f t="shared" si="3"/>
        <v>5.7259391399268961E-5</v>
      </c>
      <c r="G30" s="365">
        <f t="shared" si="4"/>
        <v>1</v>
      </c>
      <c r="H30" s="366">
        <f t="shared" si="5"/>
        <v>0</v>
      </c>
      <c r="I30" s="364">
        <f t="shared" si="6"/>
        <v>1.9079875320600426</v>
      </c>
      <c r="J30" s="367">
        <f t="shared" si="7"/>
        <v>1.0191237152056059</v>
      </c>
      <c r="K30" s="375">
        <f t="shared" si="8"/>
        <v>1.0000004826449169</v>
      </c>
      <c r="L30" s="376">
        <f t="shared" si="9"/>
        <v>9.8249144808174732E-4</v>
      </c>
      <c r="M30" s="364">
        <f t="shared" si="10"/>
        <v>1.0000000000823397</v>
      </c>
      <c r="N30" s="367">
        <f t="shared" si="11"/>
        <v>1.2832742397763761E-5</v>
      </c>
      <c r="O30" s="368">
        <f t="shared" si="12"/>
        <v>1.0000000051498787</v>
      </c>
      <c r="P30" s="369">
        <f t="shared" si="13"/>
        <v>1.1811980159030613E-4</v>
      </c>
      <c r="Q30" s="370">
        <f t="shared" si="14"/>
        <v>84.407868187462014</v>
      </c>
      <c r="R30" s="371">
        <f t="shared" si="15"/>
        <v>-58.690298807344227</v>
      </c>
      <c r="S30" s="393">
        <f t="shared" si="16"/>
        <v>121.30970119265578</v>
      </c>
      <c r="U30" s="346">
        <f t="shared" si="23"/>
        <v>1000000000</v>
      </c>
      <c r="V30" s="346">
        <f t="shared" si="24"/>
        <v>22.908667689999998</v>
      </c>
      <c r="X30" s="372">
        <f t="shared" si="17"/>
        <v>82.485167875171584</v>
      </c>
      <c r="Y30" s="373">
        <f t="shared" si="18"/>
        <v>-58.335930398228399</v>
      </c>
      <c r="AA30" s="372">
        <f t="shared" si="19"/>
        <v>53.403325666844815</v>
      </c>
      <c r="AB30" s="373">
        <f t="shared" si="20"/>
        <v>-0.35436840911583312</v>
      </c>
      <c r="AD30">
        <f t="shared" si="25"/>
        <v>0</v>
      </c>
      <c r="AE30">
        <f t="shared" si="21"/>
        <v>0</v>
      </c>
    </row>
    <row r="31" spans="1:31" x14ac:dyDescent="0.2">
      <c r="A31" s="374">
        <v>5.2481</v>
      </c>
      <c r="B31" s="391">
        <f t="shared" si="22"/>
        <v>5.2481000000000003E-3</v>
      </c>
      <c r="C31" s="364">
        <f t="shared" si="0"/>
        <v>1.0000225452823575</v>
      </c>
      <c r="D31" s="365">
        <f t="shared" si="1"/>
        <v>6.7148877564431947E-3</v>
      </c>
      <c r="E31" s="365">
        <f t="shared" si="2"/>
        <v>1.0000000019709148</v>
      </c>
      <c r="F31" s="366">
        <f t="shared" si="3"/>
        <v>6.2783990125164134E-5</v>
      </c>
      <c r="G31" s="365">
        <f t="shared" si="4"/>
        <v>1</v>
      </c>
      <c r="H31" s="366">
        <f t="shared" si="5"/>
        <v>0</v>
      </c>
      <c r="I31" s="364">
        <f t="shared" si="6"/>
        <v>2.0431619385621027</v>
      </c>
      <c r="J31" s="367">
        <f t="shared" si="7"/>
        <v>1.0593517711490732</v>
      </c>
      <c r="K31" s="375">
        <f t="shared" si="8"/>
        <v>1.0000005802726299</v>
      </c>
      <c r="L31" s="376">
        <f t="shared" si="9"/>
        <v>1.077285801785321E-3</v>
      </c>
      <c r="M31" s="364">
        <f t="shared" si="10"/>
        <v>1.000000000098995</v>
      </c>
      <c r="N31" s="367">
        <f t="shared" si="11"/>
        <v>1.4070893044095899E-5</v>
      </c>
      <c r="O31" s="368">
        <f t="shared" si="12"/>
        <v>1.0000000061915784</v>
      </c>
      <c r="P31" s="369">
        <f t="shared" si="13"/>
        <v>1.2951643866283263E-4</v>
      </c>
      <c r="Q31" s="370">
        <f t="shared" si="14"/>
        <v>83.813290939077518</v>
      </c>
      <c r="R31" s="371">
        <f t="shared" si="15"/>
        <v>-61.02402606530044</v>
      </c>
      <c r="S31" s="393">
        <f t="shared" si="16"/>
        <v>118.97597393469957</v>
      </c>
      <c r="U31" s="346">
        <f t="shared" si="23"/>
        <v>1000000000</v>
      </c>
      <c r="V31" s="346">
        <f t="shared" si="24"/>
        <v>27.542553609999999</v>
      </c>
      <c r="X31" s="372">
        <f t="shared" si="17"/>
        <v>81.890623578604988</v>
      </c>
      <c r="Y31" s="373">
        <f t="shared" si="18"/>
        <v>-60.635467848850396</v>
      </c>
      <c r="AA31" s="372">
        <f t="shared" si="19"/>
        <v>53.4032927150269</v>
      </c>
      <c r="AB31" s="373">
        <f t="shared" si="20"/>
        <v>-0.38855821645004013</v>
      </c>
      <c r="AD31">
        <f t="shared" si="25"/>
        <v>0</v>
      </c>
      <c r="AE31">
        <f t="shared" si="21"/>
        <v>0</v>
      </c>
    </row>
    <row r="32" spans="1:31" x14ac:dyDescent="0.2">
      <c r="A32" s="374">
        <v>5.7544000000000004</v>
      </c>
      <c r="B32" s="391">
        <f t="shared" si="22"/>
        <v>5.7544000000000007E-3</v>
      </c>
      <c r="C32" s="364">
        <f t="shared" si="0"/>
        <v>1.0000271050729086</v>
      </c>
      <c r="D32" s="365">
        <f t="shared" si="1"/>
        <v>7.3626708041639255E-3</v>
      </c>
      <c r="E32" s="365">
        <f t="shared" si="2"/>
        <v>1.0000000023695381</v>
      </c>
      <c r="F32" s="366">
        <f t="shared" si="3"/>
        <v>6.8840950568821788E-5</v>
      </c>
      <c r="G32" s="365">
        <f t="shared" si="4"/>
        <v>1</v>
      </c>
      <c r="H32" s="366">
        <f t="shared" si="5"/>
        <v>0</v>
      </c>
      <c r="I32" s="364">
        <f t="shared" si="6"/>
        <v>2.1946674490614551</v>
      </c>
      <c r="J32" s="367">
        <f t="shared" si="7"/>
        <v>1.0976941566377669</v>
      </c>
      <c r="K32" s="375">
        <f t="shared" si="8"/>
        <v>1.0000006976345042</v>
      </c>
      <c r="L32" s="376">
        <f t="shared" si="9"/>
        <v>1.1812147125180071E-3</v>
      </c>
      <c r="M32" s="364">
        <f t="shared" si="10"/>
        <v>1.000000000119017</v>
      </c>
      <c r="N32" s="367">
        <f t="shared" si="11"/>
        <v>1.5428354439104564E-5</v>
      </c>
      <c r="O32" s="368">
        <f t="shared" si="12"/>
        <v>1.000000007443844</v>
      </c>
      <c r="P32" s="369">
        <f t="shared" si="13"/>
        <v>1.4201127915427055E-4</v>
      </c>
      <c r="Q32" s="370">
        <f t="shared" si="14"/>
        <v>83.191933692947998</v>
      </c>
      <c r="R32" s="371">
        <f t="shared" si="15"/>
        <v>-63.25249011969732</v>
      </c>
      <c r="S32" s="393">
        <f t="shared" si="16"/>
        <v>116.74750988030269</v>
      </c>
      <c r="U32" s="346">
        <f t="shared" si="23"/>
        <v>1000000000</v>
      </c>
      <c r="V32" s="346">
        <f t="shared" si="24"/>
        <v>33.113119360000006</v>
      </c>
      <c r="X32" s="372">
        <f t="shared" si="17"/>
        <v>81.269305944744417</v>
      </c>
      <c r="Y32" s="373">
        <f t="shared" si="18"/>
        <v>-62.826447805174169</v>
      </c>
      <c r="AA32" s="372">
        <f t="shared" si="19"/>
        <v>53.403253102757958</v>
      </c>
      <c r="AB32" s="373">
        <f t="shared" si="20"/>
        <v>-0.42604231452314073</v>
      </c>
      <c r="AD32">
        <f t="shared" si="25"/>
        <v>0</v>
      </c>
      <c r="AE32">
        <f t="shared" si="21"/>
        <v>0</v>
      </c>
    </row>
    <row r="33" spans="1:31" x14ac:dyDescent="0.2">
      <c r="A33" s="374">
        <v>6.3095999999999997</v>
      </c>
      <c r="B33" s="391">
        <f t="shared" si="22"/>
        <v>6.3095999999999994E-3</v>
      </c>
      <c r="C33" s="364">
        <f t="shared" si="0"/>
        <v>1.0000325876430309</v>
      </c>
      <c r="D33" s="365">
        <f t="shared" si="1"/>
        <v>8.0730115933767069E-3</v>
      </c>
      <c r="E33" s="365">
        <f t="shared" si="2"/>
        <v>1.0000000028488349</v>
      </c>
      <c r="F33" s="366">
        <f t="shared" si="3"/>
        <v>7.5482910741388629E-5</v>
      </c>
      <c r="G33" s="365">
        <f t="shared" si="4"/>
        <v>1</v>
      </c>
      <c r="H33" s="366">
        <f t="shared" si="5"/>
        <v>0</v>
      </c>
      <c r="I33" s="364">
        <f t="shared" si="6"/>
        <v>2.3640131643113107</v>
      </c>
      <c r="J33" s="367">
        <f t="shared" si="7"/>
        <v>1.1340322991005758</v>
      </c>
      <c r="K33" s="375">
        <f t="shared" si="8"/>
        <v>1.0000008387479709</v>
      </c>
      <c r="L33" s="376">
        <f t="shared" si="9"/>
        <v>1.2951813653828352E-3</v>
      </c>
      <c r="M33" s="364">
        <f t="shared" si="10"/>
        <v>1.0000000001430913</v>
      </c>
      <c r="N33" s="367">
        <f t="shared" si="11"/>
        <v>1.6916923600620706E-5</v>
      </c>
      <c r="O33" s="368">
        <f t="shared" si="12"/>
        <v>1.0000000089495424</v>
      </c>
      <c r="P33" s="369">
        <f t="shared" si="13"/>
        <v>1.5571290946264212E-4</v>
      </c>
      <c r="Q33" s="370">
        <f t="shared" si="14"/>
        <v>82.546263923323295</v>
      </c>
      <c r="R33" s="371">
        <f t="shared" si="15"/>
        <v>-65.369171819637558</v>
      </c>
      <c r="S33" s="393">
        <f t="shared" si="16"/>
        <v>114.63082818036244</v>
      </c>
      <c r="U33" s="346">
        <f t="shared" si="23"/>
        <v>1000000000</v>
      </c>
      <c r="V33" s="346">
        <f t="shared" si="24"/>
        <v>39.811052159999996</v>
      </c>
      <c r="X33" s="372">
        <f t="shared" si="17"/>
        <v>80.623683803612693</v>
      </c>
      <c r="Y33" s="373">
        <f t="shared" si="18"/>
        <v>-64.902025486526028</v>
      </c>
      <c r="AA33" s="372">
        <f t="shared" si="19"/>
        <v>53.403205474265008</v>
      </c>
      <c r="AB33" s="373">
        <f t="shared" si="20"/>
        <v>-0.46714633311152953</v>
      </c>
      <c r="AD33">
        <f t="shared" si="25"/>
        <v>0</v>
      </c>
      <c r="AE33">
        <f t="shared" si="21"/>
        <v>0</v>
      </c>
    </row>
    <row r="34" spans="1:31" x14ac:dyDescent="0.2">
      <c r="A34" s="374">
        <v>6.9183000000000003</v>
      </c>
      <c r="B34" s="391">
        <f t="shared" si="22"/>
        <v>6.9183000000000005E-3</v>
      </c>
      <c r="C34" s="364">
        <f t="shared" si="0"/>
        <v>1.0000391783953675</v>
      </c>
      <c r="D34" s="365">
        <f t="shared" si="1"/>
        <v>8.8517926193600813E-3</v>
      </c>
      <c r="E34" s="365">
        <f t="shared" si="2"/>
        <v>1.0000000034250145</v>
      </c>
      <c r="F34" s="366">
        <f t="shared" si="3"/>
        <v>8.2764901290344328E-5</v>
      </c>
      <c r="G34" s="365">
        <f t="shared" si="4"/>
        <v>1</v>
      </c>
      <c r="H34" s="366">
        <f t="shared" si="5"/>
        <v>0</v>
      </c>
      <c r="I34" s="364">
        <f t="shared" si="6"/>
        <v>2.552762907024992</v>
      </c>
      <c r="J34" s="367">
        <f t="shared" si="7"/>
        <v>1.1682825802332399</v>
      </c>
      <c r="K34" s="375">
        <f t="shared" si="8"/>
        <v>1.0000010083854511</v>
      </c>
      <c r="L34" s="376">
        <f t="shared" si="9"/>
        <v>1.4201299966362906E-3</v>
      </c>
      <c r="M34" s="364">
        <f t="shared" si="10"/>
        <v>1.0000000001720315</v>
      </c>
      <c r="N34" s="367">
        <f t="shared" si="11"/>
        <v>1.8548933774552458E-5</v>
      </c>
      <c r="O34" s="368">
        <f t="shared" si="12"/>
        <v>1.0000000107595959</v>
      </c>
      <c r="P34" s="369">
        <f t="shared" si="13"/>
        <v>1.7073485172846919E-4</v>
      </c>
      <c r="Q34" s="370">
        <f t="shared" si="14"/>
        <v>81.878996340000555</v>
      </c>
      <c r="R34" s="371">
        <f t="shared" si="15"/>
        <v>-67.36956718855059</v>
      </c>
      <c r="S34" s="393">
        <f t="shared" si="16"/>
        <v>112.63043281144941</v>
      </c>
      <c r="U34" s="346">
        <f t="shared" si="23"/>
        <v>1000000000</v>
      </c>
      <c r="V34" s="346">
        <f t="shared" si="24"/>
        <v>47.862874890000008</v>
      </c>
      <c r="X34" s="372">
        <f t="shared" si="17"/>
        <v>79.95647347550053</v>
      </c>
      <c r="Y34" s="373">
        <f t="shared" si="18"/>
        <v>-66.857356522866851</v>
      </c>
      <c r="AA34" s="372">
        <f t="shared" si="19"/>
        <v>53.403148219054387</v>
      </c>
      <c r="AB34" s="373">
        <f t="shared" si="20"/>
        <v>-0.51221066568375029</v>
      </c>
      <c r="AD34">
        <f t="shared" si="25"/>
        <v>0</v>
      </c>
      <c r="AE34">
        <f t="shared" si="21"/>
        <v>0</v>
      </c>
    </row>
    <row r="35" spans="1:31" x14ac:dyDescent="0.2">
      <c r="A35" s="374">
        <v>7.5857999999999999</v>
      </c>
      <c r="B35" s="391">
        <f t="shared" si="22"/>
        <v>7.5858000000000002E-3</v>
      </c>
      <c r="C35" s="364">
        <f t="shared" si="0"/>
        <v>1.0000471030380824</v>
      </c>
      <c r="D35" s="365">
        <f t="shared" si="1"/>
        <v>9.7057909768594412E-3</v>
      </c>
      <c r="E35" s="365">
        <f t="shared" si="2"/>
        <v>1.000000004117811</v>
      </c>
      <c r="F35" s="366">
        <f t="shared" si="3"/>
        <v>9.075032709167251E-5</v>
      </c>
      <c r="G35" s="365">
        <f t="shared" si="4"/>
        <v>1</v>
      </c>
      <c r="H35" s="366">
        <f t="shared" si="5"/>
        <v>0</v>
      </c>
      <c r="I35" s="364">
        <f t="shared" si="6"/>
        <v>2.7626927350220729</v>
      </c>
      <c r="J35" s="367">
        <f t="shared" si="7"/>
        <v>1.2004206110649236</v>
      </c>
      <c r="K35" s="375">
        <f t="shared" si="8"/>
        <v>1.0000012123569946</v>
      </c>
      <c r="L35" s="376">
        <f t="shared" si="9"/>
        <v>1.5571485283357802E-3</v>
      </c>
      <c r="M35" s="364">
        <f t="shared" si="10"/>
        <v>1.0000000002068292</v>
      </c>
      <c r="N35" s="367">
        <f t="shared" si="11"/>
        <v>2.033859500509313E-5</v>
      </c>
      <c r="O35" s="368">
        <f t="shared" si="12"/>
        <v>1.0000000129359985</v>
      </c>
      <c r="P35" s="369">
        <f t="shared" si="13"/>
        <v>1.8720790319816001E-4</v>
      </c>
      <c r="Q35" s="370">
        <f t="shared" si="14"/>
        <v>81.192487170233846</v>
      </c>
      <c r="R35" s="371">
        <f t="shared" si="15"/>
        <v>-69.252609482397588</v>
      </c>
      <c r="S35" s="393">
        <f t="shared" si="16"/>
        <v>110.74739051760241</v>
      </c>
      <c r="U35" s="346">
        <f t="shared" si="23"/>
        <v>1000000000</v>
      </c>
      <c r="V35" s="346">
        <f t="shared" si="24"/>
        <v>57.544361639999998</v>
      </c>
      <c r="X35" s="372">
        <f t="shared" si="17"/>
        <v>79.27003314822295</v>
      </c>
      <c r="Y35" s="373">
        <f t="shared" si="18"/>
        <v>-68.690982009932654</v>
      </c>
      <c r="AA35" s="372">
        <f t="shared" si="19"/>
        <v>53.403079376565266</v>
      </c>
      <c r="AB35" s="373">
        <f t="shared" si="20"/>
        <v>-0.56162747246491906</v>
      </c>
      <c r="AD35">
        <f t="shared" si="25"/>
        <v>0</v>
      </c>
      <c r="AE35">
        <f t="shared" si="21"/>
        <v>0</v>
      </c>
    </row>
    <row r="36" spans="1:31" x14ac:dyDescent="0.2">
      <c r="A36" s="374">
        <v>8.3176000000000005</v>
      </c>
      <c r="B36" s="391">
        <f t="shared" si="22"/>
        <v>8.3176000000000014E-3</v>
      </c>
      <c r="C36" s="364">
        <f t="shared" si="0"/>
        <v>1.0000566291621611</v>
      </c>
      <c r="D36" s="365">
        <f t="shared" si="1"/>
        <v>1.0642038329684888E-2</v>
      </c>
      <c r="E36" s="365">
        <f t="shared" si="2"/>
        <v>1.000000004950621</v>
      </c>
      <c r="F36" s="366">
        <f t="shared" si="3"/>
        <v>9.9504985657229489E-5</v>
      </c>
      <c r="G36" s="365">
        <f t="shared" si="4"/>
        <v>1</v>
      </c>
      <c r="H36" s="366">
        <f t="shared" si="5"/>
        <v>0</v>
      </c>
      <c r="I36" s="364">
        <f t="shared" si="6"/>
        <v>2.9956403136220913</v>
      </c>
      <c r="J36" s="367">
        <f t="shared" si="7"/>
        <v>1.2304448287935756</v>
      </c>
      <c r="K36" s="375">
        <f t="shared" si="8"/>
        <v>1.0000014575509821</v>
      </c>
      <c r="L36" s="376">
        <f t="shared" si="9"/>
        <v>1.7073659313668048E-3</v>
      </c>
      <c r="M36" s="364">
        <f t="shared" si="10"/>
        <v>1.0000000002486595</v>
      </c>
      <c r="N36" s="367">
        <f t="shared" si="11"/>
        <v>2.2300653564508035E-5</v>
      </c>
      <c r="O36" s="368">
        <f t="shared" si="12"/>
        <v>1.0000000155522504</v>
      </c>
      <c r="P36" s="369">
        <f t="shared" si="13"/>
        <v>2.0526779685816823E-4</v>
      </c>
      <c r="Q36" s="370">
        <f t="shared" si="14"/>
        <v>80.489264929471517</v>
      </c>
      <c r="R36" s="371">
        <f t="shared" si="15"/>
        <v>-71.018552210516091</v>
      </c>
      <c r="S36" s="393">
        <f t="shared" si="16"/>
        <v>108.98144778948391</v>
      </c>
      <c r="U36" s="346">
        <f t="shared" si="23"/>
        <v>1000000000</v>
      </c>
      <c r="V36" s="346">
        <f t="shared" si="24"/>
        <v>69.182469760000004</v>
      </c>
      <c r="X36" s="372">
        <f t="shared" si="17"/>
        <v>78.566893661522514</v>
      </c>
      <c r="Y36" s="373">
        <f t="shared" si="18"/>
        <v>-70.402748565393779</v>
      </c>
      <c r="AA36" s="372">
        <f t="shared" si="19"/>
        <v>53.402996622503387</v>
      </c>
      <c r="AB36" s="373">
        <f t="shared" si="20"/>
        <v>-0.61580364512230723</v>
      </c>
      <c r="AD36">
        <f t="shared" si="25"/>
        <v>0</v>
      </c>
      <c r="AE36">
        <f t="shared" si="21"/>
        <v>0</v>
      </c>
    </row>
    <row r="37" spans="1:31" x14ac:dyDescent="0.2">
      <c r="A37" s="374">
        <v>9.1201000000000008</v>
      </c>
      <c r="B37" s="391">
        <f t="shared" si="22"/>
        <v>9.1201000000000008E-3</v>
      </c>
      <c r="C37" s="364">
        <f t="shared" si="0"/>
        <v>1.0000680833297648</v>
      </c>
      <c r="D37" s="365">
        <f t="shared" si="1"/>
        <v>1.1668716056717288E-2</v>
      </c>
      <c r="E37" s="365">
        <f t="shared" si="2"/>
        <v>1.0000000059519987</v>
      </c>
      <c r="F37" s="366">
        <f t="shared" si="3"/>
        <v>1.0910544136369484E-4</v>
      </c>
      <c r="G37" s="365">
        <f t="shared" si="4"/>
        <v>1</v>
      </c>
      <c r="H37" s="366">
        <f t="shared" si="5"/>
        <v>0</v>
      </c>
      <c r="I37" s="364">
        <f t="shared" si="6"/>
        <v>3.2537299575890049</v>
      </c>
      <c r="J37" s="367">
        <f t="shared" si="7"/>
        <v>1.2584002946602757</v>
      </c>
      <c r="K37" s="375">
        <f t="shared" si="8"/>
        <v>1.0000017523741138</v>
      </c>
      <c r="L37" s="376">
        <f t="shared" si="9"/>
        <v>1.8720959135006784E-3</v>
      </c>
      <c r="M37" s="364">
        <f t="shared" si="10"/>
        <v>1.0000000002989569</v>
      </c>
      <c r="N37" s="367">
        <f t="shared" si="11"/>
        <v>2.4452268751424685E-5</v>
      </c>
      <c r="O37" s="368">
        <f t="shared" si="12"/>
        <v>1.0000000186980527</v>
      </c>
      <c r="P37" s="369">
        <f t="shared" si="13"/>
        <v>2.2507247654326111E-4</v>
      </c>
      <c r="Q37" s="370">
        <f t="shared" si="14"/>
        <v>79.77133119766718</v>
      </c>
      <c r="R37" s="371">
        <f t="shared" si="15"/>
        <v>-72.670376326267558</v>
      </c>
      <c r="S37" s="393">
        <f t="shared" si="16"/>
        <v>107.32962367373244</v>
      </c>
      <c r="U37" s="346">
        <f t="shared" si="23"/>
        <v>1000000000</v>
      </c>
      <c r="V37" s="346">
        <f t="shared" si="24"/>
        <v>83.176224010000013</v>
      </c>
      <c r="X37" s="372">
        <f t="shared" si="17"/>
        <v>77.849059431776681</v>
      </c>
      <c r="Y37" s="373">
        <f t="shared" si="18"/>
        <v>-71.99516372143114</v>
      </c>
      <c r="AA37" s="372">
        <f t="shared" si="19"/>
        <v>53.402897120444869</v>
      </c>
      <c r="AB37" s="373">
        <f t="shared" si="20"/>
        <v>-0.67521260483641421</v>
      </c>
      <c r="AD37">
        <f t="shared" si="25"/>
        <v>0</v>
      </c>
      <c r="AE37">
        <f t="shared" si="21"/>
        <v>0</v>
      </c>
    </row>
    <row r="38" spans="1:31" x14ac:dyDescent="0.2">
      <c r="A38" s="374">
        <v>10</v>
      </c>
      <c r="B38" s="391">
        <f t="shared" si="22"/>
        <v>0.01</v>
      </c>
      <c r="C38" s="364">
        <f t="shared" si="0"/>
        <v>1.0000818537530722</v>
      </c>
      <c r="D38" s="365">
        <f t="shared" si="1"/>
        <v>1.2794387058246573E-2</v>
      </c>
      <c r="E38" s="365">
        <f t="shared" si="2"/>
        <v>1.0000000071558894</v>
      </c>
      <c r="F38" s="366">
        <f t="shared" si="3"/>
        <v>1.1963184754128515E-4</v>
      </c>
      <c r="G38" s="365">
        <f t="shared" si="4"/>
        <v>1</v>
      </c>
      <c r="H38" s="366">
        <f t="shared" si="5"/>
        <v>0</v>
      </c>
      <c r="I38" s="364">
        <f t="shared" si="6"/>
        <v>3.5391863708612039</v>
      </c>
      <c r="J38" s="367">
        <f t="shared" si="7"/>
        <v>1.2843440831810173</v>
      </c>
      <c r="K38" s="375">
        <f t="shared" si="8"/>
        <v>1.0000021068205776</v>
      </c>
      <c r="L38" s="376">
        <f t="shared" si="9"/>
        <v>2.0527137543771509E-3</v>
      </c>
      <c r="M38" s="364">
        <f t="shared" si="10"/>
        <v>1.0000000003594256</v>
      </c>
      <c r="N38" s="367">
        <f t="shared" si="11"/>
        <v>2.6811404206575533E-5</v>
      </c>
      <c r="O38" s="368">
        <f t="shared" si="12"/>
        <v>1.0000000224800449</v>
      </c>
      <c r="P38" s="369">
        <f t="shared" si="13"/>
        <v>2.4678728969682403E-4</v>
      </c>
      <c r="Q38" s="370">
        <f t="shared" si="14"/>
        <v>79.040776115822396</v>
      </c>
      <c r="R38" s="371">
        <f t="shared" si="15"/>
        <v>-74.211769689372275</v>
      </c>
      <c r="S38" s="393">
        <f t="shared" si="16"/>
        <v>105.78823031062772</v>
      </c>
      <c r="U38" s="346">
        <f t="shared" si="23"/>
        <v>1000000000</v>
      </c>
      <c r="V38" s="346">
        <f t="shared" si="24"/>
        <v>100</v>
      </c>
      <c r="X38" s="372">
        <f t="shared" si="17"/>
        <v>77.118623971735929</v>
      </c>
      <c r="Y38" s="373">
        <f t="shared" si="18"/>
        <v>-73.471419838454352</v>
      </c>
      <c r="AA38" s="372">
        <f t="shared" si="19"/>
        <v>53.40277749864083</v>
      </c>
      <c r="AB38" s="373">
        <f t="shared" si="20"/>
        <v>-0.74034985091793482</v>
      </c>
      <c r="AD38">
        <f t="shared" si="25"/>
        <v>0</v>
      </c>
      <c r="AE38">
        <f t="shared" si="21"/>
        <v>0</v>
      </c>
    </row>
    <row r="39" spans="1:31" x14ac:dyDescent="0.2">
      <c r="A39" s="374">
        <v>10.965</v>
      </c>
      <c r="B39" s="391">
        <f t="shared" si="22"/>
        <v>1.0964999999999999E-2</v>
      </c>
      <c r="C39" s="364">
        <f t="shared" si="0"/>
        <v>1.0000984129552406</v>
      </c>
      <c r="D39" s="365">
        <f t="shared" si="1"/>
        <v>1.4028890547258704E-2</v>
      </c>
      <c r="E39" s="365">
        <f t="shared" si="2"/>
        <v>1.0000000086036136</v>
      </c>
      <c r="F39" s="366">
        <f t="shared" si="3"/>
        <v>1.3117632070241443E-4</v>
      </c>
      <c r="G39" s="365">
        <f t="shared" si="4"/>
        <v>1</v>
      </c>
      <c r="H39" s="366">
        <f t="shared" si="5"/>
        <v>0</v>
      </c>
      <c r="I39" s="364">
        <f t="shared" si="6"/>
        <v>3.8545633767205567</v>
      </c>
      <c r="J39" s="367">
        <f t="shared" si="7"/>
        <v>1.3083615245865388</v>
      </c>
      <c r="K39" s="375">
        <f t="shared" si="8"/>
        <v>1.0000025330556492</v>
      </c>
      <c r="L39" s="376">
        <f t="shared" si="9"/>
        <v>2.2507999920956126E-3</v>
      </c>
      <c r="M39" s="364">
        <f t="shared" si="10"/>
        <v>1.0000000004321419</v>
      </c>
      <c r="N39" s="367">
        <f t="shared" si="11"/>
        <v>2.9398704711084896E-5</v>
      </c>
      <c r="O39" s="368">
        <f t="shared" si="12"/>
        <v>1.0000000270280334</v>
      </c>
      <c r="P39" s="369">
        <f t="shared" si="13"/>
        <v>2.7060226247758128E-4</v>
      </c>
      <c r="Q39" s="370">
        <f t="shared" si="14"/>
        <v>78.299200814487136</v>
      </c>
      <c r="R39" s="371">
        <f t="shared" si="15"/>
        <v>-75.64810134180631</v>
      </c>
      <c r="S39" s="393">
        <f t="shared" si="16"/>
        <v>104.35189865819369</v>
      </c>
      <c r="U39" s="346">
        <f t="shared" si="23"/>
        <v>1000000000</v>
      </c>
      <c r="V39" s="346">
        <f t="shared" si="24"/>
        <v>120.23122499999999</v>
      </c>
      <c r="X39" s="372">
        <f t="shared" si="17"/>
        <v>76.377192515768925</v>
      </c>
      <c r="Y39" s="373">
        <f t="shared" si="18"/>
        <v>-74.836316603251461</v>
      </c>
      <c r="AA39" s="372">
        <f t="shared" si="19"/>
        <v>53.402633653272588</v>
      </c>
      <c r="AB39" s="373">
        <f t="shared" si="20"/>
        <v>-0.81178473855485256</v>
      </c>
      <c r="AD39">
        <f t="shared" si="25"/>
        <v>0</v>
      </c>
      <c r="AE39">
        <f t="shared" si="21"/>
        <v>0</v>
      </c>
    </row>
    <row r="40" spans="1:31" x14ac:dyDescent="0.2">
      <c r="A40" s="374">
        <v>12.023</v>
      </c>
      <c r="B40" s="391">
        <f t="shared" si="22"/>
        <v>1.2022999999999999E-2</v>
      </c>
      <c r="C40" s="364">
        <f t="shared" si="0"/>
        <v>1.0001183195129302</v>
      </c>
      <c r="D40" s="365">
        <f t="shared" si="1"/>
        <v>1.5382317631095817E-2</v>
      </c>
      <c r="E40" s="365">
        <f t="shared" si="2"/>
        <v>1.0000000103440192</v>
      </c>
      <c r="F40" s="366">
        <f t="shared" si="3"/>
        <v>1.4383336999318084E-4</v>
      </c>
      <c r="G40" s="365">
        <f t="shared" si="4"/>
        <v>1</v>
      </c>
      <c r="H40" s="366">
        <f t="shared" si="5"/>
        <v>0</v>
      </c>
      <c r="I40" s="364">
        <f t="shared" si="6"/>
        <v>4.2024865795018673</v>
      </c>
      <c r="J40" s="367">
        <f t="shared" si="7"/>
        <v>1.3305371579883813</v>
      </c>
      <c r="K40" s="375">
        <f t="shared" si="8"/>
        <v>1.0000030454609972</v>
      </c>
      <c r="L40" s="376">
        <f t="shared" si="9"/>
        <v>2.4679762025286043E-3</v>
      </c>
      <c r="M40" s="364">
        <f t="shared" si="10"/>
        <v>1.0000000005195588</v>
      </c>
      <c r="N40" s="367">
        <f t="shared" si="11"/>
        <v>3.2235351274124459E-5</v>
      </c>
      <c r="O40" s="368">
        <f t="shared" si="12"/>
        <v>1.0000000324954732</v>
      </c>
      <c r="P40" s="369">
        <f t="shared" si="13"/>
        <v>2.9671235677263506E-4</v>
      </c>
      <c r="Q40" s="370">
        <f t="shared" si="14"/>
        <v>77.548409455120407</v>
      </c>
      <c r="R40" s="371">
        <f t="shared" si="15"/>
        <v>-76.984707255378993</v>
      </c>
      <c r="S40" s="393">
        <f t="shared" si="16"/>
        <v>103.01529274462101</v>
      </c>
      <c r="U40" s="346">
        <f t="shared" si="23"/>
        <v>1000000000</v>
      </c>
      <c r="V40" s="346">
        <f t="shared" si="24"/>
        <v>144.55252899999999</v>
      </c>
      <c r="X40" s="372">
        <f t="shared" si="17"/>
        <v>75.6265740762028</v>
      </c>
      <c r="Y40" s="373">
        <f t="shared" si="18"/>
        <v>-76.094606054251756</v>
      </c>
      <c r="AA40" s="372">
        <f t="shared" si="19"/>
        <v>53.402460733471962</v>
      </c>
      <c r="AB40" s="373">
        <f t="shared" si="20"/>
        <v>-0.89010120112725244</v>
      </c>
      <c r="AD40">
        <f t="shared" si="25"/>
        <v>0</v>
      </c>
      <c r="AE40">
        <f t="shared" si="21"/>
        <v>0</v>
      </c>
    </row>
    <row r="41" spans="1:31" x14ac:dyDescent="0.2">
      <c r="A41" s="374">
        <v>13.183</v>
      </c>
      <c r="B41" s="391">
        <f t="shared" si="22"/>
        <v>1.3183E-2</v>
      </c>
      <c r="C41" s="364">
        <f t="shared" si="0"/>
        <v>1.0001422505607025</v>
      </c>
      <c r="D41" s="365">
        <f t="shared" si="1"/>
        <v>1.6866161392811396E-2</v>
      </c>
      <c r="E41" s="365">
        <f t="shared" si="2"/>
        <v>1.0000000124363269</v>
      </c>
      <c r="F41" s="366">
        <f t="shared" si="3"/>
        <v>1.577106640584887E-4</v>
      </c>
      <c r="G41" s="365">
        <f t="shared" si="4"/>
        <v>1</v>
      </c>
      <c r="H41" s="366">
        <f t="shared" si="5"/>
        <v>0</v>
      </c>
      <c r="I41" s="364">
        <f t="shared" si="6"/>
        <v>4.5859491108371477</v>
      </c>
      <c r="J41" s="367">
        <f t="shared" si="7"/>
        <v>1.3509728311318967</v>
      </c>
      <c r="K41" s="375">
        <f t="shared" si="8"/>
        <v>1.0000036614720063</v>
      </c>
      <c r="L41" s="376">
        <f t="shared" si="9"/>
        <v>2.706089737715692E-3</v>
      </c>
      <c r="M41" s="364">
        <f t="shared" si="10"/>
        <v>1.0000000006246512</v>
      </c>
      <c r="N41" s="367">
        <f t="shared" si="11"/>
        <v>3.5345474159278845E-5</v>
      </c>
      <c r="O41" s="368">
        <f t="shared" si="12"/>
        <v>1.0000000390684047</v>
      </c>
      <c r="P41" s="369">
        <f t="shared" si="13"/>
        <v>3.2533968104737118E-4</v>
      </c>
      <c r="Q41" s="370">
        <f t="shared" si="14"/>
        <v>76.789749011487373</v>
      </c>
      <c r="R41" s="371">
        <f t="shared" si="15"/>
        <v>-78.22798347521767</v>
      </c>
      <c r="S41" s="393">
        <f t="shared" si="16"/>
        <v>101.77201652478233</v>
      </c>
      <c r="U41" s="346">
        <f t="shared" si="23"/>
        <v>1000000000</v>
      </c>
      <c r="V41" s="346">
        <f t="shared" si="24"/>
        <v>173.79148899999998</v>
      </c>
      <c r="X41" s="372">
        <f t="shared" si="17"/>
        <v>74.868121506850031</v>
      </c>
      <c r="Y41" s="373">
        <f t="shared" si="18"/>
        <v>-77.25201917451048</v>
      </c>
      <c r="AA41" s="372">
        <f t="shared" si="19"/>
        <v>53.402252859191719</v>
      </c>
      <c r="AB41" s="373">
        <f t="shared" si="20"/>
        <v>-0.97596430070717477</v>
      </c>
      <c r="AD41">
        <f t="shared" si="25"/>
        <v>0</v>
      </c>
      <c r="AE41">
        <f t="shared" si="21"/>
        <v>0</v>
      </c>
    </row>
    <row r="42" spans="1:31" x14ac:dyDescent="0.2">
      <c r="A42" s="374">
        <v>14.454000000000001</v>
      </c>
      <c r="B42" s="391">
        <f t="shared" si="22"/>
        <v>1.4454E-2</v>
      </c>
      <c r="C42" s="364">
        <f t="shared" si="0"/>
        <v>1.0001709996971411</v>
      </c>
      <c r="D42" s="365">
        <f t="shared" si="1"/>
        <v>1.8491908137478714E-2</v>
      </c>
      <c r="E42" s="365">
        <f t="shared" si="2"/>
        <v>1.0000000149499495</v>
      </c>
      <c r="F42" s="366">
        <f t="shared" si="3"/>
        <v>1.7291587153769579E-4</v>
      </c>
      <c r="G42" s="365">
        <f t="shared" si="4"/>
        <v>1</v>
      </c>
      <c r="H42" s="366">
        <f t="shared" si="5"/>
        <v>0</v>
      </c>
      <c r="I42" s="364">
        <f t="shared" si="6"/>
        <v>5.007950492118364</v>
      </c>
      <c r="J42" s="367">
        <f t="shared" si="7"/>
        <v>1.3697624574835523</v>
      </c>
      <c r="K42" s="375">
        <f t="shared" si="8"/>
        <v>1.0000044015248082</v>
      </c>
      <c r="L42" s="376">
        <f t="shared" si="9"/>
        <v>2.9669879216776031E-3</v>
      </c>
      <c r="M42" s="364">
        <f t="shared" si="10"/>
        <v>1.0000000007509053</v>
      </c>
      <c r="N42" s="367">
        <f t="shared" si="11"/>
        <v>3.875320363007021E-5</v>
      </c>
      <c r="O42" s="368">
        <f t="shared" si="12"/>
        <v>1.0000000469648858</v>
      </c>
      <c r="P42" s="369">
        <f t="shared" si="13"/>
        <v>3.5670634373760428E-4</v>
      </c>
      <c r="Q42" s="370">
        <f t="shared" si="14"/>
        <v>76.024889805101822</v>
      </c>
      <c r="R42" s="371">
        <f t="shared" si="15"/>
        <v>-79.38387105900982</v>
      </c>
      <c r="S42" s="393">
        <f t="shared" si="16"/>
        <v>100.61612894099018</v>
      </c>
      <c r="U42" s="346">
        <f t="shared" si="23"/>
        <v>1000000000</v>
      </c>
      <c r="V42" s="346">
        <f t="shared" si="24"/>
        <v>208.91811600000003</v>
      </c>
      <c r="X42" s="372">
        <f t="shared" si="17"/>
        <v>74.103512019940666</v>
      </c>
      <c r="Y42" s="373">
        <f t="shared" si="18"/>
        <v>-78.313832347994207</v>
      </c>
      <c r="AA42" s="372">
        <f t="shared" si="19"/>
        <v>53.402003139715518</v>
      </c>
      <c r="AB42" s="373">
        <f t="shared" si="20"/>
        <v>-1.0700387110156218</v>
      </c>
      <c r="AD42">
        <f t="shared" si="25"/>
        <v>0</v>
      </c>
      <c r="AE42">
        <f t="shared" si="21"/>
        <v>0</v>
      </c>
    </row>
    <row r="43" spans="1:31" x14ac:dyDescent="0.2">
      <c r="A43" s="374">
        <v>15.849</v>
      </c>
      <c r="B43" s="391">
        <f t="shared" si="22"/>
        <v>1.5848999999999999E-2</v>
      </c>
      <c r="C43" s="364">
        <f t="shared" si="0"/>
        <v>1.0002055963779937</v>
      </c>
      <c r="D43" s="365">
        <f t="shared" si="1"/>
        <v>2.0276151473105714E-2</v>
      </c>
      <c r="E43" s="365">
        <f t="shared" si="2"/>
        <v>1.000000017974936</v>
      </c>
      <c r="F43" s="366">
        <f t="shared" si="3"/>
        <v>1.8960451380062283E-4</v>
      </c>
      <c r="G43" s="365">
        <f t="shared" si="4"/>
        <v>1</v>
      </c>
      <c r="H43" s="366">
        <f t="shared" si="5"/>
        <v>0</v>
      </c>
      <c r="I43" s="364">
        <f t="shared" si="6"/>
        <v>5.4728283582805242</v>
      </c>
      <c r="J43" s="367">
        <f t="shared" si="7"/>
        <v>1.3870431150580378</v>
      </c>
      <c r="K43" s="375">
        <f t="shared" si="8"/>
        <v>1.000005292131056</v>
      </c>
      <c r="L43" s="376">
        <f t="shared" si="9"/>
        <v>3.2533391207269597E-3</v>
      </c>
      <c r="M43" s="364">
        <f t="shared" si="10"/>
        <v>1.0000000009028442</v>
      </c>
      <c r="N43" s="367">
        <f t="shared" si="11"/>
        <v>4.2493394511607093E-5</v>
      </c>
      <c r="O43" s="368">
        <f t="shared" si="12"/>
        <v>1.0000000564678042</v>
      </c>
      <c r="P43" s="369">
        <f t="shared" si="13"/>
        <v>3.9113316814942488E-4</v>
      </c>
      <c r="Q43" s="370">
        <f t="shared" si="14"/>
        <v>75.253561018132018</v>
      </c>
      <c r="R43" s="371">
        <f t="shared" si="15"/>
        <v>-80.461033324186644</v>
      </c>
      <c r="S43" s="393">
        <f t="shared" si="16"/>
        <v>99.538966675813356</v>
      </c>
      <c r="U43" s="346">
        <f t="shared" si="23"/>
        <v>1000000000</v>
      </c>
      <c r="V43" s="346">
        <f t="shared" si="24"/>
        <v>251.19080099999999</v>
      </c>
      <c r="X43" s="372">
        <f t="shared" si="17"/>
        <v>73.332483735615767</v>
      </c>
      <c r="Y43" s="373">
        <f t="shared" si="18"/>
        <v>-79.287748677323904</v>
      </c>
      <c r="AA43" s="372">
        <f t="shared" si="19"/>
        <v>53.40170263707062</v>
      </c>
      <c r="AB43" s="373">
        <f t="shared" si="20"/>
        <v>-1.1732846468627345</v>
      </c>
      <c r="AD43">
        <f t="shared" si="25"/>
        <v>0</v>
      </c>
      <c r="AE43">
        <f t="shared" si="21"/>
        <v>0</v>
      </c>
    </row>
    <row r="44" spans="1:31" x14ac:dyDescent="0.2">
      <c r="A44" s="374">
        <v>17.378</v>
      </c>
      <c r="B44" s="391">
        <f t="shared" si="22"/>
        <v>1.7378000000000001E-2</v>
      </c>
      <c r="C44" s="364">
        <f t="shared" si="0"/>
        <v>1.0002471737161014</v>
      </c>
      <c r="D44" s="365">
        <f t="shared" si="1"/>
        <v>2.2231635768250366E-2</v>
      </c>
      <c r="E44" s="365">
        <f t="shared" si="2"/>
        <v>1.0000000216104201</v>
      </c>
      <c r="F44" s="366">
        <f t="shared" si="3"/>
        <v>2.0789622265388383E-4</v>
      </c>
      <c r="G44" s="365">
        <f t="shared" si="4"/>
        <v>1</v>
      </c>
      <c r="H44" s="366">
        <f t="shared" si="5"/>
        <v>0</v>
      </c>
      <c r="I44" s="364">
        <f t="shared" si="6"/>
        <v>5.9839324565405914</v>
      </c>
      <c r="J44" s="367">
        <f t="shared" si="7"/>
        <v>1.402894362969467</v>
      </c>
      <c r="K44" s="375">
        <f t="shared" si="8"/>
        <v>1.0000063624768212</v>
      </c>
      <c r="L44" s="376">
        <f t="shared" si="9"/>
        <v>3.5671958418675136E-3</v>
      </c>
      <c r="M44" s="364">
        <f t="shared" si="10"/>
        <v>1.0000000010854471</v>
      </c>
      <c r="N44" s="367">
        <f t="shared" si="11"/>
        <v>4.6592858207635345E-5</v>
      </c>
      <c r="O44" s="368">
        <f t="shared" si="12"/>
        <v>1.0000000678885843</v>
      </c>
      <c r="P44" s="369">
        <f t="shared" si="13"/>
        <v>4.2886694135432844E-4</v>
      </c>
      <c r="Q44" s="370">
        <f t="shared" si="14"/>
        <v>74.47771209106665</v>
      </c>
      <c r="R44" s="371">
        <f t="shared" si="15"/>
        <v>-81.464650092397051</v>
      </c>
      <c r="S44" s="393">
        <f t="shared" si="16"/>
        <v>98.535349907602949</v>
      </c>
      <c r="U44" s="346">
        <f t="shared" si="23"/>
        <v>1000000000</v>
      </c>
      <c r="V44" s="346">
        <f t="shared" si="24"/>
        <v>301.99488400000001</v>
      </c>
      <c r="X44" s="372">
        <f t="shared" si="17"/>
        <v>72.556995930605595</v>
      </c>
      <c r="Y44" s="373">
        <f t="shared" si="18"/>
        <v>-80.178210500156752</v>
      </c>
      <c r="AA44" s="372">
        <f t="shared" si="19"/>
        <v>53.401341515015432</v>
      </c>
      <c r="AB44" s="373">
        <f t="shared" si="20"/>
        <v>-1.2864395922403069</v>
      </c>
      <c r="AD44">
        <f t="shared" si="25"/>
        <v>0</v>
      </c>
      <c r="AE44">
        <f t="shared" si="21"/>
        <v>0</v>
      </c>
    </row>
    <row r="45" spans="1:31" x14ac:dyDescent="0.2">
      <c r="A45" s="374">
        <v>19.055</v>
      </c>
      <c r="B45" s="391">
        <f t="shared" si="22"/>
        <v>1.9054999999999999E-2</v>
      </c>
      <c r="C45" s="364">
        <f t="shared" si="0"/>
        <v>1.0002971732758115</v>
      </c>
      <c r="D45" s="365">
        <f t="shared" si="1"/>
        <v>2.4376205659304845E-2</v>
      </c>
      <c r="E45" s="365">
        <f t="shared" si="2"/>
        <v>1.0000000259825355</v>
      </c>
      <c r="F45" s="366">
        <f t="shared" si="3"/>
        <v>2.279584826287898E-4</v>
      </c>
      <c r="G45" s="365">
        <f t="shared" si="4"/>
        <v>1</v>
      </c>
      <c r="H45" s="366">
        <f t="shared" si="5"/>
        <v>0</v>
      </c>
      <c r="I45" s="364">
        <f t="shared" si="6"/>
        <v>6.5459546073532779</v>
      </c>
      <c r="J45" s="367">
        <f t="shared" si="7"/>
        <v>1.4174296957624155</v>
      </c>
      <c r="K45" s="375">
        <f t="shared" si="8"/>
        <v>1.0000076496973658</v>
      </c>
      <c r="L45" s="376">
        <f t="shared" si="9"/>
        <v>3.9114316052683597E-3</v>
      </c>
      <c r="M45" s="364">
        <f t="shared" si="10"/>
        <v>1.0000000013050496</v>
      </c>
      <c r="N45" s="367">
        <f t="shared" si="11"/>
        <v>5.1089130683422273E-5</v>
      </c>
      <c r="O45" s="368">
        <f t="shared" si="12"/>
        <v>1.0000000816234731</v>
      </c>
      <c r="P45" s="369">
        <f t="shared" si="13"/>
        <v>4.7025316526334523E-4</v>
      </c>
      <c r="Q45" s="370">
        <f t="shared" si="14"/>
        <v>73.697562884173379</v>
      </c>
      <c r="R45" s="371">
        <f t="shared" si="15"/>
        <v>-82.402094254122531</v>
      </c>
      <c r="S45" s="393">
        <f t="shared" si="16"/>
        <v>97.597905745877469</v>
      </c>
      <c r="U45" s="346">
        <f t="shared" si="23"/>
        <v>1000000000</v>
      </c>
      <c r="V45" s="346">
        <f t="shared" si="24"/>
        <v>363.09302500000001</v>
      </c>
      <c r="X45" s="372">
        <f t="shared" si="17"/>
        <v>71.777280977523773</v>
      </c>
      <c r="Y45" s="373">
        <f t="shared" si="18"/>
        <v>-80.991558084976262</v>
      </c>
      <c r="AA45" s="372">
        <f t="shared" si="19"/>
        <v>53.400907261203983</v>
      </c>
      <c r="AB45" s="373">
        <f t="shared" si="20"/>
        <v>-1.4105361691462739</v>
      </c>
      <c r="AD45">
        <f t="shared" si="25"/>
        <v>0</v>
      </c>
      <c r="AE45">
        <f t="shared" ref="AE45:AE76" si="26">IF(AD45&gt;0,S43,0)</f>
        <v>0</v>
      </c>
    </row>
    <row r="46" spans="1:31" x14ac:dyDescent="0.2">
      <c r="A46" s="374">
        <v>20.893000000000001</v>
      </c>
      <c r="B46" s="391">
        <f t="shared" si="22"/>
        <v>2.0893000000000002E-2</v>
      </c>
      <c r="C46" s="364">
        <f t="shared" si="0"/>
        <v>1.000357256722054</v>
      </c>
      <c r="D46" s="365">
        <f t="shared" si="1"/>
        <v>2.6726406199272804E-2</v>
      </c>
      <c r="E46" s="365">
        <f t="shared" si="2"/>
        <v>1.0000000312367059</v>
      </c>
      <c r="F46" s="366">
        <f t="shared" si="3"/>
        <v>2.4994681505539153E-4</v>
      </c>
      <c r="G46" s="365">
        <f t="shared" si="4"/>
        <v>1</v>
      </c>
      <c r="H46" s="366">
        <f t="shared" si="5"/>
        <v>0</v>
      </c>
      <c r="I46" s="364">
        <f t="shared" si="6"/>
        <v>7.1632606734514699</v>
      </c>
      <c r="J46" s="367">
        <f t="shared" si="7"/>
        <v>1.430737637093608</v>
      </c>
      <c r="K46" s="375">
        <f t="shared" si="8"/>
        <v>1.0000091966068394</v>
      </c>
      <c r="L46" s="376">
        <f t="shared" si="9"/>
        <v>4.2887145763431675E-3</v>
      </c>
      <c r="M46" s="364">
        <f t="shared" si="10"/>
        <v>1.0000000015689559</v>
      </c>
      <c r="N46" s="367">
        <f t="shared" si="11"/>
        <v>5.6017066763628706E-5</v>
      </c>
      <c r="O46" s="368">
        <f t="shared" si="12"/>
        <v>1.0000000981293153</v>
      </c>
      <c r="P46" s="369">
        <f t="shared" si="13"/>
        <v>5.1561266297053463E-4</v>
      </c>
      <c r="Q46" s="370">
        <f t="shared" si="14"/>
        <v>72.914299189209331</v>
      </c>
      <c r="R46" s="371">
        <f t="shared" si="15"/>
        <v>-83.279244396506655</v>
      </c>
      <c r="S46" s="393">
        <f t="shared" si="16"/>
        <v>96.720755603493345</v>
      </c>
      <c r="U46" s="346">
        <f t="shared" si="23"/>
        <v>1000000000</v>
      </c>
      <c r="V46" s="346">
        <f t="shared" si="24"/>
        <v>436.51744900000006</v>
      </c>
      <c r="X46" s="372">
        <f t="shared" si="17"/>
        <v>70.994539087763272</v>
      </c>
      <c r="Y46" s="373">
        <f t="shared" si="18"/>
        <v>-81.732712586122545</v>
      </c>
      <c r="AA46" s="372">
        <f t="shared" si="19"/>
        <v>53.400385456000436</v>
      </c>
      <c r="AB46" s="373">
        <f t="shared" si="20"/>
        <v>-1.5465318103840833</v>
      </c>
      <c r="AD46">
        <f t="shared" si="25"/>
        <v>0</v>
      </c>
      <c r="AE46">
        <f t="shared" si="26"/>
        <v>0</v>
      </c>
    </row>
    <row r="47" spans="1:31" x14ac:dyDescent="0.2">
      <c r="A47" s="374">
        <v>22.909000000000002</v>
      </c>
      <c r="B47" s="391">
        <f t="shared" si="22"/>
        <v>2.2909000000000002E-2</v>
      </c>
      <c r="C47" s="364">
        <f t="shared" si="0"/>
        <v>1.0004295120752895</v>
      </c>
      <c r="D47" s="365">
        <f t="shared" si="1"/>
        <v>2.9303869975218125E-2</v>
      </c>
      <c r="E47" s="365">
        <f t="shared" si="2"/>
        <v>1.0000000375557021</v>
      </c>
      <c r="F47" s="366">
        <f t="shared" si="3"/>
        <v>2.7406459397798878E-4</v>
      </c>
      <c r="G47" s="365">
        <f t="shared" si="4"/>
        <v>1</v>
      </c>
      <c r="H47" s="366">
        <f t="shared" si="5"/>
        <v>0</v>
      </c>
      <c r="I47" s="364">
        <f t="shared" si="6"/>
        <v>7.8415672714377269</v>
      </c>
      <c r="J47" s="367">
        <f t="shared" si="7"/>
        <v>1.4429225924671749</v>
      </c>
      <c r="K47" s="375">
        <f t="shared" si="8"/>
        <v>1.0000110570143308</v>
      </c>
      <c r="L47" s="376">
        <f t="shared" si="9"/>
        <v>4.7025338808947608E-3</v>
      </c>
      <c r="M47" s="364">
        <f t="shared" si="10"/>
        <v>1.0000000018863462</v>
      </c>
      <c r="N47" s="367">
        <f t="shared" si="11"/>
        <v>6.14222458343193E-5</v>
      </c>
      <c r="O47" s="368">
        <f t="shared" si="12"/>
        <v>1.0000001179802798</v>
      </c>
      <c r="P47" s="369">
        <f t="shared" si="13"/>
        <v>5.6536497235378771E-4</v>
      </c>
      <c r="Q47" s="370">
        <f t="shared" si="14"/>
        <v>72.127845533252554</v>
      </c>
      <c r="R47" s="371">
        <f t="shared" si="15"/>
        <v>-84.103137054839848</v>
      </c>
      <c r="S47" s="393">
        <f t="shared" si="16"/>
        <v>95.896862945160152</v>
      </c>
      <c r="U47" s="346">
        <f t="shared" si="23"/>
        <v>1000000000</v>
      </c>
      <c r="V47" s="346">
        <f t="shared" si="24"/>
        <v>524.82228100000009</v>
      </c>
      <c r="X47" s="372">
        <f t="shared" si="17"/>
        <v>70.208712904576146</v>
      </c>
      <c r="Y47" s="373">
        <f t="shared" si="18"/>
        <v>-82.40745869767062</v>
      </c>
      <c r="AA47" s="372">
        <f t="shared" si="19"/>
        <v>53.399757983230785</v>
      </c>
      <c r="AB47" s="373">
        <f t="shared" si="20"/>
        <v>-1.6956783571692229</v>
      </c>
      <c r="AD47">
        <f t="shared" si="25"/>
        <v>0</v>
      </c>
      <c r="AE47">
        <f t="shared" si="26"/>
        <v>0</v>
      </c>
    </row>
    <row r="48" spans="1:31" x14ac:dyDescent="0.2">
      <c r="A48" s="374">
        <v>25.119</v>
      </c>
      <c r="B48" s="391">
        <f t="shared" si="22"/>
        <v>2.5118999999999999E-2</v>
      </c>
      <c r="C48" s="364">
        <f t="shared" si="0"/>
        <v>1.000516355672145</v>
      </c>
      <c r="D48" s="365">
        <f t="shared" si="1"/>
        <v>3.2128914828167397E-2</v>
      </c>
      <c r="E48" s="365">
        <f t="shared" si="2"/>
        <v>1.0000000451510973</v>
      </c>
      <c r="F48" s="366">
        <f t="shared" si="3"/>
        <v>3.0050323022716582E-4</v>
      </c>
      <c r="G48" s="365">
        <f t="shared" si="4"/>
        <v>1</v>
      </c>
      <c r="H48" s="366">
        <f t="shared" si="5"/>
        <v>0</v>
      </c>
      <c r="I48" s="364">
        <f t="shared" si="6"/>
        <v>8.5862634895665941</v>
      </c>
      <c r="J48" s="367">
        <f t="shared" si="7"/>
        <v>1.4540663197330819</v>
      </c>
      <c r="K48" s="375">
        <f t="shared" si="8"/>
        <v>1.0000132932084298</v>
      </c>
      <c r="L48" s="376">
        <f t="shared" si="9"/>
        <v>5.1561732270580113E-3</v>
      </c>
      <c r="M48" s="364">
        <f t="shared" si="10"/>
        <v>1.0000000022678472</v>
      </c>
      <c r="N48" s="367">
        <f t="shared" si="11"/>
        <v>6.7347566140812037E-5</v>
      </c>
      <c r="O48" s="368">
        <f t="shared" si="12"/>
        <v>1.0000001418410194</v>
      </c>
      <c r="P48" s="369">
        <f t="shared" si="13"/>
        <v>6.1990495240762131E-4</v>
      </c>
      <c r="Q48" s="370">
        <f t="shared" si="14"/>
        <v>71.339084071559157</v>
      </c>
      <c r="R48" s="371">
        <f t="shared" si="15"/>
        <v>-84.87944670740562</v>
      </c>
      <c r="S48" s="393">
        <f t="shared" si="16"/>
        <v>95.12055329259438</v>
      </c>
      <c r="U48" s="346">
        <f t="shared" si="23"/>
        <v>1000000000</v>
      </c>
      <c r="V48" s="346">
        <f t="shared" si="24"/>
        <v>630.96416099999999</v>
      </c>
      <c r="X48" s="372">
        <f t="shared" si="17"/>
        <v>69.420705541488275</v>
      </c>
      <c r="Y48" s="373">
        <f t="shared" si="18"/>
        <v>-83.020295114641812</v>
      </c>
      <c r="AA48" s="372">
        <f t="shared" si="19"/>
        <v>53.399003884625252</v>
      </c>
      <c r="AB48" s="373">
        <f t="shared" si="20"/>
        <v>-1.8591515927638209</v>
      </c>
      <c r="AD48">
        <f t="shared" si="25"/>
        <v>0</v>
      </c>
      <c r="AE48">
        <f t="shared" si="26"/>
        <v>0</v>
      </c>
    </row>
    <row r="49" spans="1:31" x14ac:dyDescent="0.2">
      <c r="A49" s="374">
        <v>27.542000000000002</v>
      </c>
      <c r="B49" s="391">
        <f t="shared" si="22"/>
        <v>2.7542000000000001E-2</v>
      </c>
      <c r="C49" s="364">
        <f t="shared" si="0"/>
        <v>1.0006207440235926</v>
      </c>
      <c r="D49" s="365">
        <f t="shared" si="1"/>
        <v>3.5225646650421681E-2</v>
      </c>
      <c r="E49" s="365">
        <f t="shared" si="2"/>
        <v>1.0000000542818404</v>
      </c>
      <c r="F49" s="366">
        <f t="shared" si="3"/>
        <v>3.2949002414652055E-4</v>
      </c>
      <c r="G49" s="365">
        <f t="shared" si="4"/>
        <v>1</v>
      </c>
      <c r="H49" s="366">
        <f t="shared" si="5"/>
        <v>0</v>
      </c>
      <c r="I49" s="364">
        <f t="shared" si="6"/>
        <v>9.403755446195289</v>
      </c>
      <c r="J49" s="367">
        <f t="shared" si="7"/>
        <v>1.4642543842279909</v>
      </c>
      <c r="K49" s="375">
        <f t="shared" si="8"/>
        <v>1.00001598142447</v>
      </c>
      <c r="L49" s="376">
        <f t="shared" si="9"/>
        <v>5.653531928733125E-3</v>
      </c>
      <c r="M49" s="364">
        <f t="shared" si="10"/>
        <v>1.0000000027264659</v>
      </c>
      <c r="N49" s="367">
        <f t="shared" si="11"/>
        <v>7.3843969349222558E-5</v>
      </c>
      <c r="O49" s="368">
        <f t="shared" si="12"/>
        <v>1.0000001705250143</v>
      </c>
      <c r="P49" s="369">
        <f t="shared" si="13"/>
        <v>6.7970149809354406E-4</v>
      </c>
      <c r="Q49" s="370">
        <f t="shared" si="14"/>
        <v>70.54825876325512</v>
      </c>
      <c r="R49" s="371">
        <f t="shared" si="15"/>
        <v>-85.614250399629512</v>
      </c>
      <c r="S49" s="393">
        <f t="shared" si="16"/>
        <v>94.385749600370488</v>
      </c>
      <c r="U49" s="346">
        <f t="shared" si="23"/>
        <v>1000000000</v>
      </c>
      <c r="V49" s="346">
        <f t="shared" si="24"/>
        <v>758.56176400000004</v>
      </c>
      <c r="X49" s="372">
        <f t="shared" si="17"/>
        <v>68.630786593508134</v>
      </c>
      <c r="Y49" s="373">
        <f t="shared" si="18"/>
        <v>-83.575903874217815</v>
      </c>
      <c r="AA49" s="372">
        <f t="shared" si="19"/>
        <v>53.398097524301363</v>
      </c>
      <c r="AB49" s="373">
        <f t="shared" si="20"/>
        <v>-2.0383465254116779</v>
      </c>
      <c r="AD49">
        <f t="shared" si="25"/>
        <v>0</v>
      </c>
      <c r="AE49">
        <f t="shared" si="26"/>
        <v>0</v>
      </c>
    </row>
    <row r="50" spans="1:31" x14ac:dyDescent="0.2">
      <c r="A50" s="374">
        <v>30.2</v>
      </c>
      <c r="B50" s="391">
        <f t="shared" si="22"/>
        <v>3.0199999999999998E-2</v>
      </c>
      <c r="C50" s="364">
        <f t="shared" si="0"/>
        <v>1.0007462910478642</v>
      </c>
      <c r="D50" s="365">
        <f t="shared" si="1"/>
        <v>3.8621942415420371E-2</v>
      </c>
      <c r="E50" s="365">
        <f t="shared" si="2"/>
        <v>1.0000000652645729</v>
      </c>
      <c r="F50" s="366">
        <f t="shared" si="3"/>
        <v>3.6128816557869488E-4</v>
      </c>
      <c r="G50" s="365">
        <f t="shared" si="4"/>
        <v>1</v>
      </c>
      <c r="H50" s="366">
        <f t="shared" si="5"/>
        <v>0</v>
      </c>
      <c r="I50" s="364">
        <f t="shared" si="6"/>
        <v>10.301469442045494</v>
      </c>
      <c r="J50" s="367">
        <f t="shared" si="7"/>
        <v>1.4735696885845129</v>
      </c>
      <c r="K50" s="375">
        <f t="shared" si="8"/>
        <v>1.0000192148820315</v>
      </c>
      <c r="L50" s="376">
        <f t="shared" si="9"/>
        <v>6.1991248350294591E-3</v>
      </c>
      <c r="M50" s="364">
        <f t="shared" si="10"/>
        <v>1.000000003278106</v>
      </c>
      <c r="N50" s="367">
        <f t="shared" si="11"/>
        <v>8.0970440546306865E-5</v>
      </c>
      <c r="O50" s="368">
        <f t="shared" si="12"/>
        <v>1.0000002050269854</v>
      </c>
      <c r="P50" s="369">
        <f t="shared" si="13"/>
        <v>7.4529754026558142E-4</v>
      </c>
      <c r="Q50" s="370">
        <f t="shared" si="14"/>
        <v>69.755239851509572</v>
      </c>
      <c r="R50" s="371">
        <f t="shared" si="15"/>
        <v>-86.313656061177952</v>
      </c>
      <c r="S50" s="393">
        <f t="shared" si="16"/>
        <v>93.686343938822048</v>
      </c>
      <c r="U50" s="346">
        <f t="shared" si="23"/>
        <v>1000000000</v>
      </c>
      <c r="V50" s="346">
        <f t="shared" si="24"/>
        <v>912.04</v>
      </c>
      <c r="X50" s="372">
        <f t="shared" si="17"/>
        <v>67.838857628788404</v>
      </c>
      <c r="Y50" s="373">
        <f t="shared" si="18"/>
        <v>-84.078779645160324</v>
      </c>
      <c r="AA50" s="372">
        <f t="shared" si="19"/>
        <v>53.397007577275545</v>
      </c>
      <c r="AB50" s="373">
        <f t="shared" si="20"/>
        <v>-2.2348764160176224</v>
      </c>
      <c r="AD50">
        <f t="shared" si="25"/>
        <v>0</v>
      </c>
      <c r="AE50">
        <f t="shared" si="26"/>
        <v>0</v>
      </c>
    </row>
    <row r="51" spans="1:31" x14ac:dyDescent="0.2">
      <c r="A51" s="374">
        <v>33.113</v>
      </c>
      <c r="B51" s="391">
        <f t="shared" si="22"/>
        <v>3.3112999999999997E-2</v>
      </c>
      <c r="C51" s="364">
        <f t="shared" si="0"/>
        <v>1.0008971367805379</v>
      </c>
      <c r="D51" s="365">
        <f t="shared" si="1"/>
        <v>4.234304149687014E-2</v>
      </c>
      <c r="E51" s="365">
        <f t="shared" si="2"/>
        <v>1.000000078462234</v>
      </c>
      <c r="F51" s="366">
        <f t="shared" si="3"/>
        <v>3.96136917932074E-4</v>
      </c>
      <c r="G51" s="365">
        <f t="shared" si="4"/>
        <v>1</v>
      </c>
      <c r="H51" s="366">
        <f t="shared" si="5"/>
        <v>0</v>
      </c>
      <c r="I51" s="364">
        <f t="shared" si="6"/>
        <v>11.286162692446807</v>
      </c>
      <c r="J51" s="367">
        <f t="shared" si="7"/>
        <v>1.4820759070652771</v>
      </c>
      <c r="K51" s="375">
        <f t="shared" si="8"/>
        <v>1.0000231004293083</v>
      </c>
      <c r="L51" s="376">
        <f t="shared" si="9"/>
        <v>6.7970559252608607E-3</v>
      </c>
      <c r="M51" s="364">
        <f t="shared" si="10"/>
        <v>1.0000000039409978</v>
      </c>
      <c r="N51" s="367">
        <f t="shared" si="11"/>
        <v>8.8780602537250807E-5</v>
      </c>
      <c r="O51" s="368">
        <f t="shared" si="12"/>
        <v>1.0000002464870974</v>
      </c>
      <c r="P51" s="369">
        <f t="shared" si="13"/>
        <v>8.1718665197461635E-4</v>
      </c>
      <c r="Q51" s="370">
        <f t="shared" si="14"/>
        <v>68.961021638689346</v>
      </c>
      <c r="R51" s="371">
        <f t="shared" si="15"/>
        <v>-86.982540570695519</v>
      </c>
      <c r="S51" s="393">
        <f t="shared" si="16"/>
        <v>93.017459429304481</v>
      </c>
      <c r="U51" s="346">
        <f t="shared" si="23"/>
        <v>1000000000</v>
      </c>
      <c r="V51" s="346">
        <f t="shared" si="24"/>
        <v>1096.470769</v>
      </c>
      <c r="X51" s="372">
        <f t="shared" si="17"/>
        <v>67.045948815091748</v>
      </c>
      <c r="Y51" s="373">
        <f t="shared" si="18"/>
        <v>-84.532338625652059</v>
      </c>
      <c r="AA51" s="372">
        <f t="shared" si="19"/>
        <v>53.395698178151989</v>
      </c>
      <c r="AB51" s="373">
        <f t="shared" si="20"/>
        <v>-2.450201945043474</v>
      </c>
      <c r="AD51">
        <f t="shared" si="25"/>
        <v>0</v>
      </c>
      <c r="AE51">
        <f t="shared" si="26"/>
        <v>0</v>
      </c>
    </row>
    <row r="52" spans="1:31" x14ac:dyDescent="0.2">
      <c r="A52" s="374">
        <v>36.308</v>
      </c>
      <c r="B52" s="391">
        <f t="shared" si="22"/>
        <v>3.6308E-2</v>
      </c>
      <c r="C52" s="364">
        <f t="shared" si="0"/>
        <v>1.0010785167409786</v>
      </c>
      <c r="D52" s="365">
        <f t="shared" si="1"/>
        <v>4.6423018003659083E-2</v>
      </c>
      <c r="E52" s="365">
        <f t="shared" si="2"/>
        <v>1.0000000943340024</v>
      </c>
      <c r="F52" s="366">
        <f t="shared" si="3"/>
        <v>4.3435928680848304E-4</v>
      </c>
      <c r="G52" s="365">
        <f t="shared" si="4"/>
        <v>1</v>
      </c>
      <c r="H52" s="366">
        <f t="shared" si="5"/>
        <v>0</v>
      </c>
      <c r="I52" s="364">
        <f t="shared" si="6"/>
        <v>12.366963764880289</v>
      </c>
      <c r="J52" s="367">
        <f t="shared" si="7"/>
        <v>1.4898473584708234</v>
      </c>
      <c r="K52" s="375">
        <f t="shared" si="8"/>
        <v>1.0000277732454119</v>
      </c>
      <c r="L52" s="376">
        <f t="shared" si="9"/>
        <v>7.4528655740893164E-3</v>
      </c>
      <c r="M52" s="364">
        <f t="shared" si="10"/>
        <v>1.0000000047382043</v>
      </c>
      <c r="N52" s="367">
        <f t="shared" si="11"/>
        <v>9.7346846109060906E-5</v>
      </c>
      <c r="O52" s="368">
        <f t="shared" si="12"/>
        <v>1.0000002963478469</v>
      </c>
      <c r="P52" s="369">
        <f t="shared" si="13"/>
        <v>8.960351568420348E-4</v>
      </c>
      <c r="Q52" s="370">
        <f t="shared" si="14"/>
        <v>68.165152393813372</v>
      </c>
      <c r="R52" s="371">
        <f t="shared" si="15"/>
        <v>-87.626820762703403</v>
      </c>
      <c r="S52" s="393">
        <f t="shared" si="16"/>
        <v>92.373179237296597</v>
      </c>
      <c r="U52" s="346">
        <f t="shared" si="23"/>
        <v>1000000000</v>
      </c>
      <c r="V52" s="346">
        <f t="shared" si="24"/>
        <v>1318.2708640000001</v>
      </c>
      <c r="X52" s="372">
        <f t="shared" si="17"/>
        <v>66.251653757031221</v>
      </c>
      <c r="Y52" s="373">
        <f t="shared" si="18"/>
        <v>-84.940525676908408</v>
      </c>
      <c r="AA52" s="372">
        <f t="shared" si="19"/>
        <v>53.394123991336535</v>
      </c>
      <c r="AB52" s="373">
        <f t="shared" si="20"/>
        <v>-2.6862950857949945</v>
      </c>
      <c r="AD52">
        <f t="shared" si="25"/>
        <v>0</v>
      </c>
      <c r="AE52">
        <f t="shared" si="26"/>
        <v>0</v>
      </c>
    </row>
    <row r="53" spans="1:31" x14ac:dyDescent="0.2">
      <c r="A53" s="374">
        <v>39.811</v>
      </c>
      <c r="B53" s="391">
        <f t="shared" si="22"/>
        <v>3.9810999999999999E-2</v>
      </c>
      <c r="C53" s="364">
        <f t="shared" si="0"/>
        <v>1.0012965256063153</v>
      </c>
      <c r="D53" s="365">
        <f t="shared" si="1"/>
        <v>5.089452502669576E-2</v>
      </c>
      <c r="E53" s="365">
        <f t="shared" si="2"/>
        <v>1.000000113414812</v>
      </c>
      <c r="F53" s="366">
        <f t="shared" si="3"/>
        <v>4.7626631450824712E-4</v>
      </c>
      <c r="G53" s="365">
        <f t="shared" si="4"/>
        <v>1</v>
      </c>
      <c r="H53" s="366">
        <f t="shared" si="5"/>
        <v>0</v>
      </c>
      <c r="I53" s="364">
        <f t="shared" si="6"/>
        <v>13.552669581859023</v>
      </c>
      <c r="J53" s="367">
        <f t="shared" si="7"/>
        <v>1.4969430077219747</v>
      </c>
      <c r="K53" s="375">
        <f t="shared" si="8"/>
        <v>1.0000333908082495</v>
      </c>
      <c r="L53" s="376">
        <f t="shared" si="9"/>
        <v>8.1718882951567953E-3</v>
      </c>
      <c r="M53" s="364">
        <f t="shared" si="10"/>
        <v>1.0000000056965943</v>
      </c>
      <c r="N53" s="367">
        <f t="shared" si="11"/>
        <v>1.067388809070089E-4</v>
      </c>
      <c r="O53" s="368">
        <f t="shared" si="12"/>
        <v>1.0000003562897144</v>
      </c>
      <c r="P53" s="369">
        <f t="shared" si="13"/>
        <v>9.8248469913782884E-4</v>
      </c>
      <c r="Q53" s="370">
        <f t="shared" si="14"/>
        <v>67.368074229349745</v>
      </c>
      <c r="R53" s="371">
        <f t="shared" si="15"/>
        <v>-88.25146325365543</v>
      </c>
      <c r="S53" s="393">
        <f t="shared" si="16"/>
        <v>91.74853674634457</v>
      </c>
      <c r="U53" s="346">
        <f t="shared" si="23"/>
        <v>1000000000</v>
      </c>
      <c r="V53" s="346">
        <f t="shared" si="24"/>
        <v>1584.9157210000001</v>
      </c>
      <c r="X53" s="372">
        <f t="shared" si="17"/>
        <v>65.456467302409962</v>
      </c>
      <c r="Y53" s="373">
        <f t="shared" si="18"/>
        <v>-85.306417588986434</v>
      </c>
      <c r="AA53" s="372">
        <f t="shared" si="19"/>
        <v>53.392232281494152</v>
      </c>
      <c r="AB53" s="373">
        <f t="shared" si="20"/>
        <v>-2.9450456646690206</v>
      </c>
      <c r="AD53">
        <f t="shared" si="25"/>
        <v>0</v>
      </c>
      <c r="AE53">
        <f t="shared" si="26"/>
        <v>0</v>
      </c>
    </row>
    <row r="54" spans="1:31" x14ac:dyDescent="0.2">
      <c r="A54" s="374">
        <v>43.652000000000001</v>
      </c>
      <c r="B54" s="391">
        <f t="shared" si="22"/>
        <v>4.3652000000000003E-2</v>
      </c>
      <c r="C54" s="364">
        <f t="shared" si="0"/>
        <v>1.0015585701583418</v>
      </c>
      <c r="D54" s="365">
        <f t="shared" si="1"/>
        <v>5.5795135322638773E-2</v>
      </c>
      <c r="E54" s="365">
        <f t="shared" si="2"/>
        <v>1.0000001363552586</v>
      </c>
      <c r="F54" s="366">
        <f t="shared" si="3"/>
        <v>5.2221689590715612E-4</v>
      </c>
      <c r="G54" s="365">
        <f t="shared" si="4"/>
        <v>1</v>
      </c>
      <c r="H54" s="366">
        <f t="shared" si="5"/>
        <v>0</v>
      </c>
      <c r="I54" s="364">
        <f t="shared" si="6"/>
        <v>14.853435649942945</v>
      </c>
      <c r="J54" s="367">
        <f t="shared" si="7"/>
        <v>1.5034208724037013</v>
      </c>
      <c r="K54" s="375">
        <f t="shared" si="8"/>
        <v>1.0000401446415863</v>
      </c>
      <c r="L54" s="376">
        <f t="shared" si="9"/>
        <v>8.9602788615905978E-3</v>
      </c>
      <c r="M54" s="364">
        <f t="shared" si="10"/>
        <v>1.0000000068488462</v>
      </c>
      <c r="N54" s="367">
        <f t="shared" si="11"/>
        <v>1.1703714113620802E-4</v>
      </c>
      <c r="O54" s="368">
        <f t="shared" si="12"/>
        <v>1.0000004283565291</v>
      </c>
      <c r="P54" s="369">
        <f t="shared" si="13"/>
        <v>1.0772756371759044E-3</v>
      </c>
      <c r="Q54" s="370">
        <f t="shared" si="14"/>
        <v>66.569818231467892</v>
      </c>
      <c r="R54" s="371">
        <f t="shared" si="15"/>
        <v>-88.861618788956548</v>
      </c>
      <c r="S54" s="393">
        <f t="shared" si="16"/>
        <v>91.138381211043452</v>
      </c>
      <c r="U54" s="346">
        <f t="shared" si="23"/>
        <v>1000000000</v>
      </c>
      <c r="V54" s="346">
        <f t="shared" si="24"/>
        <v>1905.497104</v>
      </c>
      <c r="X54" s="372">
        <f t="shared" si="17"/>
        <v>64.660484576710502</v>
      </c>
      <c r="Y54" s="373">
        <f t="shared" si="18"/>
        <v>-85.632990490662252</v>
      </c>
      <c r="AA54" s="372">
        <f t="shared" si="19"/>
        <v>53.389959009311767</v>
      </c>
      <c r="AB54" s="373">
        <f t="shared" si="20"/>
        <v>-3.2286282982942911</v>
      </c>
      <c r="AD54">
        <f t="shared" si="25"/>
        <v>0</v>
      </c>
      <c r="AE54">
        <f t="shared" si="26"/>
        <v>0</v>
      </c>
    </row>
    <row r="55" spans="1:31" x14ac:dyDescent="0.2">
      <c r="A55" s="374">
        <v>47.863</v>
      </c>
      <c r="B55" s="391">
        <f t="shared" si="22"/>
        <v>4.7863000000000003E-2</v>
      </c>
      <c r="C55" s="364">
        <f t="shared" si="0"/>
        <v>1.0018734822049842</v>
      </c>
      <c r="D55" s="365">
        <f t="shared" si="1"/>
        <v>6.1164727207529253E-2</v>
      </c>
      <c r="E55" s="365">
        <f t="shared" si="2"/>
        <v>1.0000001639318821</v>
      </c>
      <c r="F55" s="366">
        <f t="shared" si="3"/>
        <v>5.7259385204087409E-4</v>
      </c>
      <c r="G55" s="365">
        <f t="shared" si="4"/>
        <v>1</v>
      </c>
      <c r="H55" s="366">
        <f t="shared" si="5"/>
        <v>0</v>
      </c>
      <c r="I55" s="364">
        <f t="shared" si="6"/>
        <v>16.280099577387642</v>
      </c>
      <c r="J55" s="367">
        <f t="shared" si="7"/>
        <v>1.5093329495403411</v>
      </c>
      <c r="K55" s="375">
        <f t="shared" si="8"/>
        <v>1.0000482633386623</v>
      </c>
      <c r="L55" s="376">
        <f t="shared" si="9"/>
        <v>9.8246015305753862E-3</v>
      </c>
      <c r="M55" s="364">
        <f t="shared" si="10"/>
        <v>1.0000000082339637</v>
      </c>
      <c r="N55" s="367">
        <f t="shared" si="11"/>
        <v>1.2832742328025299E-4</v>
      </c>
      <c r="O55" s="368">
        <f t="shared" si="12"/>
        <v>1.0000005149877682</v>
      </c>
      <c r="P55" s="369">
        <f t="shared" si="13"/>
        <v>1.1811976856104568E-3</v>
      </c>
      <c r="Q55" s="370">
        <f t="shared" si="14"/>
        <v>65.770554858543051</v>
      </c>
      <c r="R55" s="371">
        <f t="shared" si="15"/>
        <v>-89.462203562688501</v>
      </c>
      <c r="S55" s="393">
        <f t="shared" si="16"/>
        <v>90.537796437311499</v>
      </c>
      <c r="U55" s="346">
        <f t="shared" si="23"/>
        <v>1000000000</v>
      </c>
      <c r="V55" s="346">
        <f t="shared" si="24"/>
        <v>2290.8667689999997</v>
      </c>
      <c r="X55" s="372">
        <f t="shared" si="17"/>
        <v>63.863952322242028</v>
      </c>
      <c r="Y55" s="373">
        <f t="shared" si="18"/>
        <v>-85.922852403524757</v>
      </c>
      <c r="AA55" s="372">
        <f t="shared" si="19"/>
        <v>53.387227890855407</v>
      </c>
      <c r="AB55" s="373">
        <f t="shared" si="20"/>
        <v>-3.5393511591637412</v>
      </c>
      <c r="AD55">
        <f t="shared" si="25"/>
        <v>0</v>
      </c>
      <c r="AE55">
        <f t="shared" si="26"/>
        <v>0</v>
      </c>
    </row>
    <row r="56" spans="1:31" x14ac:dyDescent="0.2">
      <c r="A56" s="374">
        <v>52.481000000000002</v>
      </c>
      <c r="B56" s="391">
        <f t="shared" si="22"/>
        <v>5.2481E-2</v>
      </c>
      <c r="C56" s="364">
        <f t="shared" si="0"/>
        <v>1.0022520178580179</v>
      </c>
      <c r="D56" s="365">
        <f t="shared" si="1"/>
        <v>6.7049230324869133E-2</v>
      </c>
      <c r="E56" s="365">
        <f t="shared" si="2"/>
        <v>1.000000197091452</v>
      </c>
      <c r="F56" s="366">
        <f t="shared" si="3"/>
        <v>6.2783981958201341E-4</v>
      </c>
      <c r="G56" s="365">
        <f t="shared" si="4"/>
        <v>1</v>
      </c>
      <c r="H56" s="366">
        <f t="shared" si="5"/>
        <v>0</v>
      </c>
      <c r="I56" s="364">
        <f t="shared" si="6"/>
        <v>17.845197413278594</v>
      </c>
      <c r="J56" s="367">
        <f t="shared" si="7"/>
        <v>1.5147294711352177</v>
      </c>
      <c r="K56" s="375">
        <f t="shared" si="8"/>
        <v>1.0000580255963469</v>
      </c>
      <c r="L56" s="376">
        <f t="shared" si="9"/>
        <v>1.0772445467740621E-2</v>
      </c>
      <c r="M56" s="364">
        <f t="shared" si="10"/>
        <v>1.0000000098995014</v>
      </c>
      <c r="N56" s="367">
        <f t="shared" si="11"/>
        <v>1.4070892952161316E-4</v>
      </c>
      <c r="O56" s="368">
        <f t="shared" si="12"/>
        <v>1.0000006191576811</v>
      </c>
      <c r="P56" s="369">
        <f t="shared" si="13"/>
        <v>1.2951639512113543E-3</v>
      </c>
      <c r="Q56" s="370">
        <f t="shared" si="14"/>
        <v>64.970071870078783</v>
      </c>
      <c r="R56" s="371">
        <f t="shared" si="15"/>
        <v>-90.058325044028038</v>
      </c>
      <c r="S56" s="393">
        <f t="shared" si="16"/>
        <v>89.941674955971962</v>
      </c>
      <c r="U56" s="346">
        <f t="shared" si="23"/>
        <v>1000000000</v>
      </c>
      <c r="V56" s="346">
        <f t="shared" si="24"/>
        <v>2754.255361</v>
      </c>
      <c r="X56" s="372">
        <f t="shared" si="17"/>
        <v>63.066751101316918</v>
      </c>
      <c r="Y56" s="373">
        <f t="shared" si="18"/>
        <v>-86.178452266069471</v>
      </c>
      <c r="AA56" s="372">
        <f t="shared" si="19"/>
        <v>53.383946123316257</v>
      </c>
      <c r="AB56" s="373">
        <f t="shared" si="20"/>
        <v>-3.8798727779585689</v>
      </c>
      <c r="AD56">
        <f t="shared" si="25"/>
        <v>0</v>
      </c>
      <c r="AE56">
        <f t="shared" si="26"/>
        <v>0</v>
      </c>
    </row>
    <row r="57" spans="1:31" x14ac:dyDescent="0.2">
      <c r="A57" s="374">
        <v>57.544000000000004</v>
      </c>
      <c r="B57" s="391">
        <f t="shared" si="22"/>
        <v>5.7544000000000005E-2</v>
      </c>
      <c r="C57" s="364">
        <f t="shared" si="0"/>
        <v>1.0027068804242896</v>
      </c>
      <c r="D57" s="365">
        <f t="shared" si="1"/>
        <v>7.3495421542453546E-2</v>
      </c>
      <c r="E57" s="365">
        <f t="shared" si="2"/>
        <v>1.0000002369537966</v>
      </c>
      <c r="F57" s="366">
        <f t="shared" si="3"/>
        <v>6.8840939802821365E-4</v>
      </c>
      <c r="G57" s="365">
        <f t="shared" si="4"/>
        <v>1</v>
      </c>
      <c r="H57" s="366">
        <f t="shared" si="5"/>
        <v>0</v>
      </c>
      <c r="I57" s="364">
        <f t="shared" si="6"/>
        <v>19.561608348931625</v>
      </c>
      <c r="J57" s="367">
        <f t="shared" si="7"/>
        <v>1.5196534940188711</v>
      </c>
      <c r="K57" s="375">
        <f t="shared" si="8"/>
        <v>1.0000697610414444</v>
      </c>
      <c r="L57" s="376">
        <f t="shared" si="9"/>
        <v>1.1811603293666933E-2</v>
      </c>
      <c r="M57" s="364">
        <f t="shared" si="10"/>
        <v>1.0000000119017061</v>
      </c>
      <c r="N57" s="367">
        <f t="shared" si="11"/>
        <v>1.5428354317912897E-4</v>
      </c>
      <c r="O57" s="368">
        <f t="shared" si="12"/>
        <v>1.0000007443841761</v>
      </c>
      <c r="P57" s="369">
        <f t="shared" si="13"/>
        <v>1.420112217559577E-3</v>
      </c>
      <c r="Q57" s="370">
        <f t="shared" si="14"/>
        <v>64.168567868218332</v>
      </c>
      <c r="R57" s="371">
        <f t="shared" si="15"/>
        <v>-90.654717362375493</v>
      </c>
      <c r="S57" s="393">
        <f t="shared" si="16"/>
        <v>89.345282637624507</v>
      </c>
      <c r="U57" s="346">
        <f t="shared" si="23"/>
        <v>1000000000</v>
      </c>
      <c r="V57" s="346">
        <f t="shared" si="24"/>
        <v>3311.3119360000005</v>
      </c>
      <c r="X57" s="372">
        <f t="shared" si="17"/>
        <v>62.269188955245752</v>
      </c>
      <c r="Y57" s="373">
        <f t="shared" si="18"/>
        <v>-86.40181640618141</v>
      </c>
      <c r="AA57" s="372">
        <f t="shared" si="19"/>
        <v>53.380004267526957</v>
      </c>
      <c r="AB57" s="373">
        <f t="shared" si="20"/>
        <v>-4.2529009561940772</v>
      </c>
      <c r="AD57">
        <f t="shared" si="25"/>
        <v>0</v>
      </c>
      <c r="AE57">
        <f t="shared" si="26"/>
        <v>0</v>
      </c>
    </row>
    <row r="58" spans="1:31" x14ac:dyDescent="0.2">
      <c r="A58" s="374">
        <v>63.095999999999997</v>
      </c>
      <c r="B58" s="391">
        <f t="shared" si="22"/>
        <v>6.3095999999999999E-2</v>
      </c>
      <c r="C58" s="364">
        <f t="shared" si="0"/>
        <v>1.0032535246893572</v>
      </c>
      <c r="D58" s="365">
        <f t="shared" si="1"/>
        <v>8.0557158900473852E-2</v>
      </c>
      <c r="E58" s="365">
        <f t="shared" si="2"/>
        <v>1.0000002848834513</v>
      </c>
      <c r="F58" s="366">
        <f t="shared" si="3"/>
        <v>7.5482896548862278E-4</v>
      </c>
      <c r="G58" s="365">
        <f t="shared" si="4"/>
        <v>1</v>
      </c>
      <c r="H58" s="366">
        <f t="shared" si="5"/>
        <v>0</v>
      </c>
      <c r="I58" s="364">
        <f t="shared" si="6"/>
        <v>21.444249208207726</v>
      </c>
      <c r="J58" s="367">
        <f t="shared" si="7"/>
        <v>1.5241468601780945</v>
      </c>
      <c r="K58" s="375">
        <f t="shared" si="8"/>
        <v>1.0000838713150628</v>
      </c>
      <c r="L58" s="376">
        <f t="shared" si="9"/>
        <v>1.2951096747713657E-2</v>
      </c>
      <c r="M58" s="364">
        <f t="shared" si="10"/>
        <v>1.0000000143091152</v>
      </c>
      <c r="N58" s="367">
        <f t="shared" si="11"/>
        <v>1.691692344085701E-4</v>
      </c>
      <c r="O58" s="368">
        <f t="shared" si="12"/>
        <v>1.0000008949539001</v>
      </c>
      <c r="P58" s="369">
        <f t="shared" si="13"/>
        <v>1.5571283379601205E-3</v>
      </c>
      <c r="Q58" s="370">
        <f t="shared" si="14"/>
        <v>63.365829800124096</v>
      </c>
      <c r="R58" s="371">
        <f t="shared" si="15"/>
        <v>-91.256385632552409</v>
      </c>
      <c r="S58" s="393">
        <f t="shared" si="16"/>
        <v>88.743614367447591</v>
      </c>
      <c r="U58" s="346">
        <f t="shared" si="23"/>
        <v>1000000000</v>
      </c>
      <c r="V58" s="346">
        <f t="shared" si="24"/>
        <v>3981.1052159999995</v>
      </c>
      <c r="X58" s="372">
        <f t="shared" si="17"/>
        <v>61.471185762315898</v>
      </c>
      <c r="Y58" s="373">
        <f t="shared" si="18"/>
        <v>-86.594832044715304</v>
      </c>
      <c r="AA58" s="372">
        <f t="shared" si="19"/>
        <v>53.375269392362569</v>
      </c>
      <c r="AB58" s="373">
        <f t="shared" si="20"/>
        <v>-4.6615535878370995</v>
      </c>
      <c r="AD58">
        <f t="shared" si="25"/>
        <v>0</v>
      </c>
      <c r="AE58">
        <f t="shared" si="26"/>
        <v>0</v>
      </c>
    </row>
    <row r="59" spans="1:31" x14ac:dyDescent="0.2">
      <c r="A59" s="374">
        <v>69.183000000000007</v>
      </c>
      <c r="B59" s="391">
        <f t="shared" si="22"/>
        <v>6.9183000000000008E-2</v>
      </c>
      <c r="C59" s="364">
        <f t="shared" si="0"/>
        <v>1.0039102711737606</v>
      </c>
      <c r="D59" s="365">
        <f t="shared" si="1"/>
        <v>8.8290109248386789E-2</v>
      </c>
      <c r="E59" s="365">
        <f t="shared" si="2"/>
        <v>1.0000003425013873</v>
      </c>
      <c r="F59" s="366">
        <f t="shared" si="3"/>
        <v>8.2764882581267134E-4</v>
      </c>
      <c r="G59" s="365">
        <f t="shared" si="4"/>
        <v>1</v>
      </c>
      <c r="H59" s="366">
        <f t="shared" si="5"/>
        <v>0</v>
      </c>
      <c r="I59" s="364">
        <f t="shared" si="6"/>
        <v>23.50871850927372</v>
      </c>
      <c r="J59" s="367">
        <f t="shared" si="7"/>
        <v>1.5282460781584364</v>
      </c>
      <c r="K59" s="375">
        <f t="shared" si="8"/>
        <v>1.0001008335122474</v>
      </c>
      <c r="L59" s="376">
        <f t="shared" si="9"/>
        <v>1.4200354935384784E-2</v>
      </c>
      <c r="M59" s="364">
        <f t="shared" si="10"/>
        <v>1.0000000172031471</v>
      </c>
      <c r="N59" s="367">
        <f t="shared" si="11"/>
        <v>1.8548933563946438E-4</v>
      </c>
      <c r="O59" s="368">
        <f t="shared" si="12"/>
        <v>1.0000010759590827</v>
      </c>
      <c r="P59" s="369">
        <f t="shared" si="13"/>
        <v>1.7073475198212467E-3</v>
      </c>
      <c r="Q59" s="370">
        <f t="shared" si="14"/>
        <v>62.561929749427932</v>
      </c>
      <c r="R59" s="371">
        <f t="shared" si="15"/>
        <v>-91.868111446656059</v>
      </c>
      <c r="S59" s="393">
        <f t="shared" si="16"/>
        <v>88.131888553343941</v>
      </c>
      <c r="U59" s="346">
        <f t="shared" si="23"/>
        <v>1000000000</v>
      </c>
      <c r="V59" s="346">
        <f t="shared" si="24"/>
        <v>4786.2874890000012</v>
      </c>
      <c r="X59" s="372">
        <f t="shared" si="17"/>
        <v>60.67297085128245</v>
      </c>
      <c r="Y59" s="373">
        <f t="shared" si="18"/>
        <v>-86.759057785726725</v>
      </c>
      <c r="AA59" s="372">
        <f t="shared" si="19"/>
        <v>53.369584252699852</v>
      </c>
      <c r="AB59" s="373">
        <f t="shared" si="20"/>
        <v>-5.1090536609293267</v>
      </c>
      <c r="AD59">
        <f t="shared" si="25"/>
        <v>0</v>
      </c>
      <c r="AE59">
        <f t="shared" si="26"/>
        <v>0</v>
      </c>
    </row>
    <row r="60" spans="1:31" x14ac:dyDescent="0.2">
      <c r="A60" s="374">
        <v>75.858000000000004</v>
      </c>
      <c r="B60" s="391">
        <f t="shared" si="22"/>
        <v>7.5858000000000009E-2</v>
      </c>
      <c r="C60" s="364">
        <f t="shared" si="0"/>
        <v>1.0046993726912072</v>
      </c>
      <c r="D60" s="365">
        <f t="shared" si="1"/>
        <v>9.6757870697237958E-2</v>
      </c>
      <c r="E60" s="365">
        <f t="shared" si="2"/>
        <v>1.0000004117810108</v>
      </c>
      <c r="F60" s="366">
        <f t="shared" si="3"/>
        <v>9.0750302427967141E-4</v>
      </c>
      <c r="G60" s="365">
        <f t="shared" si="4"/>
        <v>1</v>
      </c>
      <c r="H60" s="366">
        <f t="shared" si="5"/>
        <v>0</v>
      </c>
      <c r="I60" s="364">
        <f t="shared" si="6"/>
        <v>25.772991964736544</v>
      </c>
      <c r="J60" s="367">
        <f t="shared" si="7"/>
        <v>1.5319862778048687</v>
      </c>
      <c r="K60" s="375">
        <f t="shared" si="8"/>
        <v>1.000121228424774</v>
      </c>
      <c r="L60" s="376">
        <f t="shared" si="9"/>
        <v>1.5570239503502323E-2</v>
      </c>
      <c r="M60" s="364">
        <f t="shared" si="10"/>
        <v>1.0000000206829223</v>
      </c>
      <c r="N60" s="367">
        <f t="shared" si="11"/>
        <v>2.0338594727456496E-4</v>
      </c>
      <c r="O60" s="368">
        <f t="shared" si="12"/>
        <v>1.0000012935991165</v>
      </c>
      <c r="P60" s="369">
        <f t="shared" si="13"/>
        <v>1.8720777170508794E-3</v>
      </c>
      <c r="Q60" s="370">
        <f t="shared" si="14"/>
        <v>61.75656323799749</v>
      </c>
      <c r="R60" s="371">
        <f t="shared" si="15"/>
        <v>-92.494975927244099</v>
      </c>
      <c r="S60" s="393">
        <f t="shared" si="16"/>
        <v>87.505024072755901</v>
      </c>
      <c r="U60" s="346">
        <f t="shared" si="23"/>
        <v>1000000000</v>
      </c>
      <c r="V60" s="346">
        <f t="shared" si="24"/>
        <v>5754.4361640000006</v>
      </c>
      <c r="X60" s="372">
        <f t="shared" si="17"/>
        <v>59.874430298549186</v>
      </c>
      <c r="Y60" s="373">
        <f t="shared" si="18"/>
        <v>-86.895892236301023</v>
      </c>
      <c r="AA60" s="372">
        <f t="shared" si="19"/>
        <v>53.362758294002681</v>
      </c>
      <c r="AB60" s="373">
        <f t="shared" si="20"/>
        <v>-5.599083690943079</v>
      </c>
      <c r="AD60">
        <f t="shared" si="25"/>
        <v>0</v>
      </c>
      <c r="AE60">
        <f t="shared" si="26"/>
        <v>0</v>
      </c>
    </row>
    <row r="61" spans="1:31" x14ac:dyDescent="0.2">
      <c r="A61" s="374">
        <v>83.176000000000002</v>
      </c>
      <c r="B61" s="391">
        <f t="shared" si="22"/>
        <v>8.3176E-2</v>
      </c>
      <c r="C61" s="364">
        <f t="shared" si="0"/>
        <v>1.0056471315120545</v>
      </c>
      <c r="D61" s="365">
        <f t="shared" si="1"/>
        <v>0.10602531649841627</v>
      </c>
      <c r="E61" s="365">
        <f t="shared" si="2"/>
        <v>1.0000004950619892</v>
      </c>
      <c r="F61" s="366">
        <f t="shared" si="3"/>
        <v>9.9504953144890986E-4</v>
      </c>
      <c r="G61" s="365">
        <f t="shared" si="4"/>
        <v>1</v>
      </c>
      <c r="H61" s="366">
        <f t="shared" si="5"/>
        <v>0</v>
      </c>
      <c r="I61" s="364">
        <f t="shared" si="6"/>
        <v>28.255726656021181</v>
      </c>
      <c r="J61" s="367">
        <f t="shared" si="7"/>
        <v>1.5353978787422888</v>
      </c>
      <c r="K61" s="375">
        <f t="shared" si="8"/>
        <v>1.0001457445836983</v>
      </c>
      <c r="L61" s="376">
        <f t="shared" si="9"/>
        <v>1.7072017142856586E-2</v>
      </c>
      <c r="M61" s="364">
        <f t="shared" si="10"/>
        <v>1.0000000248659573</v>
      </c>
      <c r="N61" s="367">
        <f t="shared" si="11"/>
        <v>2.2300653198520159E-4</v>
      </c>
      <c r="O61" s="368">
        <f t="shared" si="12"/>
        <v>1.0000015552239867</v>
      </c>
      <c r="P61" s="369">
        <f t="shared" si="13"/>
        <v>2.0526762352061287E-3</v>
      </c>
      <c r="Q61" s="370">
        <f t="shared" si="14"/>
        <v>60.949751962838604</v>
      </c>
      <c r="R61" s="371">
        <f t="shared" si="15"/>
        <v>-93.141841938052139</v>
      </c>
      <c r="S61" s="393">
        <f t="shared" si="16"/>
        <v>86.858158061947861</v>
      </c>
      <c r="U61" s="346">
        <f t="shared" si="23"/>
        <v>1000000000</v>
      </c>
      <c r="V61" s="346">
        <f t="shared" si="24"/>
        <v>6918.2469760000004</v>
      </c>
      <c r="X61" s="372">
        <f t="shared" si="17"/>
        <v>59.075810333893486</v>
      </c>
      <c r="Y61" s="373">
        <f t="shared" si="18"/>
        <v>-87.006441227717758</v>
      </c>
      <c r="AA61" s="372">
        <f t="shared" si="19"/>
        <v>53.354566983499495</v>
      </c>
      <c r="AB61" s="373">
        <f t="shared" si="20"/>
        <v>-6.1354007103343662</v>
      </c>
      <c r="AD61">
        <f t="shared" si="25"/>
        <v>0</v>
      </c>
      <c r="AE61">
        <f t="shared" si="26"/>
        <v>0</v>
      </c>
    </row>
    <row r="62" spans="1:31" x14ac:dyDescent="0.2">
      <c r="A62" s="374">
        <v>91.201000000000008</v>
      </c>
      <c r="B62" s="391">
        <f t="shared" si="22"/>
        <v>9.1201000000000004E-2</v>
      </c>
      <c r="C62" s="364">
        <f t="shared" si="0"/>
        <v>1.0067855429469372</v>
      </c>
      <c r="D62" s="365">
        <f t="shared" si="1"/>
        <v>0.11616707067389734</v>
      </c>
      <c r="E62" s="365">
        <f t="shared" si="2"/>
        <v>1.0000005951996944</v>
      </c>
      <c r="F62" s="366">
        <f t="shared" si="3"/>
        <v>1.0910539850362611E-3</v>
      </c>
      <c r="G62" s="365">
        <f t="shared" si="4"/>
        <v>1</v>
      </c>
      <c r="H62" s="366">
        <f t="shared" si="5"/>
        <v>0</v>
      </c>
      <c r="I62" s="364">
        <f t="shared" si="6"/>
        <v>30.978635600865552</v>
      </c>
      <c r="J62" s="367">
        <f t="shared" si="7"/>
        <v>1.5385104067782287</v>
      </c>
      <c r="K62" s="375">
        <f t="shared" si="8"/>
        <v>1.0001752222134968</v>
      </c>
      <c r="L62" s="376">
        <f t="shared" si="9"/>
        <v>1.8718794386133913E-2</v>
      </c>
      <c r="M62" s="364">
        <f t="shared" si="10"/>
        <v>1.0000000298956719</v>
      </c>
      <c r="N62" s="367">
        <f t="shared" si="11"/>
        <v>2.4452268268953473E-4</v>
      </c>
      <c r="O62" s="368">
        <f t="shared" si="12"/>
        <v>1.0000018698037432</v>
      </c>
      <c r="P62" s="369">
        <f t="shared" si="13"/>
        <v>2.2507224803746733E-3</v>
      </c>
      <c r="Q62" s="370">
        <f t="shared" si="14"/>
        <v>60.141062915262886</v>
      </c>
      <c r="R62" s="371">
        <f t="shared" si="15"/>
        <v>-93.813982332790204</v>
      </c>
      <c r="S62" s="393">
        <f t="shared" si="16"/>
        <v>86.186017667209796</v>
      </c>
      <c r="U62" s="346">
        <f t="shared" si="23"/>
        <v>1000000000</v>
      </c>
      <c r="V62" s="346">
        <f t="shared" si="24"/>
        <v>8317.6224010000005</v>
      </c>
      <c r="X62" s="372">
        <f t="shared" si="17"/>
        <v>58.276950177948081</v>
      </c>
      <c r="Y62" s="373">
        <f t="shared" si="18"/>
        <v>-87.091655346679374</v>
      </c>
      <c r="AA62" s="372">
        <f t="shared" si="19"/>
        <v>53.344738091869175</v>
      </c>
      <c r="AB62" s="373">
        <f t="shared" si="20"/>
        <v>-6.7223269861108292</v>
      </c>
      <c r="AD62">
        <f t="shared" si="25"/>
        <v>0</v>
      </c>
      <c r="AE62">
        <f t="shared" si="26"/>
        <v>0</v>
      </c>
    </row>
    <row r="63" spans="1:31" x14ac:dyDescent="0.2">
      <c r="A63" s="374">
        <v>100</v>
      </c>
      <c r="B63" s="391">
        <f t="shared" si="22"/>
        <v>0.1</v>
      </c>
      <c r="C63" s="364">
        <f t="shared" si="0"/>
        <v>1.0081524788533405</v>
      </c>
      <c r="D63" s="365">
        <f t="shared" si="1"/>
        <v>0.12725938618040131</v>
      </c>
      <c r="E63" s="365">
        <f t="shared" si="2"/>
        <v>1.0000007155886981</v>
      </c>
      <c r="F63" s="366">
        <f t="shared" si="3"/>
        <v>1.1963179104056299E-3</v>
      </c>
      <c r="G63" s="365">
        <f t="shared" si="4"/>
        <v>1</v>
      </c>
      <c r="H63" s="366">
        <f t="shared" si="5"/>
        <v>0</v>
      </c>
      <c r="I63" s="364">
        <f t="shared" si="6"/>
        <v>33.96445225186136</v>
      </c>
      <c r="J63" s="367">
        <f t="shared" si="7"/>
        <v>1.5413495238186818</v>
      </c>
      <c r="K63" s="375">
        <f t="shared" si="8"/>
        <v>1.0002106600908587</v>
      </c>
      <c r="L63" s="376">
        <f t="shared" si="9"/>
        <v>2.0524283963654136E-2</v>
      </c>
      <c r="M63" s="364">
        <f t="shared" si="10"/>
        <v>1.0000000359425691</v>
      </c>
      <c r="N63" s="367">
        <f t="shared" si="11"/>
        <v>2.681140357055285E-4</v>
      </c>
      <c r="O63" s="368">
        <f t="shared" si="12"/>
        <v>1.0000022480023063</v>
      </c>
      <c r="P63" s="369">
        <f t="shared" si="13"/>
        <v>2.4678698846682264E-3</v>
      </c>
      <c r="Q63" s="370">
        <f t="shared" si="14"/>
        <v>59.330336760668757</v>
      </c>
      <c r="R63" s="371">
        <f t="shared" si="15"/>
        <v>-94.516509824458453</v>
      </c>
      <c r="S63" s="393">
        <f t="shared" si="16"/>
        <v>85.483490175541547</v>
      </c>
      <c r="U63" s="346">
        <f t="shared" si="23"/>
        <v>1000000000</v>
      </c>
      <c r="V63" s="346">
        <f t="shared" si="24"/>
        <v>10000</v>
      </c>
      <c r="X63" s="372">
        <f t="shared" si="17"/>
        <v>57.478011296354843</v>
      </c>
      <c r="Y63" s="373">
        <f t="shared" si="18"/>
        <v>-87.152229522924287</v>
      </c>
      <c r="AA63" s="372">
        <f t="shared" si="19"/>
        <v>53.332950818868284</v>
      </c>
      <c r="AB63" s="373">
        <f t="shared" si="20"/>
        <v>-7.3642803015341594</v>
      </c>
      <c r="AD63">
        <f t="shared" si="25"/>
        <v>0</v>
      </c>
      <c r="AE63">
        <f t="shared" si="26"/>
        <v>0</v>
      </c>
    </row>
    <row r="64" spans="1:31" x14ac:dyDescent="0.2">
      <c r="A64" s="374">
        <v>109.65</v>
      </c>
      <c r="B64" s="391">
        <f t="shared" si="22"/>
        <v>0.10965000000000001</v>
      </c>
      <c r="C64" s="364">
        <f t="shared" si="0"/>
        <v>1.0097938203213002</v>
      </c>
      <c r="D64" s="365">
        <f t="shared" si="1"/>
        <v>0.13938830848453704</v>
      </c>
      <c r="E64" s="365">
        <f t="shared" si="2"/>
        <v>1.0000008603609953</v>
      </c>
      <c r="F64" s="366">
        <f t="shared" si="3"/>
        <v>1.3117624621552634E-3</v>
      </c>
      <c r="G64" s="365">
        <f t="shared" si="4"/>
        <v>1</v>
      </c>
      <c r="H64" s="366">
        <f t="shared" si="5"/>
        <v>0</v>
      </c>
      <c r="I64" s="364">
        <f t="shared" si="6"/>
        <v>37.23930561269286</v>
      </c>
      <c r="J64" s="367">
        <f t="shared" si="7"/>
        <v>1.5439397512957134</v>
      </c>
      <c r="K64" s="375">
        <f t="shared" si="8"/>
        <v>1.0002532738119239</v>
      </c>
      <c r="L64" s="376">
        <f t="shared" si="9"/>
        <v>2.2504238139585447E-2</v>
      </c>
      <c r="M64" s="364">
        <f t="shared" si="10"/>
        <v>1.0000000432141911</v>
      </c>
      <c r="N64" s="367">
        <f t="shared" si="11"/>
        <v>2.9398703872593701E-4</v>
      </c>
      <c r="O64" s="368">
        <f t="shared" si="12"/>
        <v>1.0000027028001737</v>
      </c>
      <c r="P64" s="369">
        <f t="shared" si="13"/>
        <v>2.7060186535562284E-3</v>
      </c>
      <c r="Q64" s="370">
        <f t="shared" si="14"/>
        <v>58.517035147323384</v>
      </c>
      <c r="R64" s="371">
        <f t="shared" si="15"/>
        <v>-95.254924815520724</v>
      </c>
      <c r="S64" s="393">
        <f t="shared" si="16"/>
        <v>84.745075184479276</v>
      </c>
      <c r="U64" s="346">
        <f t="shared" si="23"/>
        <v>1000000000</v>
      </c>
      <c r="V64" s="346">
        <f t="shared" si="24"/>
        <v>12023.122500000001</v>
      </c>
      <c r="X64" s="372">
        <f t="shared" si="17"/>
        <v>56.678842101697889</v>
      </c>
      <c r="Y64" s="373">
        <f t="shared" si="18"/>
        <v>-87.188678021344899</v>
      </c>
      <c r="AA64" s="372">
        <f t="shared" si="19"/>
        <v>53.318818400179865</v>
      </c>
      <c r="AB64" s="373">
        <f t="shared" si="20"/>
        <v>-8.0662467941758269</v>
      </c>
      <c r="AD64">
        <f t="shared" si="25"/>
        <v>0</v>
      </c>
      <c r="AE64">
        <f t="shared" si="26"/>
        <v>0</v>
      </c>
    </row>
    <row r="65" spans="1:31" x14ac:dyDescent="0.2">
      <c r="A65" s="374">
        <v>120.23</v>
      </c>
      <c r="B65" s="391">
        <f t="shared" si="22"/>
        <v>0.12023</v>
      </c>
      <c r="C65" s="364">
        <f t="shared" si="0"/>
        <v>1.0117634617521734</v>
      </c>
      <c r="D65" s="365">
        <f t="shared" si="1"/>
        <v>0.15263873504688491</v>
      </c>
      <c r="E65" s="365">
        <f t="shared" si="2"/>
        <v>1.0000010344013954</v>
      </c>
      <c r="F65" s="366">
        <f t="shared" si="3"/>
        <v>1.4383327179750302E-3</v>
      </c>
      <c r="G65" s="365">
        <f t="shared" si="4"/>
        <v>1</v>
      </c>
      <c r="H65" s="366">
        <f t="shared" si="5"/>
        <v>0</v>
      </c>
      <c r="I65" s="364">
        <f t="shared" si="6"/>
        <v>40.830005450518009</v>
      </c>
      <c r="J65" s="367">
        <f t="shared" si="7"/>
        <v>1.5463020855963816</v>
      </c>
      <c r="K65" s="375">
        <f t="shared" si="8"/>
        <v>1.0003045002032678</v>
      </c>
      <c r="L65" s="376">
        <f t="shared" si="9"/>
        <v>2.4674803195219846E-2</v>
      </c>
      <c r="M65" s="364">
        <f t="shared" si="10"/>
        <v>1.0000000519558923</v>
      </c>
      <c r="N65" s="367">
        <f t="shared" si="11"/>
        <v>3.2235350168745649E-4</v>
      </c>
      <c r="O65" s="368">
        <f t="shared" si="12"/>
        <v>1.0000032495427631</v>
      </c>
      <c r="P65" s="369">
        <f t="shared" si="13"/>
        <v>2.967118332490424E-3</v>
      </c>
      <c r="Q65" s="370">
        <f t="shared" si="14"/>
        <v>57.700993726183597</v>
      </c>
      <c r="R65" s="371">
        <f t="shared" si="15"/>
        <v>-96.034439150335061</v>
      </c>
      <c r="S65" s="393">
        <f t="shared" si="16"/>
        <v>83.965560849664939</v>
      </c>
      <c r="U65" s="346">
        <f t="shared" si="23"/>
        <v>1000000000</v>
      </c>
      <c r="V65" s="346">
        <f t="shared" si="24"/>
        <v>14455.252900000001</v>
      </c>
      <c r="X65" s="372">
        <f t="shared" si="17"/>
        <v>55.879729575713164</v>
      </c>
      <c r="Y65" s="373">
        <f t="shared" si="18"/>
        <v>-87.20129086834757</v>
      </c>
      <c r="AA65" s="372">
        <f t="shared" si="19"/>
        <v>53.30188950502481</v>
      </c>
      <c r="AB65" s="373">
        <f t="shared" si="20"/>
        <v>-8.8331482819874978</v>
      </c>
      <c r="AD65">
        <f t="shared" si="25"/>
        <v>0</v>
      </c>
      <c r="AE65">
        <f t="shared" si="26"/>
        <v>0</v>
      </c>
    </row>
    <row r="66" spans="1:31" x14ac:dyDescent="0.2">
      <c r="A66" s="374">
        <v>131.83000000000001</v>
      </c>
      <c r="B66" s="391">
        <f t="shared" si="22"/>
        <v>0.13183</v>
      </c>
      <c r="C66" s="364">
        <f t="shared" si="0"/>
        <v>1.0141262917717446</v>
      </c>
      <c r="D66" s="365">
        <f t="shared" si="1"/>
        <v>0.16710462929426911</v>
      </c>
      <c r="E66" s="365">
        <f t="shared" si="2"/>
        <v>1.0000012436319252</v>
      </c>
      <c r="F66" s="366">
        <f t="shared" si="3"/>
        <v>1.5771053461015121E-3</v>
      </c>
      <c r="G66" s="365">
        <f t="shared" si="4"/>
        <v>1</v>
      </c>
      <c r="H66" s="366">
        <f t="shared" si="5"/>
        <v>0</v>
      </c>
      <c r="I66" s="364">
        <f t="shared" si="6"/>
        <v>44.767096451733423</v>
      </c>
      <c r="J66" s="367">
        <f t="shared" si="7"/>
        <v>1.5484566340051176</v>
      </c>
      <c r="K66" s="375">
        <f t="shared" si="8"/>
        <v>1.0003660808633428</v>
      </c>
      <c r="L66" s="376">
        <f t="shared" si="9"/>
        <v>2.7054360790339335E-2</v>
      </c>
      <c r="M66" s="364">
        <f t="shared" si="10"/>
        <v>1.0000000624651253</v>
      </c>
      <c r="N66" s="367">
        <f t="shared" si="11"/>
        <v>3.5345472702091657E-4</v>
      </c>
      <c r="O66" s="368">
        <f t="shared" si="12"/>
        <v>1.000003906833848</v>
      </c>
      <c r="P66" s="369">
        <f t="shared" si="13"/>
        <v>3.2533899090269802E-3</v>
      </c>
      <c r="Q66" s="370">
        <f t="shared" si="14"/>
        <v>56.881673642868769</v>
      </c>
      <c r="R66" s="371">
        <f t="shared" si="15"/>
        <v>-96.860614797981157</v>
      </c>
      <c r="S66" s="393">
        <f t="shared" si="16"/>
        <v>83.139385202018843</v>
      </c>
      <c r="U66" s="346">
        <f t="shared" si="23"/>
        <v>1000000000</v>
      </c>
      <c r="V66" s="346">
        <f t="shared" si="24"/>
        <v>17379.148900000004</v>
      </c>
      <c r="X66" s="372">
        <f t="shared" si="17"/>
        <v>55.080674397947703</v>
      </c>
      <c r="Y66" s="373">
        <f t="shared" si="18"/>
        <v>-87.190180760552721</v>
      </c>
      <c r="AA66" s="372">
        <f t="shared" si="19"/>
        <v>53.28162459947545</v>
      </c>
      <c r="AB66" s="373">
        <f t="shared" si="20"/>
        <v>-9.6704340374284445</v>
      </c>
      <c r="AD66">
        <f t="shared" si="25"/>
        <v>0</v>
      </c>
      <c r="AE66">
        <f t="shared" si="26"/>
        <v>0</v>
      </c>
    </row>
    <row r="67" spans="1:31" x14ac:dyDescent="0.2">
      <c r="A67" s="374">
        <v>144.54</v>
      </c>
      <c r="B67" s="391">
        <f t="shared" si="22"/>
        <v>0.14454</v>
      </c>
      <c r="C67" s="364">
        <f t="shared" si="0"/>
        <v>1.0169576507986176</v>
      </c>
      <c r="D67" s="365">
        <f t="shared" si="1"/>
        <v>0.18287390779220888</v>
      </c>
      <c r="E67" s="365">
        <f t="shared" si="2"/>
        <v>1.0000014949938438</v>
      </c>
      <c r="F67" s="366">
        <f t="shared" si="3"/>
        <v>1.7291570092248783E-3</v>
      </c>
      <c r="G67" s="365">
        <f t="shared" si="4"/>
        <v>1</v>
      </c>
      <c r="H67" s="366">
        <f t="shared" si="5"/>
        <v>0</v>
      </c>
      <c r="I67" s="364">
        <f t="shared" si="6"/>
        <v>49.081124815460946</v>
      </c>
      <c r="J67" s="367">
        <f t="shared" si="7"/>
        <v>1.5504204857169153</v>
      </c>
      <c r="K67" s="375">
        <f t="shared" si="8"/>
        <v>1.0004400566245695</v>
      </c>
      <c r="L67" s="376">
        <f t="shared" si="9"/>
        <v>2.9661264648834409E-2</v>
      </c>
      <c r="M67" s="364">
        <f t="shared" si="10"/>
        <v>1.0000000750905369</v>
      </c>
      <c r="N67" s="367">
        <f t="shared" si="11"/>
        <v>3.8753201709471058E-4</v>
      </c>
      <c r="O67" s="368">
        <f t="shared" si="12"/>
        <v>1.0000046964790394</v>
      </c>
      <c r="P67" s="369">
        <f t="shared" si="13"/>
        <v>3.5670543411522771E-3</v>
      </c>
      <c r="Q67" s="370">
        <f t="shared" si="14"/>
        <v>56.058983034546301</v>
      </c>
      <c r="R67" s="371">
        <f t="shared" si="15"/>
        <v>-97.738495943347743</v>
      </c>
      <c r="S67" s="393">
        <f t="shared" si="16"/>
        <v>82.261504056652257</v>
      </c>
      <c r="U67" s="346">
        <f t="shared" si="23"/>
        <v>1000000000</v>
      </c>
      <c r="V67" s="346">
        <f t="shared" si="24"/>
        <v>20891.811599999997</v>
      </c>
      <c r="X67" s="372">
        <f t="shared" si="17"/>
        <v>54.282204980641559</v>
      </c>
      <c r="Y67" s="373">
        <f t="shared" si="18"/>
        <v>-87.155289071398727</v>
      </c>
      <c r="AA67" s="372">
        <f t="shared" si="19"/>
        <v>53.257403408459126</v>
      </c>
      <c r="AB67" s="373">
        <f t="shared" si="20"/>
        <v>-10.583206871949018</v>
      </c>
      <c r="AD67">
        <f t="shared" si="25"/>
        <v>0</v>
      </c>
      <c r="AE67">
        <f t="shared" si="26"/>
        <v>0</v>
      </c>
    </row>
    <row r="68" spans="1:31" x14ac:dyDescent="0.2">
      <c r="A68" s="374">
        <v>158.49</v>
      </c>
      <c r="B68" s="391">
        <f t="shared" si="22"/>
        <v>0.15849000000000002</v>
      </c>
      <c r="C68" s="364">
        <f t="shared" si="0"/>
        <v>1.020354596493676</v>
      </c>
      <c r="D68" s="365">
        <f t="shared" si="1"/>
        <v>0.20007614044916516</v>
      </c>
      <c r="E68" s="365">
        <f t="shared" si="2"/>
        <v>1.0000017974920101</v>
      </c>
      <c r="F68" s="366">
        <f t="shared" si="3"/>
        <v>1.8960428886459289E-3</v>
      </c>
      <c r="G68" s="365">
        <f t="shared" si="4"/>
        <v>1</v>
      </c>
      <c r="H68" s="366">
        <f t="shared" si="5"/>
        <v>0</v>
      </c>
      <c r="I68" s="364">
        <f t="shared" si="6"/>
        <v>53.816215250795466</v>
      </c>
      <c r="J68" s="367">
        <f t="shared" si="7"/>
        <v>1.5522134972285524</v>
      </c>
      <c r="K68" s="375">
        <f t="shared" si="8"/>
        <v>1.0005290745459947</v>
      </c>
      <c r="L68" s="376">
        <f t="shared" si="9"/>
        <v>3.2522035136132922E-2</v>
      </c>
      <c r="M68" s="364">
        <f t="shared" si="10"/>
        <v>1.0000000902844248</v>
      </c>
      <c r="N68" s="367">
        <f t="shared" si="11"/>
        <v>4.2493391979522746E-4</v>
      </c>
      <c r="O68" s="368">
        <f t="shared" si="12"/>
        <v>1.0000056467666105</v>
      </c>
      <c r="P68" s="369">
        <f t="shared" si="13"/>
        <v>3.911319689204878E-3</v>
      </c>
      <c r="Q68" s="370">
        <f t="shared" si="14"/>
        <v>55.230812063107926</v>
      </c>
      <c r="R68" s="371">
        <f t="shared" si="15"/>
        <v>-98.675239257116587</v>
      </c>
      <c r="S68" s="393">
        <f t="shared" si="16"/>
        <v>81.324760742883413</v>
      </c>
      <c r="U68" s="346">
        <f t="shared" si="23"/>
        <v>1000000000</v>
      </c>
      <c r="V68" s="346">
        <f t="shared" si="24"/>
        <v>25119.080100000003</v>
      </c>
      <c r="X68" s="372">
        <f t="shared" si="17"/>
        <v>53.483004781214333</v>
      </c>
      <c r="Y68" s="373">
        <f t="shared" si="18"/>
        <v>-87.096253959659165</v>
      </c>
      <c r="AA68" s="372">
        <f t="shared" si="19"/>
        <v>53.228432636447977</v>
      </c>
      <c r="AB68" s="373">
        <f t="shared" si="20"/>
        <v>-11.578985297457434</v>
      </c>
      <c r="AD68">
        <f t="shared" si="25"/>
        <v>0</v>
      </c>
      <c r="AE68">
        <f t="shared" si="26"/>
        <v>0</v>
      </c>
    </row>
    <row r="69" spans="1:31" x14ac:dyDescent="0.2">
      <c r="A69" s="374">
        <v>173.78</v>
      </c>
      <c r="B69" s="391">
        <f t="shared" si="22"/>
        <v>0.17377999999999999</v>
      </c>
      <c r="C69" s="364">
        <f t="shared" si="0"/>
        <v>1.0244222043205078</v>
      </c>
      <c r="D69" s="365">
        <f t="shared" si="1"/>
        <v>0.21879355758597779</v>
      </c>
      <c r="E69" s="365">
        <f t="shared" si="2"/>
        <v>1.000002161039697</v>
      </c>
      <c r="F69" s="366">
        <f t="shared" si="3"/>
        <v>2.0789592613482239E-3</v>
      </c>
      <c r="G69" s="365">
        <f t="shared" si="4"/>
        <v>1</v>
      </c>
      <c r="H69" s="366">
        <f t="shared" si="5"/>
        <v>0</v>
      </c>
      <c r="I69" s="364">
        <f t="shared" si="6"/>
        <v>59.006311225529018</v>
      </c>
      <c r="J69" s="367">
        <f t="shared" si="7"/>
        <v>1.5538481757558327</v>
      </c>
      <c r="K69" s="375">
        <f t="shared" si="8"/>
        <v>1.0006360474280096</v>
      </c>
      <c r="L69" s="376">
        <f t="shared" si="9"/>
        <v>3.565699035571733E-2</v>
      </c>
      <c r="M69" s="364">
        <f t="shared" si="10"/>
        <v>1.0000001085447161</v>
      </c>
      <c r="N69" s="367">
        <f t="shared" si="11"/>
        <v>4.6592854869745949E-4</v>
      </c>
      <c r="O69" s="368">
        <f t="shared" si="12"/>
        <v>1.0000067888384823</v>
      </c>
      <c r="P69" s="369">
        <f t="shared" si="13"/>
        <v>4.2886536048743823E-3</v>
      </c>
      <c r="Q69" s="370">
        <f t="shared" si="14"/>
        <v>54.397470319050989</v>
      </c>
      <c r="R69" s="371">
        <f t="shared" si="15"/>
        <v>-99.675196864907662</v>
      </c>
      <c r="S69" s="393">
        <f t="shared" si="16"/>
        <v>80.324803135092338</v>
      </c>
      <c r="U69" s="346">
        <f t="shared" si="23"/>
        <v>1000000000</v>
      </c>
      <c r="V69" s="346">
        <f t="shared" si="24"/>
        <v>30199.488400000002</v>
      </c>
      <c r="X69" s="372">
        <f t="shared" si="17"/>
        <v>52.684226959026113</v>
      </c>
      <c r="Y69" s="373">
        <f t="shared" si="18"/>
        <v>-87.012643256211547</v>
      </c>
      <c r="AA69" s="372">
        <f t="shared" si="19"/>
        <v>53.193868714579253</v>
      </c>
      <c r="AB69" s="373">
        <f t="shared" si="20"/>
        <v>-12.66255360869612</v>
      </c>
      <c r="AD69">
        <f t="shared" si="25"/>
        <v>0</v>
      </c>
      <c r="AE69">
        <f t="shared" si="26"/>
        <v>0</v>
      </c>
    </row>
    <row r="70" spans="1:31" x14ac:dyDescent="0.2">
      <c r="A70" s="374">
        <v>190.55</v>
      </c>
      <c r="B70" s="391">
        <f t="shared" si="22"/>
        <v>0.19055000000000002</v>
      </c>
      <c r="C70" s="364">
        <f t="shared" si="0"/>
        <v>1.0292927116995727</v>
      </c>
      <c r="D70" s="365">
        <f t="shared" si="1"/>
        <v>0.23914467894044511</v>
      </c>
      <c r="E70" s="365">
        <f t="shared" si="2"/>
        <v>1.0000025982502048</v>
      </c>
      <c r="F70" s="366">
        <f t="shared" si="3"/>
        <v>2.2795809171601128E-3</v>
      </c>
      <c r="G70" s="365">
        <f t="shared" si="4"/>
        <v>1</v>
      </c>
      <c r="H70" s="366">
        <f t="shared" si="5"/>
        <v>0</v>
      </c>
      <c r="I70" s="364">
        <f t="shared" si="6"/>
        <v>64.698934861038936</v>
      </c>
      <c r="J70" s="367">
        <f t="shared" si="7"/>
        <v>1.5553395063365549</v>
      </c>
      <c r="K70" s="375">
        <f t="shared" si="8"/>
        <v>1.0007646802945089</v>
      </c>
      <c r="L70" s="376">
        <f t="shared" si="9"/>
        <v>3.9094586129034249E-2</v>
      </c>
      <c r="M70" s="364">
        <f t="shared" si="10"/>
        <v>1.0000001305049555</v>
      </c>
      <c r="N70" s="367">
        <f t="shared" si="11"/>
        <v>5.1089126282948753E-4</v>
      </c>
      <c r="O70" s="368">
        <f t="shared" si="12"/>
        <v>1.0000081623184744</v>
      </c>
      <c r="P70" s="369">
        <f t="shared" si="13"/>
        <v>4.7025108114637955E-3</v>
      </c>
      <c r="Q70" s="370">
        <f t="shared" si="14"/>
        <v>53.557406910778404</v>
      </c>
      <c r="R70" s="371">
        <f t="shared" si="15"/>
        <v>-100.74451111760712</v>
      </c>
      <c r="S70" s="393">
        <f t="shared" si="16"/>
        <v>79.255488882392882</v>
      </c>
      <c r="U70" s="346">
        <f t="shared" si="23"/>
        <v>1000000000</v>
      </c>
      <c r="V70" s="346">
        <f t="shared" si="24"/>
        <v>36309.302500000005</v>
      </c>
      <c r="X70" s="372">
        <f t="shared" si="17"/>
        <v>51.885369970614839</v>
      </c>
      <c r="Y70" s="373">
        <f t="shared" si="18"/>
        <v>-86.903706648493412</v>
      </c>
      <c r="AA70" s="372">
        <f t="shared" si="19"/>
        <v>53.152662294717942</v>
      </c>
      <c r="AB70" s="373">
        <f t="shared" si="20"/>
        <v>-13.84080446911371</v>
      </c>
      <c r="AD70">
        <f t="shared" si="25"/>
        <v>0</v>
      </c>
      <c r="AE70">
        <f t="shared" si="26"/>
        <v>0</v>
      </c>
    </row>
    <row r="71" spans="1:31" x14ac:dyDescent="0.2">
      <c r="A71" s="374">
        <v>208.93</v>
      </c>
      <c r="B71" s="391">
        <f t="shared" si="22"/>
        <v>0.20893</v>
      </c>
      <c r="C71" s="364">
        <f t="shared" si="0"/>
        <v>1.0351155044956781</v>
      </c>
      <c r="D71" s="365">
        <f t="shared" si="1"/>
        <v>0.26121945219109255</v>
      </c>
      <c r="E71" s="365">
        <f t="shared" si="2"/>
        <v>1.0000031236657694</v>
      </c>
      <c r="F71" s="366">
        <f t="shared" si="3"/>
        <v>2.4994629976132204E-3</v>
      </c>
      <c r="G71" s="365">
        <f t="shared" si="4"/>
        <v>1</v>
      </c>
      <c r="H71" s="366">
        <f t="shared" si="5"/>
        <v>0</v>
      </c>
      <c r="I71" s="364">
        <f t="shared" si="6"/>
        <v>70.938215001377358</v>
      </c>
      <c r="J71" s="367">
        <f t="shared" si="7"/>
        <v>1.5566990856564895</v>
      </c>
      <c r="K71" s="375">
        <f t="shared" si="8"/>
        <v>1.0009192424095181</v>
      </c>
      <c r="L71" s="376">
        <f t="shared" si="9"/>
        <v>4.2861142991537628E-2</v>
      </c>
      <c r="M71" s="364">
        <f t="shared" si="10"/>
        <v>1.0000001568955765</v>
      </c>
      <c r="N71" s="367">
        <f t="shared" si="11"/>
        <v>5.6017060963001555E-4</v>
      </c>
      <c r="O71" s="368">
        <f t="shared" si="12"/>
        <v>1.0000098128898722</v>
      </c>
      <c r="P71" s="369">
        <f t="shared" si="13"/>
        <v>5.1560991572923379E-3</v>
      </c>
      <c r="Q71" s="370">
        <f t="shared" si="14"/>
        <v>52.710077460173572</v>
      </c>
      <c r="R71" s="371">
        <f t="shared" si="15"/>
        <v>-101.88760668655232</v>
      </c>
      <c r="S71" s="373">
        <f t="shared" si="16"/>
        <v>78.112393313447683</v>
      </c>
      <c r="U71" s="346">
        <f t="shared" si="23"/>
        <v>1000000000</v>
      </c>
      <c r="V71" s="346">
        <f t="shared" si="24"/>
        <v>43651.744900000005</v>
      </c>
      <c r="X71" s="372">
        <f t="shared" si="17"/>
        <v>51.08704861533414</v>
      </c>
      <c r="Y71" s="373">
        <f t="shared" si="18"/>
        <v>-86.768620492355922</v>
      </c>
      <c r="AA71" s="372">
        <f t="shared" si="19"/>
        <v>53.103654199393802</v>
      </c>
      <c r="AB71" s="373">
        <f t="shared" si="20"/>
        <v>-15.118986194196403</v>
      </c>
      <c r="AD71">
        <f t="shared" si="25"/>
        <v>0</v>
      </c>
      <c r="AE71">
        <f t="shared" si="26"/>
        <v>0</v>
      </c>
    </row>
    <row r="72" spans="1:31" x14ac:dyDescent="0.2">
      <c r="A72" s="374">
        <v>229.09</v>
      </c>
      <c r="B72" s="391">
        <f t="shared" si="22"/>
        <v>0.22909000000000002</v>
      </c>
      <c r="C72" s="364">
        <f t="shared" si="0"/>
        <v>1.0420752674928044</v>
      </c>
      <c r="D72" s="365">
        <f t="shared" si="1"/>
        <v>0.28513537870614369</v>
      </c>
      <c r="E72" s="365">
        <f t="shared" si="2"/>
        <v>1.0000037555632195</v>
      </c>
      <c r="F72" s="366">
        <f t="shared" si="3"/>
        <v>2.7406391466362826E-3</v>
      </c>
      <c r="G72" s="365">
        <f t="shared" si="4"/>
        <v>1</v>
      </c>
      <c r="H72" s="366">
        <f t="shared" si="5"/>
        <v>0</v>
      </c>
      <c r="I72" s="364">
        <f t="shared" si="6"/>
        <v>77.781859885504986</v>
      </c>
      <c r="J72" s="367">
        <f t="shared" si="7"/>
        <v>1.5579395045017563</v>
      </c>
      <c r="K72" s="375">
        <f t="shared" si="8"/>
        <v>1.0011050969263526</v>
      </c>
      <c r="L72" s="376">
        <f t="shared" si="9"/>
        <v>4.6991066933828124E-2</v>
      </c>
      <c r="M72" s="364">
        <f t="shared" si="10"/>
        <v>1.0000001886345968</v>
      </c>
      <c r="N72" s="367">
        <f t="shared" si="11"/>
        <v>6.1422238187322324E-4</v>
      </c>
      <c r="O72" s="368">
        <f t="shared" si="12"/>
        <v>1.0000117979677308</v>
      </c>
      <c r="P72" s="369">
        <f t="shared" si="13"/>
        <v>5.6536135065951903E-3</v>
      </c>
      <c r="Q72" s="370">
        <f t="shared" si="14"/>
        <v>51.85351126763539</v>
      </c>
      <c r="R72" s="371">
        <f t="shared" si="15"/>
        <v>-103.11011592889443</v>
      </c>
      <c r="S72" s="373">
        <f t="shared" si="16"/>
        <v>76.88988407110557</v>
      </c>
      <c r="U72" s="346">
        <f t="shared" si="23"/>
        <v>1000000000</v>
      </c>
      <c r="V72" s="346">
        <f t="shared" si="24"/>
        <v>52482.2281</v>
      </c>
      <c r="X72" s="372">
        <f t="shared" si="17"/>
        <v>50.28869967213943</v>
      </c>
      <c r="Y72" s="373">
        <f t="shared" si="18"/>
        <v>-86.606160983654021</v>
      </c>
      <c r="AA72" s="372">
        <f t="shared" si="19"/>
        <v>53.045436950050338</v>
      </c>
      <c r="AB72" s="373">
        <f t="shared" si="20"/>
        <v>-16.503954945240423</v>
      </c>
      <c r="AD72">
        <f t="shared" si="25"/>
        <v>0</v>
      </c>
      <c r="AE72">
        <f t="shared" si="26"/>
        <v>0</v>
      </c>
    </row>
    <row r="73" spans="1:31" x14ac:dyDescent="0.2">
      <c r="A73" s="374">
        <v>251.19</v>
      </c>
      <c r="B73" s="391">
        <f t="shared" si="22"/>
        <v>0.25119000000000002</v>
      </c>
      <c r="C73" s="364">
        <f t="shared" si="0"/>
        <v>1.0503798345108286</v>
      </c>
      <c r="D73" s="365">
        <f t="shared" si="1"/>
        <v>0.31097215424292501</v>
      </c>
      <c r="E73" s="365">
        <f t="shared" si="2"/>
        <v>1.0000045150996477</v>
      </c>
      <c r="F73" s="366">
        <f t="shared" si="3"/>
        <v>3.0050233474067851E-3</v>
      </c>
      <c r="G73" s="365">
        <f t="shared" si="4"/>
        <v>1</v>
      </c>
      <c r="H73" s="366">
        <f t="shared" si="5"/>
        <v>0</v>
      </c>
      <c r="I73" s="364">
        <f t="shared" si="6"/>
        <v>85.284184179872597</v>
      </c>
      <c r="J73" s="367">
        <f t="shared" si="7"/>
        <v>1.5590705545944998</v>
      </c>
      <c r="K73" s="375">
        <f t="shared" si="8"/>
        <v>1.0013284472923523</v>
      </c>
      <c r="L73" s="376">
        <f t="shared" si="9"/>
        <v>5.1516566540349841E-2</v>
      </c>
      <c r="M73" s="364">
        <f t="shared" si="10"/>
        <v>1.0000002267847083</v>
      </c>
      <c r="N73" s="367">
        <f t="shared" si="11"/>
        <v>6.7347556060370884E-4</v>
      </c>
      <c r="O73" s="368">
        <f t="shared" si="12"/>
        <v>1.0000141840148868</v>
      </c>
      <c r="P73" s="369">
        <f t="shared" si="13"/>
        <v>6.1990017822289535E-3</v>
      </c>
      <c r="Q73" s="370">
        <f t="shared" si="14"/>
        <v>50.98668519308363</v>
      </c>
      <c r="R73" s="371">
        <f t="shared" si="15"/>
        <v>-104.41546179854033</v>
      </c>
      <c r="S73" s="373">
        <f t="shared" si="16"/>
        <v>75.584538201459665</v>
      </c>
      <c r="U73" s="346">
        <f t="shared" si="23"/>
        <v>1000000000</v>
      </c>
      <c r="V73" s="346">
        <f t="shared" si="24"/>
        <v>63096.416100000002</v>
      </c>
      <c r="X73" s="372">
        <f t="shared" si="17"/>
        <v>49.490833463732393</v>
      </c>
      <c r="Y73" s="373">
        <f t="shared" si="18"/>
        <v>-86.415068309589927</v>
      </c>
      <c r="AA73" s="372">
        <f t="shared" si="19"/>
        <v>52.976477083905621</v>
      </c>
      <c r="AB73" s="373">
        <f t="shared" si="20"/>
        <v>-18.000393488950415</v>
      </c>
      <c r="AD73">
        <f t="shared" si="25"/>
        <v>0</v>
      </c>
      <c r="AE73">
        <f t="shared" si="26"/>
        <v>0</v>
      </c>
    </row>
    <row r="74" spans="1:31" x14ac:dyDescent="0.2">
      <c r="A74" s="374">
        <v>275.42</v>
      </c>
      <c r="B74" s="391">
        <f t="shared" si="22"/>
        <v>0.27542</v>
      </c>
      <c r="C74" s="364">
        <f t="shared" si="0"/>
        <v>1.0602770095747542</v>
      </c>
      <c r="D74" s="365">
        <f t="shared" si="1"/>
        <v>0.33881329234861102</v>
      </c>
      <c r="E74" s="365">
        <f t="shared" si="2"/>
        <v>1.000005428169461</v>
      </c>
      <c r="F74" s="366">
        <f t="shared" si="3"/>
        <v>3.294888437227667E-3</v>
      </c>
      <c r="G74" s="365">
        <f t="shared" si="4"/>
        <v>1</v>
      </c>
      <c r="H74" s="366">
        <f t="shared" si="5"/>
        <v>0</v>
      </c>
      <c r="I74" s="364">
        <f t="shared" si="6"/>
        <v>93.509687461699684</v>
      </c>
      <c r="J74" s="367">
        <f t="shared" si="7"/>
        <v>1.5601020437887061</v>
      </c>
      <c r="K74" s="375">
        <f t="shared" si="8"/>
        <v>1.0015968802041006</v>
      </c>
      <c r="L74" s="376">
        <f t="shared" si="9"/>
        <v>5.6475801433859774E-2</v>
      </c>
      <c r="M74" s="364">
        <f t="shared" si="10"/>
        <v>1.0000002726465542</v>
      </c>
      <c r="N74" s="367">
        <f t="shared" si="11"/>
        <v>7.3843956061244614E-4</v>
      </c>
      <c r="O74" s="368">
        <f t="shared" si="12"/>
        <v>1.0000170523755989</v>
      </c>
      <c r="P74" s="369">
        <f t="shared" si="13"/>
        <v>6.7969520481214974E-3</v>
      </c>
      <c r="Q74" s="370">
        <f t="shared" si="14"/>
        <v>50.107774482418854</v>
      </c>
      <c r="R74" s="371">
        <f t="shared" si="15"/>
        <v>-105.80697240219652</v>
      </c>
      <c r="S74" s="373">
        <f t="shared" si="16"/>
        <v>74.193027597803479</v>
      </c>
      <c r="U74" s="346">
        <f t="shared" si="23"/>
        <v>1000000000</v>
      </c>
      <c r="V74" s="346">
        <f t="shared" si="24"/>
        <v>75856.176400000011</v>
      </c>
      <c r="X74" s="372">
        <f t="shared" si="17"/>
        <v>48.693399117542512</v>
      </c>
      <c r="Y74" s="373">
        <f t="shared" si="18"/>
        <v>-86.19374722078706</v>
      </c>
      <c r="AA74" s="372">
        <f t="shared" si="19"/>
        <v>52.895000719430712</v>
      </c>
      <c r="AB74" s="373">
        <f t="shared" si="20"/>
        <v>-19.613225181409454</v>
      </c>
      <c r="AD74">
        <f t="shared" si="25"/>
        <v>0</v>
      </c>
      <c r="AE74">
        <f t="shared" si="26"/>
        <v>0</v>
      </c>
    </row>
    <row r="75" spans="1:31" x14ac:dyDescent="0.2">
      <c r="A75" s="374">
        <v>302</v>
      </c>
      <c r="B75" s="391">
        <f t="shared" si="22"/>
        <v>0.30199999999999999</v>
      </c>
      <c r="C75" s="364">
        <f t="shared" si="0"/>
        <v>1.0720605881225358</v>
      </c>
      <c r="D75" s="365">
        <f t="shared" si="1"/>
        <v>0.36873761321083331</v>
      </c>
      <c r="E75" s="365">
        <f t="shared" si="2"/>
        <v>1.0000065264362001</v>
      </c>
      <c r="F75" s="366">
        <f t="shared" si="3"/>
        <v>3.6128660935591142E-3</v>
      </c>
      <c r="G75" s="365">
        <f t="shared" si="4"/>
        <v>1</v>
      </c>
      <c r="H75" s="366">
        <f t="shared" si="5"/>
        <v>0</v>
      </c>
      <c r="I75" s="364">
        <f t="shared" si="6"/>
        <v>102.53305450702088</v>
      </c>
      <c r="J75" s="367">
        <f t="shared" si="7"/>
        <v>1.5610432197716693</v>
      </c>
      <c r="K75" s="375">
        <f t="shared" si="8"/>
        <v>1.0019196641085901</v>
      </c>
      <c r="L75" s="376">
        <f t="shared" si="9"/>
        <v>6.1912812978895809E-2</v>
      </c>
      <c r="M75" s="364">
        <f t="shared" si="10"/>
        <v>1.0000003278105598</v>
      </c>
      <c r="N75" s="367">
        <f t="shared" si="11"/>
        <v>8.0970423027953726E-4</v>
      </c>
      <c r="O75" s="368">
        <f t="shared" si="12"/>
        <v>1.0000205025166369</v>
      </c>
      <c r="P75" s="369">
        <f t="shared" si="13"/>
        <v>7.4528924348105322E-3</v>
      </c>
      <c r="Q75" s="370">
        <f t="shared" si="14"/>
        <v>49.21440680252757</v>
      </c>
      <c r="R75" s="371">
        <f t="shared" si="15"/>
        <v>-107.28736429387965</v>
      </c>
      <c r="S75" s="373">
        <f t="shared" si="16"/>
        <v>72.712635706120352</v>
      </c>
      <c r="U75" s="346">
        <f t="shared" si="23"/>
        <v>1000000000</v>
      </c>
      <c r="V75" s="346">
        <f t="shared" si="24"/>
        <v>91204</v>
      </c>
      <c r="X75" s="372">
        <f t="shared" si="17"/>
        <v>47.896051583889687</v>
      </c>
      <c r="Y75" s="373">
        <f t="shared" si="18"/>
        <v>-85.940237982206099</v>
      </c>
      <c r="AA75" s="372">
        <f t="shared" si="19"/>
        <v>52.798980573192267</v>
      </c>
      <c r="AB75" s="373">
        <f t="shared" si="20"/>
        <v>-21.347126311673552</v>
      </c>
      <c r="AD75">
        <f t="shared" si="25"/>
        <v>0</v>
      </c>
      <c r="AE75">
        <f t="shared" si="26"/>
        <v>0</v>
      </c>
    </row>
    <row r="76" spans="1:31" x14ac:dyDescent="0.2">
      <c r="A76" s="374">
        <v>331.13</v>
      </c>
      <c r="B76" s="391">
        <f t="shared" si="22"/>
        <v>0.33112999999999998</v>
      </c>
      <c r="C76" s="364">
        <f t="shared" si="0"/>
        <v>1.0860514912046701</v>
      </c>
      <c r="D76" s="365">
        <f t="shared" si="1"/>
        <v>0.40075516529705674</v>
      </c>
      <c r="E76" s="365">
        <f t="shared" si="2"/>
        <v>1.0000078461929269</v>
      </c>
      <c r="F76" s="366">
        <f t="shared" si="3"/>
        <v>3.9613486655341555E-3</v>
      </c>
      <c r="G76" s="365">
        <f t="shared" si="4"/>
        <v>1</v>
      </c>
      <c r="H76" s="366">
        <f t="shared" si="5"/>
        <v>0</v>
      </c>
      <c r="I76" s="364">
        <f t="shared" si="6"/>
        <v>112.42218122789565</v>
      </c>
      <c r="J76" s="367">
        <f t="shared" si="7"/>
        <v>1.5619011677034378</v>
      </c>
      <c r="K76" s="375">
        <f t="shared" si="8"/>
        <v>1.0023074075475289</v>
      </c>
      <c r="L76" s="376">
        <f t="shared" si="9"/>
        <v>6.7867215816083071E-2</v>
      </c>
      <c r="M76" s="364">
        <f t="shared" si="10"/>
        <v>1.0000003940996938</v>
      </c>
      <c r="N76" s="367">
        <f t="shared" si="11"/>
        <v>8.8780579444907757E-4</v>
      </c>
      <c r="O76" s="368">
        <f t="shared" si="12"/>
        <v>1.000024648446826</v>
      </c>
      <c r="P76" s="369">
        <f t="shared" si="13"/>
        <v>8.1717571537102303E-3</v>
      </c>
      <c r="Q76" s="370">
        <f t="shared" si="14"/>
        <v>48.305358520055634</v>
      </c>
      <c r="R76" s="371">
        <f t="shared" si="15"/>
        <v>-108.85552576781924</v>
      </c>
      <c r="S76" s="373">
        <f t="shared" si="16"/>
        <v>71.144474232180755</v>
      </c>
      <c r="U76" s="346">
        <f t="shared" si="23"/>
        <v>1000000000</v>
      </c>
      <c r="V76" s="346">
        <f t="shared" si="24"/>
        <v>109647.0769</v>
      </c>
      <c r="X76" s="372">
        <f t="shared" si="17"/>
        <v>47.099649564318959</v>
      </c>
      <c r="Y76" s="373">
        <f t="shared" si="18"/>
        <v>-85.652707515318582</v>
      </c>
      <c r="AA76" s="372">
        <f t="shared" si="19"/>
        <v>52.686334310291052</v>
      </c>
      <c r="AB76" s="373">
        <f t="shared" si="20"/>
        <v>-23.202818252500652</v>
      </c>
      <c r="AD76">
        <f t="shared" si="25"/>
        <v>0</v>
      </c>
      <c r="AE76">
        <f t="shared" si="26"/>
        <v>0</v>
      </c>
    </row>
    <row r="77" spans="1:31" x14ac:dyDescent="0.2">
      <c r="A77" s="374">
        <v>363.08</v>
      </c>
      <c r="B77" s="391">
        <f t="shared" si="22"/>
        <v>0.36307999999999996</v>
      </c>
      <c r="C77" s="364">
        <f t="shared" ref="C77:C140" si="27">SQRT(1+(A77/pole1)^2)</f>
        <v>1.1026421305354519</v>
      </c>
      <c r="D77" s="365">
        <f t="shared" ref="D77:D140" si="28">ATAN(A77/pole1)</f>
        <v>0.43489908956898393</v>
      </c>
      <c r="E77" s="365">
        <f t="shared" ref="E77:E140" si="29">SQRT(1+(A77/Zero1)^2)</f>
        <v>1.0000094333561942</v>
      </c>
      <c r="F77" s="366">
        <f t="shared" ref="F77:F140" si="30">ATAN(A77/Zero1)</f>
        <v>4.3435658249900318E-3</v>
      </c>
      <c r="G77" s="365">
        <f t="shared" ref="G77:G140" si="31">IF(VIN_nom&gt;Vout, 1, SQRT(1+(A77/z_RHP)^2))</f>
        <v>1</v>
      </c>
      <c r="H77" s="366">
        <f t="shared" ref="H77:H140" si="32">IF(VIN_nom&gt;Vout, 0, -ATAN(A77/z_RHP))</f>
        <v>0</v>
      </c>
      <c r="I77" s="364">
        <f t="shared" ref="I77:I140" si="33">SQRT(1+(A77/Pole2)^2)</f>
        <v>123.26872789230124</v>
      </c>
      <c r="J77" s="367">
        <f t="shared" ref="J77:J140" si="34">ATAN(A77/Pole2)</f>
        <v>1.5626838802254028</v>
      </c>
      <c r="K77" s="375">
        <f t="shared" ref="K77:K140" si="35">SQRT(1+(A77/Zero2)^2)</f>
        <v>1.0027735169108098</v>
      </c>
      <c r="L77" s="376">
        <f t="shared" ref="L77:L140" si="36">ATAN(A77/Zero2)</f>
        <v>7.4392495801282627E-2</v>
      </c>
      <c r="M77" s="364">
        <f t="shared" ref="M77:M140" si="37">SQRT(1+(A77/pole4)^2)</f>
        <v>1.000000473820313</v>
      </c>
      <c r="N77" s="367">
        <f t="shared" ref="N77:N140" si="38">ATAN(A77/pole4)</f>
        <v>9.7346815666628445E-4</v>
      </c>
      <c r="O77" s="368">
        <f t="shared" ref="O77:O140" si="39">SQRT((1-(V77/pterm2))^2+(A77/pterm1)^2)</f>
        <v>1.0000296344046695</v>
      </c>
      <c r="P77" s="369">
        <f t="shared" ref="P77:P140" si="40">IF((ATAN((A77/pterm1)/(1-A77^2/pterm2))&gt;0),ATAN((A77/pterm1)/(1-A77^2/pterm2)),PI()+ATAN((A77/pterm1)/(1-A77^2/pterm2)))</f>
        <v>8.9602073929622821E-3</v>
      </c>
      <c r="Q77" s="370">
        <f t="shared" ref="Q77:Q140" si="41">20*LOG10(((E77*K77*G77)/(C77*I77*O77*M77))*Adc)</f>
        <v>47.377665163372249</v>
      </c>
      <c r="R77" s="371">
        <f t="shared" ref="R77:R140" si="42">((F77+L77+H77)-(D77+J77+P77+N77))*radconv</f>
        <v>-110.51098718008322</v>
      </c>
      <c r="S77" s="373">
        <f t="shared" ref="S77:S140" si="43">IF(R77&gt;0,R77,R77+180)</f>
        <v>69.48901281991678</v>
      </c>
      <c r="U77" s="346">
        <f t="shared" si="23"/>
        <v>1000000000</v>
      </c>
      <c r="V77" s="346">
        <f t="shared" si="24"/>
        <v>131827.0864</v>
      </c>
      <c r="X77" s="372">
        <f t="shared" ref="X77:X140" si="44">20*LOG10((K77/(I77*M77))*AEA)</f>
        <v>46.303669049122639</v>
      </c>
      <c r="Y77" s="373">
        <f t="shared" ref="Y77:Y140" si="45">(L77-(J77+N77))*radconv</f>
        <v>-85.328590727553902</v>
      </c>
      <c r="AA77" s="372">
        <f t="shared" ref="AA77:AA140" si="46">20*LOG10((E77*G77/(C77*O77))*Acs*Am)</f>
        <v>52.554621468803987</v>
      </c>
      <c r="AB77" s="373">
        <f t="shared" ref="AB77:AB140" si="47">(F77+H77-(D77+P77))*radconv</f>
        <v>-25.182396452529293</v>
      </c>
      <c r="AD77">
        <f t="shared" si="25"/>
        <v>0</v>
      </c>
      <c r="AE77">
        <f t="shared" ref="AE77:AE89" si="48">IF(AD77&gt;0,S75,0)</f>
        <v>0</v>
      </c>
    </row>
    <row r="78" spans="1:31" x14ac:dyDescent="0.2">
      <c r="A78" s="374">
        <v>398.11</v>
      </c>
      <c r="B78" s="391">
        <f t="shared" ref="B78:B141" si="49">A78/1000</f>
        <v>0.39811000000000002</v>
      </c>
      <c r="C78" s="364">
        <f t="shared" si="27"/>
        <v>1.1222625446515868</v>
      </c>
      <c r="D78" s="365">
        <f t="shared" si="28"/>
        <v>0.47112749969907575</v>
      </c>
      <c r="E78" s="365">
        <f t="shared" si="29"/>
        <v>1.000011341417518</v>
      </c>
      <c r="F78" s="366">
        <f t="shared" si="30"/>
        <v>4.7626274952358421E-3</v>
      </c>
      <c r="G78" s="365">
        <f t="shared" si="31"/>
        <v>1</v>
      </c>
      <c r="H78" s="366">
        <f t="shared" si="32"/>
        <v>0</v>
      </c>
      <c r="I78" s="364">
        <f t="shared" si="33"/>
        <v>135.16096063399624</v>
      </c>
      <c r="J78" s="367">
        <f t="shared" si="34"/>
        <v>1.5633976732287092</v>
      </c>
      <c r="K78" s="375">
        <f t="shared" si="35"/>
        <v>1.0033335801938013</v>
      </c>
      <c r="L78" s="376">
        <f t="shared" si="36"/>
        <v>8.1539509811149144E-2</v>
      </c>
      <c r="M78" s="364">
        <f t="shared" si="37"/>
        <v>1.0000005696592769</v>
      </c>
      <c r="N78" s="367">
        <f t="shared" si="38"/>
        <v>1.0673884077586117E-3</v>
      </c>
      <c r="O78" s="368">
        <f t="shared" si="39"/>
        <v>1.0000356284220997</v>
      </c>
      <c r="P78" s="369">
        <f t="shared" si="40"/>
        <v>9.8246569314394978E-3</v>
      </c>
      <c r="Q78" s="370">
        <f t="shared" si="41"/>
        <v>46.429313841750783</v>
      </c>
      <c r="R78" s="371">
        <f t="shared" si="42"/>
        <v>-112.24902584773606</v>
      </c>
      <c r="S78" s="373">
        <f t="shared" si="43"/>
        <v>67.750974152263936</v>
      </c>
      <c r="U78" s="346">
        <f t="shared" ref="U78:U141" si="50">IF(Q78&lt;0,A78,1000000000)</f>
        <v>1000000000</v>
      </c>
      <c r="V78" s="346">
        <f t="shared" ref="V78:V141" si="51">A78^2</f>
        <v>158491.57210000002</v>
      </c>
      <c r="X78" s="372">
        <f t="shared" si="44"/>
        <v>45.508550943175891</v>
      </c>
      <c r="Y78" s="373">
        <f t="shared" si="45"/>
        <v>-84.965375548786483</v>
      </c>
      <c r="AA78" s="372">
        <f t="shared" si="46"/>
        <v>52.401388253129269</v>
      </c>
      <c r="AB78" s="373">
        <f t="shared" si="47"/>
        <v>-27.283650298949578</v>
      </c>
      <c r="AD78">
        <f t="shared" ref="AD78:AD141" si="52">SUM((Q79&lt;0)*(Q78&gt;0))*A78</f>
        <v>0</v>
      </c>
      <c r="AE78">
        <f t="shared" si="48"/>
        <v>0</v>
      </c>
    </row>
    <row r="79" spans="1:31" x14ac:dyDescent="0.2">
      <c r="A79" s="374">
        <v>436.52</v>
      </c>
      <c r="B79" s="391">
        <f t="shared" si="49"/>
        <v>0.43651999999999996</v>
      </c>
      <c r="C79" s="364">
        <f t="shared" si="27"/>
        <v>1.1454068909179038</v>
      </c>
      <c r="D79" s="365">
        <f t="shared" si="28"/>
        <v>0.50936936702187852</v>
      </c>
      <c r="E79" s="365">
        <f t="shared" si="29"/>
        <v>1.0000136354338349</v>
      </c>
      <c r="F79" s="366">
        <f t="shared" si="30"/>
        <v>5.2221219632075959E-3</v>
      </c>
      <c r="G79" s="365">
        <f t="shared" si="31"/>
        <v>1</v>
      </c>
      <c r="H79" s="366">
        <f t="shared" si="32"/>
        <v>0</v>
      </c>
      <c r="I79" s="364">
        <f t="shared" si="33"/>
        <v>148.2007255741334</v>
      </c>
      <c r="J79" s="367">
        <f t="shared" si="34"/>
        <v>1.564048670299665</v>
      </c>
      <c r="K79" s="375">
        <f t="shared" si="35"/>
        <v>1.0040065186424232</v>
      </c>
      <c r="L79" s="376">
        <f t="shared" si="36"/>
        <v>8.9366519358112517E-2</v>
      </c>
      <c r="M79" s="364">
        <f t="shared" si="37"/>
        <v>1.0000006848843921</v>
      </c>
      <c r="N79" s="367">
        <f t="shared" si="38"/>
        <v>1.1703708823267215E-3</v>
      </c>
      <c r="O79" s="368">
        <f t="shared" si="39"/>
        <v>1.0000428348589008</v>
      </c>
      <c r="P79" s="369">
        <f t="shared" si="40"/>
        <v>1.0772505824234248E-2</v>
      </c>
      <c r="Q79" s="370">
        <f t="shared" si="41"/>
        <v>45.457806209869375</v>
      </c>
      <c r="R79" s="371">
        <f t="shared" si="42"/>
        <v>-114.06284932810151</v>
      </c>
      <c r="S79" s="373">
        <f t="shared" si="43"/>
        <v>65.937150671898493</v>
      </c>
      <c r="U79" s="346">
        <f t="shared" si="50"/>
        <v>1000000000</v>
      </c>
      <c r="V79" s="346">
        <f t="shared" si="51"/>
        <v>190549.71039999998</v>
      </c>
      <c r="X79" s="372">
        <f t="shared" si="44"/>
        <v>44.714392436085717</v>
      </c>
      <c r="Y79" s="373">
        <f t="shared" si="45"/>
        <v>-84.560120780871515</v>
      </c>
      <c r="AA79" s="372">
        <f t="shared" si="46"/>
        <v>52.224039128338035</v>
      </c>
      <c r="AB79" s="373">
        <f t="shared" si="47"/>
        <v>-29.502728547229992</v>
      </c>
      <c r="AD79">
        <f t="shared" si="52"/>
        <v>0</v>
      </c>
      <c r="AE79">
        <f t="shared" si="48"/>
        <v>0</v>
      </c>
    </row>
    <row r="80" spans="1:31" x14ac:dyDescent="0.2">
      <c r="A80" s="374">
        <v>478.63</v>
      </c>
      <c r="B80" s="391">
        <f t="shared" si="49"/>
        <v>0.47863</v>
      </c>
      <c r="C80" s="364">
        <f t="shared" si="27"/>
        <v>1.1726241659432344</v>
      </c>
      <c r="D80" s="365">
        <f t="shared" si="28"/>
        <v>0.54949541076382025</v>
      </c>
      <c r="E80" s="365">
        <f t="shared" si="29"/>
        <v>1.0000163930551869</v>
      </c>
      <c r="F80" s="366">
        <f t="shared" si="30"/>
        <v>5.7258765698117824E-3</v>
      </c>
      <c r="G80" s="365">
        <f t="shared" si="31"/>
        <v>1</v>
      </c>
      <c r="H80" s="366">
        <f t="shared" si="32"/>
        <v>0</v>
      </c>
      <c r="I80" s="364">
        <f t="shared" si="33"/>
        <v>162.49665911939766</v>
      </c>
      <c r="J80" s="367">
        <f t="shared" si="34"/>
        <v>1.5646423152759927</v>
      </c>
      <c r="K80" s="375">
        <f t="shared" si="35"/>
        <v>1.0048148589005998</v>
      </c>
      <c r="L80" s="376">
        <f t="shared" si="36"/>
        <v>9.7934864986086181E-2</v>
      </c>
      <c r="M80" s="364">
        <f t="shared" si="37"/>
        <v>1.0000008233960482</v>
      </c>
      <c r="N80" s="367">
        <f t="shared" si="38"/>
        <v>1.2832735354185998E-3</v>
      </c>
      <c r="O80" s="368">
        <f t="shared" si="39"/>
        <v>1.0000514976291666</v>
      </c>
      <c r="P80" s="369">
        <f t="shared" si="40"/>
        <v>1.1811646583128133E-2</v>
      </c>
      <c r="Q80" s="370">
        <f t="shared" si="41"/>
        <v>44.460880939947145</v>
      </c>
      <c r="R80" s="371">
        <f t="shared" si="42"/>
        <v>-115.9421298074539</v>
      </c>
      <c r="S80" s="373">
        <f t="shared" si="43"/>
        <v>64.057870192546105</v>
      </c>
      <c r="U80" s="346">
        <f t="shared" si="50"/>
        <v>1000000000</v>
      </c>
      <c r="V80" s="346">
        <f t="shared" si="51"/>
        <v>229086.67689999999</v>
      </c>
      <c r="X80" s="372">
        <f t="shared" si="44"/>
        <v>43.921499424662869</v>
      </c>
      <c r="Y80" s="373">
        <f t="shared" si="45"/>
        <v>-84.109672935655254</v>
      </c>
      <c r="AA80" s="372">
        <f t="shared" si="46"/>
        <v>52.020006869838653</v>
      </c>
      <c r="AB80" s="373">
        <f t="shared" si="47"/>
        <v>-31.83245687179863</v>
      </c>
      <c r="AD80">
        <f t="shared" si="52"/>
        <v>0</v>
      </c>
      <c r="AE80">
        <f t="shared" si="48"/>
        <v>0</v>
      </c>
    </row>
    <row r="81" spans="1:31" x14ac:dyDescent="0.2">
      <c r="A81" s="374">
        <v>524.80999999999995</v>
      </c>
      <c r="B81" s="391">
        <f t="shared" si="49"/>
        <v>0.52481</v>
      </c>
      <c r="C81" s="364">
        <f t="shared" si="27"/>
        <v>1.204537558587045</v>
      </c>
      <c r="D81" s="365">
        <f t="shared" si="28"/>
        <v>0.59134051707160995</v>
      </c>
      <c r="E81" s="365">
        <f t="shared" si="29"/>
        <v>1.0000197089529106</v>
      </c>
      <c r="F81" s="366">
        <f t="shared" si="30"/>
        <v>6.2783165281235257E-3</v>
      </c>
      <c r="G81" s="365">
        <f t="shared" si="31"/>
        <v>1</v>
      </c>
      <c r="H81" s="366">
        <f t="shared" si="32"/>
        <v>0</v>
      </c>
      <c r="I81" s="364">
        <f t="shared" si="33"/>
        <v>178.17437265748541</v>
      </c>
      <c r="J81" s="367">
        <f t="shared" si="34"/>
        <v>1.5651838179074129</v>
      </c>
      <c r="K81" s="375">
        <f t="shared" si="35"/>
        <v>1.0057859891479806</v>
      </c>
      <c r="L81" s="376">
        <f t="shared" si="36"/>
        <v>0.10731475334059024</v>
      </c>
      <c r="M81" s="364">
        <f t="shared" si="37"/>
        <v>1.0000009899496654</v>
      </c>
      <c r="N81" s="367">
        <f t="shared" si="38"/>
        <v>1.4070883758713724E-3</v>
      </c>
      <c r="O81" s="368">
        <f t="shared" si="39"/>
        <v>1.0000619141092504</v>
      </c>
      <c r="P81" s="369">
        <f t="shared" si="40"/>
        <v>1.2951204126250228E-2</v>
      </c>
      <c r="Q81" s="370">
        <f t="shared" si="41"/>
        <v>43.435962318310416</v>
      </c>
      <c r="R81" s="371">
        <f t="shared" si="42"/>
        <v>-117.8740090222192</v>
      </c>
      <c r="S81" s="373">
        <f t="shared" si="43"/>
        <v>62.125990977780802</v>
      </c>
      <c r="U81" s="346">
        <f t="shared" si="50"/>
        <v>1000000000</v>
      </c>
      <c r="V81" s="346">
        <f t="shared" si="51"/>
        <v>275425.53609999997</v>
      </c>
      <c r="X81" s="372">
        <f t="shared" si="44"/>
        <v>43.129872596844194</v>
      </c>
      <c r="Y81" s="373">
        <f t="shared" si="45"/>
        <v>-83.610364803242362</v>
      </c>
      <c r="AA81" s="372">
        <f t="shared" si="46"/>
        <v>51.786715076020599</v>
      </c>
      <c r="AB81" s="373">
        <f t="shared" si="47"/>
        <v>-34.263644218976829</v>
      </c>
      <c r="AD81">
        <f t="shared" si="52"/>
        <v>0</v>
      </c>
      <c r="AE81">
        <f t="shared" si="48"/>
        <v>0</v>
      </c>
    </row>
    <row r="82" spans="1:31" x14ac:dyDescent="0.2">
      <c r="A82" s="374">
        <v>575.44000000000005</v>
      </c>
      <c r="B82" s="391">
        <f t="shared" si="49"/>
        <v>0.57544000000000006</v>
      </c>
      <c r="C82" s="364">
        <f t="shared" si="27"/>
        <v>1.2418167356824699</v>
      </c>
      <c r="D82" s="365">
        <f t="shared" si="28"/>
        <v>0.63466257830831085</v>
      </c>
      <c r="E82" s="365">
        <f t="shared" si="29"/>
        <v>1.0000236951017221</v>
      </c>
      <c r="F82" s="366">
        <f t="shared" si="30"/>
        <v>6.8839863233386952E-3</v>
      </c>
      <c r="G82" s="365">
        <f t="shared" si="31"/>
        <v>1</v>
      </c>
      <c r="H82" s="366">
        <f t="shared" si="32"/>
        <v>0</v>
      </c>
      <c r="I82" s="364">
        <f t="shared" si="33"/>
        <v>195.36287293060357</v>
      </c>
      <c r="J82" s="367">
        <f t="shared" si="34"/>
        <v>1.5656776245979822</v>
      </c>
      <c r="K82" s="375">
        <f t="shared" si="35"/>
        <v>1.0069521810638224</v>
      </c>
      <c r="L82" s="376">
        <f t="shared" si="36"/>
        <v>0.1175767087628659</v>
      </c>
      <c r="M82" s="364">
        <f t="shared" si="37"/>
        <v>1.0000011901698953</v>
      </c>
      <c r="N82" s="367">
        <f t="shared" si="38"/>
        <v>1.5428342198763594E-3</v>
      </c>
      <c r="O82" s="368">
        <f t="shared" si="39"/>
        <v>1.0000744360198937</v>
      </c>
      <c r="P82" s="369">
        <f t="shared" si="40"/>
        <v>1.4200548241769842E-2</v>
      </c>
      <c r="Q82" s="370">
        <f t="shared" si="41"/>
        <v>42.381272612573795</v>
      </c>
      <c r="R82" s="371">
        <f t="shared" si="42"/>
        <v>-119.84116408303676</v>
      </c>
      <c r="S82" s="373">
        <f t="shared" si="43"/>
        <v>60.158835916963241</v>
      </c>
      <c r="U82" s="346">
        <f t="shared" si="50"/>
        <v>1000000000</v>
      </c>
      <c r="V82" s="346">
        <f t="shared" si="51"/>
        <v>331131.19360000006</v>
      </c>
      <c r="X82" s="372">
        <f t="shared" si="44"/>
        <v>42.340000268958477</v>
      </c>
      <c r="Y82" s="373">
        <f t="shared" si="45"/>
        <v>-83.058468770576823</v>
      </c>
      <c r="AA82" s="372">
        <f t="shared" si="46"/>
        <v>51.521897698169703</v>
      </c>
      <c r="AB82" s="373">
        <f t="shared" si="47"/>
        <v>-36.782695312459929</v>
      </c>
      <c r="AD82">
        <f t="shared" si="52"/>
        <v>0</v>
      </c>
      <c r="AE82">
        <f t="shared" si="48"/>
        <v>0</v>
      </c>
    </row>
    <row r="83" spans="1:31" x14ac:dyDescent="0.2">
      <c r="A83" s="374">
        <v>630.96</v>
      </c>
      <c r="B83" s="391">
        <f t="shared" si="49"/>
        <v>0.63096000000000008</v>
      </c>
      <c r="C83" s="364">
        <f t="shared" si="27"/>
        <v>1.2852095082755446</v>
      </c>
      <c r="D83" s="365">
        <f t="shared" si="28"/>
        <v>0.67918765834370076</v>
      </c>
      <c r="E83" s="365">
        <f t="shared" si="29"/>
        <v>1.0000284879433967</v>
      </c>
      <c r="F83" s="366">
        <f t="shared" si="30"/>
        <v>7.548147734473939E-3</v>
      </c>
      <c r="G83" s="365">
        <f t="shared" si="31"/>
        <v>1</v>
      </c>
      <c r="H83" s="366">
        <f t="shared" si="32"/>
        <v>0</v>
      </c>
      <c r="I83" s="364">
        <f t="shared" si="33"/>
        <v>214.21153659495508</v>
      </c>
      <c r="J83" s="367">
        <f t="shared" si="34"/>
        <v>1.5661280271875309</v>
      </c>
      <c r="K83" s="375">
        <f t="shared" si="35"/>
        <v>1.0083526002605894</v>
      </c>
      <c r="L83" s="376">
        <f t="shared" si="36"/>
        <v>0.12880119081195318</v>
      </c>
      <c r="M83" s="364">
        <f t="shared" si="37"/>
        <v>1.000001430910497</v>
      </c>
      <c r="N83" s="367">
        <f t="shared" si="38"/>
        <v>1.6916907464514937E-3</v>
      </c>
      <c r="O83" s="368">
        <f t="shared" si="39"/>
        <v>1.0000894919242362</v>
      </c>
      <c r="P83" s="369">
        <f t="shared" si="40"/>
        <v>1.5570526791439741E-2</v>
      </c>
      <c r="Q83" s="370">
        <f t="shared" si="41"/>
        <v>41.294908004409891</v>
      </c>
      <c r="R83" s="371">
        <f t="shared" si="42"/>
        <v>-121.82392316651404</v>
      </c>
      <c r="S83" s="373">
        <f t="shared" si="43"/>
        <v>58.176076833485965</v>
      </c>
      <c r="U83" s="346">
        <f t="shared" si="50"/>
        <v>1000000000</v>
      </c>
      <c r="V83" s="346">
        <f t="shared" si="51"/>
        <v>398110.52160000004</v>
      </c>
      <c r="X83" s="372">
        <f t="shared" si="44"/>
        <v>41.552053224276648</v>
      </c>
      <c r="Y83" s="373">
        <f t="shared" si="45"/>
        <v>-82.449688339436747</v>
      </c>
      <c r="AA83" s="372">
        <f t="shared" si="46"/>
        <v>51.22348013468762</v>
      </c>
      <c r="AB83" s="373">
        <f t="shared" si="47"/>
        <v>-39.374234827077267</v>
      </c>
      <c r="AD83">
        <f t="shared" si="52"/>
        <v>0</v>
      </c>
      <c r="AE83">
        <f t="shared" si="48"/>
        <v>0</v>
      </c>
    </row>
    <row r="84" spans="1:31" x14ac:dyDescent="0.2">
      <c r="A84" s="374">
        <v>691.83</v>
      </c>
      <c r="B84" s="391">
        <f t="shared" si="49"/>
        <v>0.69183000000000006</v>
      </c>
      <c r="C84" s="364">
        <f t="shared" si="27"/>
        <v>1.3355086135316971</v>
      </c>
      <c r="D84" s="365">
        <f t="shared" si="28"/>
        <v>0.72457920784409791</v>
      </c>
      <c r="E84" s="365">
        <f t="shared" si="29"/>
        <v>1.0000342495580683</v>
      </c>
      <c r="F84" s="366">
        <f t="shared" si="30"/>
        <v>8.27630117504311E-3</v>
      </c>
      <c r="G84" s="365">
        <f t="shared" si="31"/>
        <v>1</v>
      </c>
      <c r="H84" s="366">
        <f t="shared" si="32"/>
        <v>0</v>
      </c>
      <c r="I84" s="364">
        <f t="shared" si="33"/>
        <v>234.87653053216465</v>
      </c>
      <c r="J84" s="367">
        <f t="shared" si="34"/>
        <v>1.5665387578547836</v>
      </c>
      <c r="K84" s="375">
        <f t="shared" si="35"/>
        <v>1.0100335237947369</v>
      </c>
      <c r="L84" s="376">
        <f t="shared" si="36"/>
        <v>0.14106979026797495</v>
      </c>
      <c r="M84" s="364">
        <f t="shared" si="37"/>
        <v>1.0000017203132414</v>
      </c>
      <c r="N84" s="367">
        <f t="shared" si="38"/>
        <v>1.8548912503387814E-3</v>
      </c>
      <c r="O84" s="368">
        <f t="shared" si="39"/>
        <v>1.0001075908989085</v>
      </c>
      <c r="P84" s="369">
        <f t="shared" si="40"/>
        <v>1.7072477858602605E-2</v>
      </c>
      <c r="Q84" s="370">
        <f t="shared" si="41"/>
        <v>40.175875062421831</v>
      </c>
      <c r="R84" s="371">
        <f t="shared" si="42"/>
        <v>-123.79894758337458</v>
      </c>
      <c r="S84" s="373">
        <f t="shared" si="43"/>
        <v>56.201052416625416</v>
      </c>
      <c r="U84" s="346">
        <f t="shared" si="50"/>
        <v>1000000000</v>
      </c>
      <c r="V84" s="346">
        <f t="shared" si="51"/>
        <v>478628.74890000006</v>
      </c>
      <c r="X84" s="372">
        <f t="shared" si="44"/>
        <v>40.766582699351559</v>
      </c>
      <c r="Y84" s="373">
        <f t="shared" si="45"/>
        <v>-81.779633203141884</v>
      </c>
      <c r="AA84" s="372">
        <f t="shared" si="46"/>
        <v>50.889917717624655</v>
      </c>
      <c r="AB84" s="373">
        <f t="shared" si="47"/>
        <v>-42.019314380232686</v>
      </c>
      <c r="AD84">
        <f t="shared" si="52"/>
        <v>0</v>
      </c>
      <c r="AE84">
        <f t="shared" si="48"/>
        <v>0</v>
      </c>
    </row>
    <row r="85" spans="1:31" x14ac:dyDescent="0.2">
      <c r="A85" s="374">
        <v>758.58</v>
      </c>
      <c r="B85" s="391">
        <f t="shared" si="49"/>
        <v>0.75858000000000003</v>
      </c>
      <c r="C85" s="364">
        <f t="shared" si="27"/>
        <v>1.3935863620926066</v>
      </c>
      <c r="D85" s="365">
        <f t="shared" si="28"/>
        <v>0.77048488698077378</v>
      </c>
      <c r="E85" s="365">
        <f t="shared" si="29"/>
        <v>1.0000411772617788</v>
      </c>
      <c r="F85" s="366">
        <f t="shared" si="30"/>
        <v>9.0747836179282705E-3</v>
      </c>
      <c r="G85" s="365">
        <f t="shared" si="31"/>
        <v>1</v>
      </c>
      <c r="H85" s="366">
        <f t="shared" si="32"/>
        <v>0</v>
      </c>
      <c r="I85" s="364">
        <f t="shared" si="33"/>
        <v>257.53778651187758</v>
      </c>
      <c r="J85" s="367">
        <f t="shared" si="34"/>
        <v>1.5669133916869549</v>
      </c>
      <c r="K85" s="375">
        <f t="shared" si="35"/>
        <v>1.0120509644221862</v>
      </c>
      <c r="L85" s="376">
        <f t="shared" si="36"/>
        <v>0.15447442878265041</v>
      </c>
      <c r="M85" s="364">
        <f t="shared" si="37"/>
        <v>1.0000020682900956</v>
      </c>
      <c r="N85" s="367">
        <f t="shared" si="38"/>
        <v>2.0338566963861737E-3</v>
      </c>
      <c r="O85" s="368">
        <f t="shared" si="39"/>
        <v>1.0001293526709545</v>
      </c>
      <c r="P85" s="369">
        <f t="shared" si="40"/>
        <v>1.8719462436052121E-2</v>
      </c>
      <c r="Q85" s="370">
        <f t="shared" si="41"/>
        <v>39.023304507196613</v>
      </c>
      <c r="R85" s="371">
        <f t="shared" si="42"/>
        <v>-125.74145453641988</v>
      </c>
      <c r="S85" s="373">
        <f t="shared" si="43"/>
        <v>54.25854546358012</v>
      </c>
      <c r="U85" s="346">
        <f t="shared" si="50"/>
        <v>1000000000</v>
      </c>
      <c r="V85" s="346">
        <f t="shared" si="51"/>
        <v>575443.61640000006</v>
      </c>
      <c r="X85" s="372">
        <f t="shared" si="44"/>
        <v>39.983884854893979</v>
      </c>
      <c r="Y85" s="373">
        <f t="shared" si="45"/>
        <v>-81.04332289169453</v>
      </c>
      <c r="AA85" s="372">
        <f t="shared" si="46"/>
        <v>50.520045006857018</v>
      </c>
      <c r="AB85" s="373">
        <f t="shared" si="47"/>
        <v>-44.69813164472535</v>
      </c>
      <c r="AD85">
        <f t="shared" si="52"/>
        <v>0</v>
      </c>
      <c r="AE85">
        <f t="shared" si="48"/>
        <v>0</v>
      </c>
    </row>
    <row r="86" spans="1:31" x14ac:dyDescent="0.2">
      <c r="A86" s="374">
        <v>831.76</v>
      </c>
      <c r="B86" s="391">
        <f t="shared" si="49"/>
        <v>0.83175999999999994</v>
      </c>
      <c r="C86" s="364">
        <f t="shared" si="27"/>
        <v>1.4603476681401439</v>
      </c>
      <c r="D86" s="365">
        <f t="shared" si="28"/>
        <v>0.81651041519536083</v>
      </c>
      <c r="E86" s="365">
        <f t="shared" si="29"/>
        <v>1.0000495049858082</v>
      </c>
      <c r="F86" s="366">
        <f t="shared" si="30"/>
        <v>9.9501702104155508E-3</v>
      </c>
      <c r="G86" s="365">
        <f t="shared" si="31"/>
        <v>1</v>
      </c>
      <c r="H86" s="366">
        <f t="shared" si="32"/>
        <v>0</v>
      </c>
      <c r="I86" s="364">
        <f t="shared" si="33"/>
        <v>282.38202649244266</v>
      </c>
      <c r="J86" s="367">
        <f t="shared" si="34"/>
        <v>1.5672550175176396</v>
      </c>
      <c r="K86" s="375">
        <f t="shared" si="35"/>
        <v>1.014470818154966</v>
      </c>
      <c r="L86" s="376">
        <f t="shared" si="36"/>
        <v>0.16910613463819674</v>
      </c>
      <c r="M86" s="364">
        <f t="shared" si="37"/>
        <v>1.0000024865926562</v>
      </c>
      <c r="N86" s="367">
        <f t="shared" si="38"/>
        <v>2.2300616599841634E-3</v>
      </c>
      <c r="O86" s="368">
        <f t="shared" si="39"/>
        <v>1.0001555119332846</v>
      </c>
      <c r="P86" s="369">
        <f t="shared" si="40"/>
        <v>2.0525029287541342E-2</v>
      </c>
      <c r="Q86" s="370">
        <f t="shared" si="41"/>
        <v>37.837520218809054</v>
      </c>
      <c r="R86" s="371">
        <f t="shared" si="42"/>
        <v>-127.62429890015959</v>
      </c>
      <c r="S86" s="373">
        <f t="shared" si="43"/>
        <v>52.375701099840413</v>
      </c>
      <c r="U86" s="346">
        <f t="shared" si="50"/>
        <v>1000000000</v>
      </c>
      <c r="V86" s="346">
        <f t="shared" si="51"/>
        <v>691824.69759999996</v>
      </c>
      <c r="X86" s="372">
        <f t="shared" si="44"/>
        <v>39.204702898804577</v>
      </c>
      <c r="Y86" s="373">
        <f t="shared" si="45"/>
        <v>-80.235803332776712</v>
      </c>
      <c r="AA86" s="372">
        <f t="shared" si="46"/>
        <v>50.11344267455884</v>
      </c>
      <c r="AB86" s="373">
        <f t="shared" si="47"/>
        <v>-47.388495567382854</v>
      </c>
      <c r="AD86">
        <f t="shared" si="52"/>
        <v>0</v>
      </c>
      <c r="AE86">
        <f t="shared" si="48"/>
        <v>0</v>
      </c>
    </row>
    <row r="87" spans="1:31" x14ac:dyDescent="0.2">
      <c r="A87" s="374">
        <v>912.01</v>
      </c>
      <c r="B87" s="391">
        <f t="shared" si="49"/>
        <v>0.91200999999999999</v>
      </c>
      <c r="C87" s="364">
        <f t="shared" si="27"/>
        <v>1.5367865657585373</v>
      </c>
      <c r="D87" s="365">
        <f t="shared" si="28"/>
        <v>0.86227926978389979</v>
      </c>
      <c r="E87" s="365">
        <f t="shared" si="29"/>
        <v>1.0000595182159391</v>
      </c>
      <c r="F87" s="366">
        <f t="shared" si="30"/>
        <v>1.0910111280281923E-2</v>
      </c>
      <c r="G87" s="365">
        <f t="shared" si="31"/>
        <v>1</v>
      </c>
      <c r="H87" s="366">
        <f t="shared" si="32"/>
        <v>0</v>
      </c>
      <c r="I87" s="364">
        <f t="shared" si="33"/>
        <v>309.62652723744691</v>
      </c>
      <c r="J87" s="367">
        <f t="shared" si="34"/>
        <v>1.5675666237477408</v>
      </c>
      <c r="K87" s="375">
        <f t="shared" si="35"/>
        <v>1.0173728485573927</v>
      </c>
      <c r="L87" s="376">
        <f t="shared" si="36"/>
        <v>0.18506760083215729</v>
      </c>
      <c r="M87" s="364">
        <f t="shared" si="37"/>
        <v>1.000002989562768</v>
      </c>
      <c r="N87" s="367">
        <f t="shared" si="38"/>
        <v>2.4452220022005275E-3</v>
      </c>
      <c r="O87" s="368">
        <f t="shared" si="39"/>
        <v>1.0001869652474884</v>
      </c>
      <c r="P87" s="369">
        <f t="shared" si="40"/>
        <v>2.2504940238751908E-2</v>
      </c>
      <c r="Q87" s="370">
        <f t="shared" si="41"/>
        <v>36.618973250881943</v>
      </c>
      <c r="R87" s="371">
        <f t="shared" si="42"/>
        <v>-129.42075792634273</v>
      </c>
      <c r="S87" s="373">
        <f t="shared" si="43"/>
        <v>50.579242073657269</v>
      </c>
      <c r="U87" s="346">
        <f t="shared" si="50"/>
        <v>1000000000</v>
      </c>
      <c r="V87" s="346">
        <f t="shared" si="51"/>
        <v>831762.24009999994</v>
      </c>
      <c r="X87" s="372">
        <f t="shared" si="44"/>
        <v>38.429487991880727</v>
      </c>
      <c r="Y87" s="373">
        <f t="shared" si="45"/>
        <v>-79.35146018539389</v>
      </c>
      <c r="AA87" s="372">
        <f t="shared" si="46"/>
        <v>49.6701106135556</v>
      </c>
      <c r="AB87" s="373">
        <f t="shared" si="47"/>
        <v>-50.069297740948862</v>
      </c>
      <c r="AD87">
        <f t="shared" si="52"/>
        <v>0</v>
      </c>
      <c r="AE87">
        <f t="shared" si="48"/>
        <v>0</v>
      </c>
    </row>
    <row r="88" spans="1:31" x14ac:dyDescent="0.2">
      <c r="A88" s="374">
        <v>1000</v>
      </c>
      <c r="B88" s="391">
        <f t="shared" si="49"/>
        <v>1</v>
      </c>
      <c r="C88" s="364">
        <f t="shared" si="27"/>
        <v>1.6239279730990188</v>
      </c>
      <c r="D88" s="365">
        <f t="shared" si="28"/>
        <v>0.90740701144355307</v>
      </c>
      <c r="E88" s="365">
        <f t="shared" si="29"/>
        <v>1.0000715563352589</v>
      </c>
      <c r="F88" s="366">
        <f t="shared" si="30"/>
        <v>1.1962614145342184E-2</v>
      </c>
      <c r="G88" s="365">
        <f t="shared" si="31"/>
        <v>1</v>
      </c>
      <c r="H88" s="366">
        <f t="shared" si="32"/>
        <v>0</v>
      </c>
      <c r="I88" s="364">
        <f t="shared" si="33"/>
        <v>339.49875062641541</v>
      </c>
      <c r="J88" s="367">
        <f t="shared" si="34"/>
        <v>1.5678508035958445</v>
      </c>
      <c r="K88" s="375">
        <f t="shared" si="35"/>
        <v>1.020850849017183</v>
      </c>
      <c r="L88" s="376">
        <f t="shared" si="36"/>
        <v>0.20245929046175043</v>
      </c>
      <c r="M88" s="364">
        <f t="shared" si="37"/>
        <v>1.0000035942505201</v>
      </c>
      <c r="N88" s="367">
        <f t="shared" si="38"/>
        <v>2.6811339968559286E-3</v>
      </c>
      <c r="O88" s="368">
        <f t="shared" si="39"/>
        <v>1.0002247783664668</v>
      </c>
      <c r="P88" s="369">
        <f t="shared" si="40"/>
        <v>2.467568732789318E-2</v>
      </c>
      <c r="Q88" s="370">
        <f t="shared" si="41"/>
        <v>35.369322682822478</v>
      </c>
      <c r="R88" s="371">
        <f t="shared" si="42"/>
        <v>-131.1037863919976</v>
      </c>
      <c r="S88" s="373">
        <f t="shared" si="43"/>
        <v>48.896213608002398</v>
      </c>
      <c r="U88" s="346">
        <f t="shared" si="50"/>
        <v>1000000000</v>
      </c>
      <c r="V88" s="346">
        <f t="shared" si="51"/>
        <v>1000000</v>
      </c>
      <c r="X88" s="372">
        <f t="shared" si="44"/>
        <v>37.659125391534552</v>
      </c>
      <c r="Y88" s="373">
        <f t="shared" si="45"/>
        <v>-78.384788837461471</v>
      </c>
      <c r="AA88" s="372">
        <f t="shared" si="46"/>
        <v>49.190822645842303</v>
      </c>
      <c r="AB88" s="373">
        <f t="shared" si="47"/>
        <v>-52.718997554536138</v>
      </c>
      <c r="AD88">
        <f t="shared" si="52"/>
        <v>0</v>
      </c>
      <c r="AE88">
        <f t="shared" si="48"/>
        <v>0</v>
      </c>
    </row>
    <row r="89" spans="1:31" x14ac:dyDescent="0.2">
      <c r="A89" s="374">
        <v>1096.5</v>
      </c>
      <c r="B89" s="391">
        <f t="shared" si="49"/>
        <v>1.0965</v>
      </c>
      <c r="C89" s="364">
        <f t="shared" si="27"/>
        <v>1.722891742364741</v>
      </c>
      <c r="D89" s="365">
        <f t="shared" si="28"/>
        <v>0.95155254949366752</v>
      </c>
      <c r="E89" s="365">
        <f t="shared" si="29"/>
        <v>1.0000860324357621</v>
      </c>
      <c r="F89" s="366">
        <f t="shared" si="30"/>
        <v>1.3116879829557228E-2</v>
      </c>
      <c r="G89" s="365">
        <f t="shared" si="31"/>
        <v>1</v>
      </c>
      <c r="H89" s="366">
        <f t="shared" si="32"/>
        <v>0</v>
      </c>
      <c r="I89" s="364">
        <f t="shared" si="33"/>
        <v>372.26010832689792</v>
      </c>
      <c r="J89" s="367">
        <f t="shared" si="34"/>
        <v>1.5681100298204664</v>
      </c>
      <c r="K89" s="375">
        <f t="shared" si="35"/>
        <v>1.0250176472369485</v>
      </c>
      <c r="L89" s="376">
        <f t="shared" si="36"/>
        <v>0.22139094720841998</v>
      </c>
      <c r="M89" s="364">
        <f t="shared" si="37"/>
        <v>1.0000043214098586</v>
      </c>
      <c r="N89" s="367">
        <f t="shared" si="38"/>
        <v>2.9398620023909101E-3</v>
      </c>
      <c r="O89" s="368">
        <f t="shared" si="39"/>
        <v>1.0002702484129629</v>
      </c>
      <c r="P89" s="369">
        <f t="shared" si="40"/>
        <v>2.7056216554180106E-2</v>
      </c>
      <c r="Q89" s="370">
        <f t="shared" si="41"/>
        <v>34.090437295851885</v>
      </c>
      <c r="R89" s="371">
        <f t="shared" si="42"/>
        <v>-132.64837169449416</v>
      </c>
      <c r="S89" s="373">
        <f t="shared" si="43"/>
        <v>47.351628305505841</v>
      </c>
      <c r="U89" s="346">
        <f t="shared" si="50"/>
        <v>1000000000</v>
      </c>
      <c r="V89" s="346">
        <f t="shared" si="51"/>
        <v>1202312.25</v>
      </c>
      <c r="X89" s="372">
        <f t="shared" si="44"/>
        <v>36.894333659335402</v>
      </c>
      <c r="Y89" s="373">
        <f t="shared" si="45"/>
        <v>-77.329761396850316</v>
      </c>
      <c r="AA89" s="372">
        <f t="shared" si="46"/>
        <v>48.676728991070853</v>
      </c>
      <c r="AB89" s="373">
        <f t="shared" si="47"/>
        <v>-55.318610297643858</v>
      </c>
      <c r="AD89">
        <f t="shared" si="52"/>
        <v>0</v>
      </c>
      <c r="AE89">
        <f t="shared" si="48"/>
        <v>0</v>
      </c>
    </row>
    <row r="90" spans="1:31" x14ac:dyDescent="0.2">
      <c r="A90" s="374">
        <v>1202.3</v>
      </c>
      <c r="B90" s="391">
        <f t="shared" si="49"/>
        <v>1.2022999999999999</v>
      </c>
      <c r="C90" s="364">
        <f t="shared" si="27"/>
        <v>1.8348106860584117</v>
      </c>
      <c r="D90" s="365">
        <f t="shared" si="28"/>
        <v>0.99438889641291228</v>
      </c>
      <c r="E90" s="365">
        <f t="shared" si="29"/>
        <v>1.0001034348436613</v>
      </c>
      <c r="F90" s="366">
        <f t="shared" si="30"/>
        <v>1.4382345344830084E-2</v>
      </c>
      <c r="G90" s="365">
        <f t="shared" si="31"/>
        <v>1</v>
      </c>
      <c r="H90" s="366">
        <f t="shared" si="32"/>
        <v>0</v>
      </c>
      <c r="I90" s="364">
        <f t="shared" si="33"/>
        <v>408.17880213079786</v>
      </c>
      <c r="J90" s="367">
        <f t="shared" si="34"/>
        <v>1.5683464176003894</v>
      </c>
      <c r="K90" s="375">
        <f t="shared" si="35"/>
        <v>1.0300045207138389</v>
      </c>
      <c r="L90" s="376">
        <f t="shared" si="36"/>
        <v>0.24196286734506606</v>
      </c>
      <c r="M90" s="364">
        <f t="shared" si="37"/>
        <v>1.0000051955758653</v>
      </c>
      <c r="N90" s="367">
        <f t="shared" si="38"/>
        <v>3.2235239631553873E-3</v>
      </c>
      <c r="O90" s="368">
        <f t="shared" si="39"/>
        <v>1.0003249085948105</v>
      </c>
      <c r="P90" s="369">
        <f t="shared" si="40"/>
        <v>2.9665950051340324E-2</v>
      </c>
      <c r="Q90" s="370">
        <f t="shared" si="41"/>
        <v>32.785517603920518</v>
      </c>
      <c r="R90" s="371">
        <f t="shared" si="42"/>
        <v>-134.0308469211698</v>
      </c>
      <c r="S90" s="373">
        <f t="shared" si="43"/>
        <v>45.969153078830203</v>
      </c>
      <c r="U90" s="346">
        <f t="shared" si="50"/>
        <v>1000000000</v>
      </c>
      <c r="V90" s="346">
        <f t="shared" si="51"/>
        <v>1445525.2899999998</v>
      </c>
      <c r="X90" s="372">
        <f t="shared" si="44"/>
        <v>36.136402884355839</v>
      </c>
      <c r="Y90" s="373">
        <f t="shared" si="45"/>
        <v>-76.180873850505776</v>
      </c>
      <c r="AA90" s="372">
        <f t="shared" si="46"/>
        <v>48.129740074119056</v>
      </c>
      <c r="AB90" s="373">
        <f t="shared" si="47"/>
        <v>-57.849973070664028</v>
      </c>
      <c r="AD90">
        <f t="shared" si="52"/>
        <v>0</v>
      </c>
      <c r="AE90">
        <f t="shared" ref="AE90:AE153" si="53">IF(AD90&gt;0,S90,0)</f>
        <v>0</v>
      </c>
    </row>
    <row r="91" spans="1:31" x14ac:dyDescent="0.2">
      <c r="A91" s="374">
        <v>1318.3</v>
      </c>
      <c r="B91" s="391">
        <f t="shared" si="49"/>
        <v>1.3183</v>
      </c>
      <c r="C91" s="364">
        <f t="shared" si="27"/>
        <v>1.9609216114549199</v>
      </c>
      <c r="D91" s="365">
        <f t="shared" si="28"/>
        <v>1.0356530492631875</v>
      </c>
      <c r="E91" s="365">
        <f t="shared" si="29"/>
        <v>1.0001243555377011</v>
      </c>
      <c r="F91" s="366">
        <f t="shared" si="30"/>
        <v>1.5769759170769677E-2</v>
      </c>
      <c r="G91" s="365">
        <f t="shared" si="31"/>
        <v>1</v>
      </c>
      <c r="H91" s="366">
        <f t="shared" si="32"/>
        <v>0</v>
      </c>
      <c r="I91" s="364">
        <f t="shared" si="33"/>
        <v>447.56037857688011</v>
      </c>
      <c r="J91" s="367">
        <f t="shared" si="34"/>
        <v>1.5685619895302263</v>
      </c>
      <c r="K91" s="375">
        <f t="shared" si="35"/>
        <v>1.035967940714575</v>
      </c>
      <c r="L91" s="376">
        <f t="shared" si="36"/>
        <v>0.26427995893178435</v>
      </c>
      <c r="M91" s="364">
        <f t="shared" si="37"/>
        <v>1.0000062464932136</v>
      </c>
      <c r="N91" s="367">
        <f t="shared" si="38"/>
        <v>3.5345326984465124E-3</v>
      </c>
      <c r="O91" s="368">
        <f t="shared" si="39"/>
        <v>1.0003906173584678</v>
      </c>
      <c r="P91" s="369">
        <f t="shared" si="40"/>
        <v>3.2527000753440533E-2</v>
      </c>
      <c r="Q91" s="370">
        <f t="shared" si="41"/>
        <v>31.457860179074956</v>
      </c>
      <c r="R91" s="371">
        <f t="shared" si="42"/>
        <v>-135.23103759034271</v>
      </c>
      <c r="S91" s="373">
        <f t="shared" si="43"/>
        <v>44.768962409657291</v>
      </c>
      <c r="U91" s="346">
        <f t="shared" si="50"/>
        <v>1000000000</v>
      </c>
      <c r="V91" s="346">
        <f t="shared" si="51"/>
        <v>1737914.89</v>
      </c>
      <c r="X91" s="372">
        <f t="shared" si="44"/>
        <v>35.386513742518432</v>
      </c>
      <c r="Y91" s="373">
        <f t="shared" si="45"/>
        <v>-74.932369539838305</v>
      </c>
      <c r="AA91" s="372">
        <f t="shared" si="46"/>
        <v>47.551971791110901</v>
      </c>
      <c r="AB91" s="373">
        <f t="shared" si="47"/>
        <v>-60.298668050504411</v>
      </c>
      <c r="AD91">
        <f t="shared" si="52"/>
        <v>0</v>
      </c>
      <c r="AE91">
        <f t="shared" si="53"/>
        <v>0</v>
      </c>
    </row>
    <row r="92" spans="1:31" x14ac:dyDescent="0.2">
      <c r="A92" s="374">
        <v>1445.4</v>
      </c>
      <c r="B92" s="391">
        <f t="shared" si="49"/>
        <v>1.4454</v>
      </c>
      <c r="C92" s="364">
        <f t="shared" si="27"/>
        <v>2.1024477048869237</v>
      </c>
      <c r="D92" s="365">
        <f t="shared" si="28"/>
        <v>1.0751093158552523</v>
      </c>
      <c r="E92" s="365">
        <f t="shared" si="29"/>
        <v>1.0001494883227489</v>
      </c>
      <c r="F92" s="366">
        <f t="shared" si="30"/>
        <v>1.7289864246155751E-2</v>
      </c>
      <c r="G92" s="365">
        <f t="shared" si="31"/>
        <v>1</v>
      </c>
      <c r="H92" s="366">
        <f t="shared" si="32"/>
        <v>0</v>
      </c>
      <c r="I92" s="364">
        <f t="shared" si="33"/>
        <v>490.71038435627753</v>
      </c>
      <c r="J92" s="367">
        <f t="shared" si="34"/>
        <v>1.5687584634766789</v>
      </c>
      <c r="K92" s="375">
        <f t="shared" si="35"/>
        <v>1.0430870960265712</v>
      </c>
      <c r="L92" s="376">
        <f t="shared" si="36"/>
        <v>0.28842621861812012</v>
      </c>
      <c r="M92" s="364">
        <f t="shared" si="37"/>
        <v>1.0000075090257727</v>
      </c>
      <c r="N92" s="367">
        <f t="shared" si="38"/>
        <v>3.8753009651286605E-3</v>
      </c>
      <c r="O92" s="368">
        <f t="shared" si="39"/>
        <v>1.000469552497488</v>
      </c>
      <c r="P92" s="369">
        <f t="shared" si="40"/>
        <v>3.5661452114590167E-2</v>
      </c>
      <c r="Q92" s="370">
        <f t="shared" si="41"/>
        <v>30.112095589524071</v>
      </c>
      <c r="R92" s="371">
        <f t="shared" si="42"/>
        <v>-136.23151331173611</v>
      </c>
      <c r="S92" s="373">
        <f t="shared" si="43"/>
        <v>43.768486688263891</v>
      </c>
      <c r="U92" s="346">
        <f t="shared" si="50"/>
        <v>1000000000</v>
      </c>
      <c r="V92" s="346">
        <f t="shared" si="51"/>
        <v>2089181.1600000001</v>
      </c>
      <c r="X92" s="372">
        <f t="shared" si="44"/>
        <v>34.646515594778784</v>
      </c>
      <c r="Y92" s="373">
        <f t="shared" si="45"/>
        <v>-73.579672478627586</v>
      </c>
      <c r="AA92" s="372">
        <f t="shared" si="46"/>
        <v>46.946205349299667</v>
      </c>
      <c r="AB92" s="373">
        <f t="shared" si="47"/>
        <v>-62.651840833108508</v>
      </c>
      <c r="AD92">
        <f t="shared" si="52"/>
        <v>0</v>
      </c>
      <c r="AE92">
        <f t="shared" si="53"/>
        <v>0</v>
      </c>
    </row>
    <row r="93" spans="1:31" x14ac:dyDescent="0.2">
      <c r="A93" s="374">
        <v>1584.9</v>
      </c>
      <c r="B93" s="391">
        <f t="shared" si="49"/>
        <v>1.5849000000000002</v>
      </c>
      <c r="C93" s="364">
        <f t="shared" si="27"/>
        <v>2.2610506979228071</v>
      </c>
      <c r="D93" s="365">
        <f t="shared" si="28"/>
        <v>1.1126657185754107</v>
      </c>
      <c r="E93" s="365">
        <f t="shared" si="29"/>
        <v>1.0001797332105624</v>
      </c>
      <c r="F93" s="366">
        <f t="shared" si="30"/>
        <v>1.8958180011171926E-2</v>
      </c>
      <c r="G93" s="365">
        <f t="shared" si="31"/>
        <v>1</v>
      </c>
      <c r="H93" s="366">
        <f t="shared" si="32"/>
        <v>0</v>
      </c>
      <c r="I93" s="364">
        <f t="shared" si="33"/>
        <v>538.07016493390063</v>
      </c>
      <c r="J93" s="367">
        <f t="shared" si="34"/>
        <v>1.5689378320467438</v>
      </c>
      <c r="K93" s="375">
        <f t="shared" si="35"/>
        <v>1.0515906528618664</v>
      </c>
      <c r="L93" s="376">
        <f t="shared" si="36"/>
        <v>0.31453491943162371</v>
      </c>
      <c r="M93" s="364">
        <f t="shared" si="37"/>
        <v>1.0000090284021403</v>
      </c>
      <c r="N93" s="367">
        <f t="shared" si="38"/>
        <v>4.249313877383064E-3</v>
      </c>
      <c r="O93" s="368">
        <f t="shared" si="39"/>
        <v>1.0005645387524416</v>
      </c>
      <c r="P93" s="369">
        <f t="shared" si="40"/>
        <v>3.9101212411389183E-2</v>
      </c>
      <c r="Q93" s="370">
        <f t="shared" si="41"/>
        <v>28.750068099329319</v>
      </c>
      <c r="R93" s="371">
        <f t="shared" si="42"/>
        <v>-137.02062103572322</v>
      </c>
      <c r="S93" s="373">
        <f t="shared" si="43"/>
        <v>42.979378964276776</v>
      </c>
      <c r="U93" s="346">
        <f t="shared" si="50"/>
        <v>1000000000</v>
      </c>
      <c r="V93" s="346">
        <f t="shared" si="51"/>
        <v>2511908.0100000002</v>
      </c>
      <c r="X93" s="372">
        <f t="shared" si="44"/>
        <v>33.916752020305395</v>
      </c>
      <c r="Y93" s="373">
        <f t="shared" si="45"/>
        <v>-72.115460535168538</v>
      </c>
      <c r="AA93" s="372">
        <f t="shared" si="46"/>
        <v>46.3139414335783</v>
      </c>
      <c r="AB93" s="373">
        <f t="shared" si="47"/>
        <v>-64.905160500554715</v>
      </c>
      <c r="AD93">
        <f t="shared" si="52"/>
        <v>0</v>
      </c>
      <c r="AE93">
        <f t="shared" si="53"/>
        <v>0</v>
      </c>
    </row>
    <row r="94" spans="1:31" x14ac:dyDescent="0.2">
      <c r="A94" s="374">
        <v>1737.8</v>
      </c>
      <c r="B94" s="391">
        <f t="shared" si="49"/>
        <v>1.7378</v>
      </c>
      <c r="C94" s="364">
        <f t="shared" si="27"/>
        <v>2.4380494807302102</v>
      </c>
      <c r="D94" s="365">
        <f t="shared" si="28"/>
        <v>1.1481625068526251</v>
      </c>
      <c r="E94" s="365">
        <f t="shared" si="29"/>
        <v>1.0002160808577272</v>
      </c>
      <c r="F94" s="366">
        <f t="shared" si="30"/>
        <v>2.0786628191501611E-2</v>
      </c>
      <c r="G94" s="365">
        <f t="shared" si="31"/>
        <v>1</v>
      </c>
      <c r="H94" s="366">
        <f t="shared" si="32"/>
        <v>0</v>
      </c>
      <c r="I94" s="364">
        <f t="shared" si="33"/>
        <v>589.97921695971559</v>
      </c>
      <c r="J94" s="367">
        <f t="shared" si="34"/>
        <v>1.5691013510227378</v>
      </c>
      <c r="K94" s="375">
        <f t="shared" si="35"/>
        <v>1.0617202744767602</v>
      </c>
      <c r="L94" s="376">
        <f t="shared" si="36"/>
        <v>0.34264984097942991</v>
      </c>
      <c r="M94" s="364">
        <f t="shared" si="37"/>
        <v>1.0000108544132864</v>
      </c>
      <c r="N94" s="367">
        <f t="shared" si="38"/>
        <v>4.6592521085153452E-3</v>
      </c>
      <c r="O94" s="368">
        <f t="shared" si="39"/>
        <v>1.0006786845364037</v>
      </c>
      <c r="P94" s="369">
        <f t="shared" si="40"/>
        <v>4.2870739753549235E-2</v>
      </c>
      <c r="Q94" s="370">
        <f t="shared" si="41"/>
        <v>27.37804458695933</v>
      </c>
      <c r="R94" s="371">
        <f t="shared" si="42"/>
        <v>-137.58764316626764</v>
      </c>
      <c r="S94" s="373">
        <f t="shared" si="43"/>
        <v>42.41235683373236</v>
      </c>
      <c r="U94" s="346">
        <f t="shared" si="50"/>
        <v>1000000000</v>
      </c>
      <c r="V94" s="346">
        <f t="shared" si="51"/>
        <v>3019948.84</v>
      </c>
      <c r="X94" s="372">
        <f t="shared" si="44"/>
        <v>33.200048003339468</v>
      </c>
      <c r="Y94" s="373">
        <f t="shared" si="45"/>
        <v>-70.537450865034387</v>
      </c>
      <c r="AA94" s="372">
        <f t="shared" si="46"/>
        <v>45.658621938174242</v>
      </c>
      <c r="AB94" s="373">
        <f t="shared" si="47"/>
        <v>-67.050192301233281</v>
      </c>
      <c r="AD94">
        <f t="shared" si="52"/>
        <v>0</v>
      </c>
      <c r="AE94">
        <f t="shared" si="53"/>
        <v>0</v>
      </c>
    </row>
    <row r="95" spans="1:31" x14ac:dyDescent="0.2">
      <c r="A95" s="374">
        <v>1905.5</v>
      </c>
      <c r="B95" s="391">
        <f t="shared" si="49"/>
        <v>1.9055</v>
      </c>
      <c r="C95" s="364">
        <f t="shared" si="27"/>
        <v>2.635213204996127</v>
      </c>
      <c r="D95" s="365">
        <f t="shared" si="28"/>
        <v>1.1815665273691027</v>
      </c>
      <c r="E95" s="365">
        <f t="shared" si="29"/>
        <v>1.0002597916121725</v>
      </c>
      <c r="F95" s="366">
        <f t="shared" si="30"/>
        <v>2.2791901262069581E-2</v>
      </c>
      <c r="G95" s="365">
        <f t="shared" si="31"/>
        <v>1</v>
      </c>
      <c r="H95" s="366">
        <f t="shared" si="32"/>
        <v>0</v>
      </c>
      <c r="I95" s="364">
        <f t="shared" si="33"/>
        <v>646.91283587149201</v>
      </c>
      <c r="J95" s="367">
        <f t="shared" si="34"/>
        <v>1.5692505228738713</v>
      </c>
      <c r="K95" s="375">
        <f t="shared" si="35"/>
        <v>1.0737758297228912</v>
      </c>
      <c r="L95" s="376">
        <f t="shared" si="36"/>
        <v>0.37284966047683737</v>
      </c>
      <c r="M95" s="364">
        <f t="shared" si="37"/>
        <v>1.0000130504112361</v>
      </c>
      <c r="N95" s="367">
        <f t="shared" si="38"/>
        <v>5.108868624248821E-3</v>
      </c>
      <c r="O95" s="368">
        <f t="shared" si="39"/>
        <v>1.0008159437698227</v>
      </c>
      <c r="P95" s="369">
        <f t="shared" si="40"/>
        <v>4.7004286554297302E-2</v>
      </c>
      <c r="Q95" s="370">
        <f t="shared" si="41"/>
        <v>25.999638069641534</v>
      </c>
      <c r="R95" s="371">
        <f t="shared" si="42"/>
        <v>-137.92747951039112</v>
      </c>
      <c r="S95" s="373">
        <f t="shared" si="43"/>
        <v>42.072520489608877</v>
      </c>
      <c r="U95" s="346">
        <f t="shared" si="50"/>
        <v>1000000000</v>
      </c>
      <c r="V95" s="346">
        <f t="shared" si="51"/>
        <v>3630930.25</v>
      </c>
      <c r="X95" s="372">
        <f t="shared" si="44"/>
        <v>32.49791808982846</v>
      </c>
      <c r="Y95" s="373">
        <f t="shared" si="45"/>
        <v>-68.841436710081069</v>
      </c>
      <c r="AA95" s="372">
        <f t="shared" si="46"/>
        <v>44.982345334367444</v>
      </c>
      <c r="AB95" s="373">
        <f t="shared" si="47"/>
        <v>-69.08604280031004</v>
      </c>
      <c r="AD95">
        <f t="shared" si="52"/>
        <v>0</v>
      </c>
      <c r="AE95">
        <f t="shared" si="53"/>
        <v>0</v>
      </c>
    </row>
    <row r="96" spans="1:31" x14ac:dyDescent="0.2">
      <c r="A96" s="374">
        <v>2089.3000000000002</v>
      </c>
      <c r="B96" s="391">
        <f t="shared" si="49"/>
        <v>2.0893000000000002</v>
      </c>
      <c r="C96" s="364">
        <f t="shared" si="27"/>
        <v>2.8541917883587007</v>
      </c>
      <c r="D96" s="365">
        <f t="shared" si="28"/>
        <v>1.212838881064779</v>
      </c>
      <c r="E96" s="365">
        <f t="shared" si="29"/>
        <v>1.0003123182934333</v>
      </c>
      <c r="F96" s="366">
        <f t="shared" si="30"/>
        <v>2.4989478965911926E-2</v>
      </c>
      <c r="G96" s="365">
        <f t="shared" si="31"/>
        <v>1</v>
      </c>
      <c r="H96" s="366">
        <f t="shared" si="32"/>
        <v>0</v>
      </c>
      <c r="I96" s="364">
        <f t="shared" si="33"/>
        <v>709.31236754913857</v>
      </c>
      <c r="J96" s="367">
        <f t="shared" si="34"/>
        <v>1.5693865102218132</v>
      </c>
      <c r="K96" s="375">
        <f t="shared" si="35"/>
        <v>1.0880868451389274</v>
      </c>
      <c r="L96" s="376">
        <f t="shared" si="36"/>
        <v>0.40514745251576262</v>
      </c>
      <c r="M96" s="364">
        <f t="shared" si="37"/>
        <v>1.0000156894357977</v>
      </c>
      <c r="N96" s="367">
        <f t="shared" si="38"/>
        <v>5.6016480911206751E-3</v>
      </c>
      <c r="O96" s="368">
        <f t="shared" si="39"/>
        <v>1.0009808726889438</v>
      </c>
      <c r="P96" s="369">
        <f t="shared" si="40"/>
        <v>5.1533550228524259E-2</v>
      </c>
      <c r="Q96" s="370">
        <f t="shared" si="41"/>
        <v>24.620455543450745</v>
      </c>
      <c r="R96" s="371">
        <f t="shared" si="42"/>
        <v>-138.03834767133836</v>
      </c>
      <c r="S96" s="373">
        <f t="shared" si="43"/>
        <v>41.961652328661643</v>
      </c>
      <c r="U96" s="346">
        <f t="shared" si="50"/>
        <v>1000000000</v>
      </c>
      <c r="V96" s="346">
        <f t="shared" si="51"/>
        <v>4365174.4900000012</v>
      </c>
      <c r="X96" s="372">
        <f t="shared" si="44"/>
        <v>31.813058606658355</v>
      </c>
      <c r="Y96" s="373">
        <f t="shared" si="45"/>
        <v>-67.026935221372767</v>
      </c>
      <c r="AA96" s="372">
        <f t="shared" si="46"/>
        <v>44.288022291346763</v>
      </c>
      <c r="AB96" s="373">
        <f t="shared" si="47"/>
        <v>-71.011412449965604</v>
      </c>
      <c r="AD96">
        <f t="shared" si="52"/>
        <v>0</v>
      </c>
      <c r="AE96">
        <f t="shared" si="53"/>
        <v>0</v>
      </c>
    </row>
    <row r="97" spans="1:31" x14ac:dyDescent="0.2">
      <c r="A97" s="374">
        <v>2290.9</v>
      </c>
      <c r="B97" s="391">
        <f t="shared" si="49"/>
        <v>2.2909000000000002</v>
      </c>
      <c r="C97" s="364">
        <f t="shared" si="27"/>
        <v>3.0971093477660707</v>
      </c>
      <c r="D97" s="365">
        <f t="shared" si="28"/>
        <v>1.242023610614696</v>
      </c>
      <c r="E97" s="365">
        <f t="shared" si="29"/>
        <v>1.0003754865320995</v>
      </c>
      <c r="F97" s="366">
        <f t="shared" si="30"/>
        <v>2.7399601382263657E-2</v>
      </c>
      <c r="G97" s="365">
        <f t="shared" si="31"/>
        <v>1</v>
      </c>
      <c r="H97" s="366">
        <f t="shared" si="32"/>
        <v>0</v>
      </c>
      <c r="I97" s="364">
        <f t="shared" si="33"/>
        <v>777.75495673433875</v>
      </c>
      <c r="J97" s="367">
        <f t="shared" si="34"/>
        <v>1.5695105744292346</v>
      </c>
      <c r="K97" s="375">
        <f t="shared" si="35"/>
        <v>1.1050527178339338</v>
      </c>
      <c r="L97" s="376">
        <f t="shared" si="36"/>
        <v>0.43957124774681089</v>
      </c>
      <c r="M97" s="364">
        <f t="shared" si="37"/>
        <v>1.0000188632835523</v>
      </c>
      <c r="N97" s="367">
        <f t="shared" si="38"/>
        <v>6.1421473504933424E-3</v>
      </c>
      <c r="O97" s="368">
        <f t="shared" si="39"/>
        <v>1.0011791951299092</v>
      </c>
      <c r="P97" s="369">
        <f t="shared" si="40"/>
        <v>5.6499967353095683E-2</v>
      </c>
      <c r="Q97" s="370">
        <f t="shared" si="41"/>
        <v>23.244071616828542</v>
      </c>
      <c r="R97" s="371">
        <f t="shared" si="42"/>
        <v>-137.92271289892403</v>
      </c>
      <c r="S97" s="373">
        <f t="shared" si="43"/>
        <v>42.077287101075967</v>
      </c>
      <c r="U97" s="346">
        <f t="shared" si="50"/>
        <v>1000000000</v>
      </c>
      <c r="V97" s="346">
        <f t="shared" si="51"/>
        <v>5248222.8100000005</v>
      </c>
      <c r="X97" s="372">
        <f t="shared" si="44"/>
        <v>31.147314678283298</v>
      </c>
      <c r="Y97" s="373">
        <f t="shared" si="45"/>
        <v>-65.092673719466788</v>
      </c>
      <c r="AA97" s="372">
        <f t="shared" si="46"/>
        <v>43.577382293099618</v>
      </c>
      <c r="AB97" s="373">
        <f t="shared" si="47"/>
        <v>-72.830039179457273</v>
      </c>
      <c r="AD97">
        <f t="shared" si="52"/>
        <v>0</v>
      </c>
      <c r="AE97">
        <f t="shared" si="53"/>
        <v>0</v>
      </c>
    </row>
    <row r="98" spans="1:31" x14ac:dyDescent="0.2">
      <c r="A98" s="374">
        <v>2511.9</v>
      </c>
      <c r="B98" s="391">
        <f t="shared" si="49"/>
        <v>2.5119000000000002</v>
      </c>
      <c r="C98" s="364">
        <f t="shared" si="27"/>
        <v>3.3659738077857306</v>
      </c>
      <c r="D98" s="365">
        <f t="shared" si="28"/>
        <v>1.2691518404545368</v>
      </c>
      <c r="E98" s="365">
        <f t="shared" si="29"/>
        <v>1.0004514090989791</v>
      </c>
      <c r="F98" s="366">
        <f t="shared" si="30"/>
        <v>3.0041283457441774E-2</v>
      </c>
      <c r="G98" s="365">
        <f t="shared" si="31"/>
        <v>1</v>
      </c>
      <c r="H98" s="366">
        <f t="shared" si="32"/>
        <v>0</v>
      </c>
      <c r="I98" s="364">
        <f t="shared" si="33"/>
        <v>852.78379858123662</v>
      </c>
      <c r="J98" s="367">
        <f t="shared" si="34"/>
        <v>1.569623696368708</v>
      </c>
      <c r="K98" s="375">
        <f t="shared" si="35"/>
        <v>1.1251070774336547</v>
      </c>
      <c r="L98" s="376">
        <f t="shared" si="36"/>
        <v>0.47606687522870966</v>
      </c>
      <c r="M98" s="364">
        <f t="shared" si="37"/>
        <v>1.0000226782162431</v>
      </c>
      <c r="N98" s="367">
        <f t="shared" si="38"/>
        <v>6.7346548043684543E-3</v>
      </c>
      <c r="O98" s="368">
        <f t="shared" si="39"/>
        <v>1.0014175320892158</v>
      </c>
      <c r="P98" s="369">
        <f t="shared" si="40"/>
        <v>6.1942353969725285E-2</v>
      </c>
      <c r="Q98" s="370">
        <f t="shared" si="41"/>
        <v>21.875840440658649</v>
      </c>
      <c r="R98" s="371">
        <f t="shared" si="42"/>
        <v>-137.58689868465714</v>
      </c>
      <c r="S98" s="373">
        <f t="shared" si="43"/>
        <v>42.413101315342857</v>
      </c>
      <c r="U98" s="346">
        <f t="shared" si="50"/>
        <v>1000000000</v>
      </c>
      <c r="V98" s="346">
        <f t="shared" si="51"/>
        <v>6309641.6100000003</v>
      </c>
      <c r="X98" s="372">
        <f t="shared" si="44"/>
        <v>30.503575667897284</v>
      </c>
      <c r="Y98" s="373">
        <f t="shared" si="45"/>
        <v>-63.042057877868416</v>
      </c>
      <c r="AA98" s="372">
        <f t="shared" si="46"/>
        <v>42.852890127315746</v>
      </c>
      <c r="AB98" s="373">
        <f t="shared" si="47"/>
        <v>-74.544840806788756</v>
      </c>
      <c r="AD98">
        <f t="shared" si="52"/>
        <v>0</v>
      </c>
      <c r="AE98">
        <f t="shared" si="53"/>
        <v>0</v>
      </c>
    </row>
    <row r="99" spans="1:31" x14ac:dyDescent="0.2">
      <c r="A99" s="374">
        <v>2754.2</v>
      </c>
      <c r="B99" s="391">
        <f t="shared" si="49"/>
        <v>2.7542</v>
      </c>
      <c r="C99" s="364">
        <f t="shared" si="27"/>
        <v>3.6631589787065422</v>
      </c>
      <c r="D99" s="365">
        <f t="shared" si="28"/>
        <v>1.2942982433452914</v>
      </c>
      <c r="E99" s="365">
        <f t="shared" si="29"/>
        <v>1.0005426711733461</v>
      </c>
      <c r="F99" s="366">
        <f t="shared" si="30"/>
        <v>3.2937087817072178E-2</v>
      </c>
      <c r="G99" s="365">
        <f t="shared" si="31"/>
        <v>1</v>
      </c>
      <c r="H99" s="366">
        <f t="shared" si="32"/>
        <v>0</v>
      </c>
      <c r="I99" s="364">
        <f t="shared" si="33"/>
        <v>935.04393742672607</v>
      </c>
      <c r="J99" s="367">
        <f t="shared" si="34"/>
        <v>1.5697268581308044</v>
      </c>
      <c r="K99" s="375">
        <f t="shared" si="35"/>
        <v>1.1487519503612376</v>
      </c>
      <c r="L99" s="376">
        <f t="shared" si="36"/>
        <v>0.51455879281010086</v>
      </c>
      <c r="M99" s="364">
        <f t="shared" si="37"/>
        <v>1.0000272642874748</v>
      </c>
      <c r="N99" s="367">
        <f t="shared" si="38"/>
        <v>7.3842627306918507E-3</v>
      </c>
      <c r="O99" s="368">
        <f t="shared" si="39"/>
        <v>1.0017039813380517</v>
      </c>
      <c r="P99" s="369">
        <f t="shared" si="40"/>
        <v>6.790671122139795E-2</v>
      </c>
      <c r="Q99" s="370">
        <f t="shared" si="41"/>
        <v>20.519994564179381</v>
      </c>
      <c r="R99" s="371">
        <f t="shared" si="42"/>
        <v>-137.04120267284884</v>
      </c>
      <c r="S99" s="373">
        <f t="shared" si="43"/>
        <v>42.95879732715116</v>
      </c>
      <c r="U99" s="346">
        <f t="shared" si="50"/>
        <v>1000000000</v>
      </c>
      <c r="V99" s="346">
        <f t="shared" si="51"/>
        <v>7585617.6399999987</v>
      </c>
      <c r="X99" s="372">
        <f t="shared" si="44"/>
        <v>29.884322381591389</v>
      </c>
      <c r="Y99" s="373">
        <f t="shared" si="45"/>
        <v>-60.879763978710344</v>
      </c>
      <c r="AA99" s="372">
        <f t="shared" si="46"/>
        <v>42.116297537142358</v>
      </c>
      <c r="AB99" s="373">
        <f t="shared" si="47"/>
        <v>-76.161438694138482</v>
      </c>
      <c r="AD99">
        <f t="shared" si="52"/>
        <v>0</v>
      </c>
      <c r="AE99">
        <f t="shared" si="53"/>
        <v>0</v>
      </c>
    </row>
    <row r="100" spans="1:31" x14ac:dyDescent="0.2">
      <c r="A100" s="374">
        <v>3020</v>
      </c>
      <c r="B100" s="391">
        <f t="shared" si="49"/>
        <v>3.02</v>
      </c>
      <c r="C100" s="364">
        <f t="shared" si="27"/>
        <v>3.9914145939207732</v>
      </c>
      <c r="D100" s="365">
        <f t="shared" si="28"/>
        <v>1.3175606541835505</v>
      </c>
      <c r="E100" s="365">
        <f t="shared" si="29"/>
        <v>1.0006524329153743</v>
      </c>
      <c r="F100" s="366">
        <f t="shared" si="30"/>
        <v>3.6113110883114731E-2</v>
      </c>
      <c r="G100" s="365">
        <f t="shared" si="31"/>
        <v>1</v>
      </c>
      <c r="H100" s="366">
        <f t="shared" si="32"/>
        <v>0</v>
      </c>
      <c r="I100" s="364">
        <f t="shared" si="33"/>
        <v>1025.2822668192264</v>
      </c>
      <c r="J100" s="367">
        <f t="shared" si="34"/>
        <v>1.5698209854758169</v>
      </c>
      <c r="K100" s="375">
        <f t="shared" si="35"/>
        <v>1.1765633568775633</v>
      </c>
      <c r="L100" s="376">
        <f t="shared" si="36"/>
        <v>0.55493824517456047</v>
      </c>
      <c r="M100" s="364">
        <f t="shared" si="37"/>
        <v>1.0000327805240732</v>
      </c>
      <c r="N100" s="367">
        <f t="shared" si="38"/>
        <v>8.096867126154178E-3</v>
      </c>
      <c r="O100" s="368">
        <f t="shared" si="39"/>
        <v>1.0020484363098667</v>
      </c>
      <c r="P100" s="369">
        <f t="shared" si="40"/>
        <v>7.4446152254764614E-2</v>
      </c>
      <c r="Q100" s="370">
        <f t="shared" si="41"/>
        <v>19.180044282494947</v>
      </c>
      <c r="R100" s="371">
        <f t="shared" si="42"/>
        <v>-136.29940041299434</v>
      </c>
      <c r="S100" s="373">
        <f t="shared" si="43"/>
        <v>43.700599587005655</v>
      </c>
      <c r="U100" s="346">
        <f t="shared" si="50"/>
        <v>1000000000</v>
      </c>
      <c r="V100" s="346">
        <f t="shared" si="51"/>
        <v>9120400</v>
      </c>
      <c r="X100" s="372">
        <f t="shared" si="44"/>
        <v>29.29182706073442</v>
      </c>
      <c r="Y100" s="373">
        <f t="shared" si="45"/>
        <v>-58.612414100514862</v>
      </c>
      <c r="AA100" s="372">
        <f t="shared" si="46"/>
        <v>41.368842576314904</v>
      </c>
      <c r="AB100" s="373">
        <f t="shared" si="47"/>
        <v>-77.686986312479448</v>
      </c>
      <c r="AD100">
        <f t="shared" si="52"/>
        <v>0</v>
      </c>
      <c r="AE100">
        <f t="shared" si="53"/>
        <v>0</v>
      </c>
    </row>
    <row r="101" spans="1:31" x14ac:dyDescent="0.2">
      <c r="A101" s="374">
        <v>3311.3</v>
      </c>
      <c r="B101" s="391">
        <f t="shared" si="49"/>
        <v>3.3113000000000001</v>
      </c>
      <c r="C101" s="364">
        <f t="shared" si="27"/>
        <v>4.3532498383149107</v>
      </c>
      <c r="D101" s="365">
        <f t="shared" si="28"/>
        <v>1.3390130867687098</v>
      </c>
      <c r="E101" s="365">
        <f t="shared" si="29"/>
        <v>1.0007843147959783</v>
      </c>
      <c r="F101" s="366">
        <f t="shared" si="30"/>
        <v>3.9592992159860584E-2</v>
      </c>
      <c r="G101" s="365">
        <f t="shared" si="31"/>
        <v>1</v>
      </c>
      <c r="H101" s="366">
        <f t="shared" si="32"/>
        <v>0</v>
      </c>
      <c r="I101" s="364">
        <f t="shared" si="33"/>
        <v>1124.1777809598361</v>
      </c>
      <c r="J101" s="367">
        <f t="shared" si="34"/>
        <v>1.5699067876589905</v>
      </c>
      <c r="K101" s="375">
        <f t="shared" si="35"/>
        <v>1.2091376772166333</v>
      </c>
      <c r="L101" s="376">
        <f t="shared" si="36"/>
        <v>0.59698247229470192</v>
      </c>
      <c r="M101" s="364">
        <f t="shared" si="37"/>
        <v>1.0000394092005989</v>
      </c>
      <c r="N101" s="367">
        <f t="shared" si="38"/>
        <v>8.8778270319794916E-3</v>
      </c>
      <c r="O101" s="368">
        <f t="shared" si="39"/>
        <v>1.0024622219962815</v>
      </c>
      <c r="P101" s="369">
        <f t="shared" si="40"/>
        <v>8.1608515538211981E-2</v>
      </c>
      <c r="Q101" s="370">
        <f t="shared" si="41"/>
        <v>17.861188040485516</v>
      </c>
      <c r="R101" s="371">
        <f t="shared" si="42"/>
        <v>-135.3802299791474</v>
      </c>
      <c r="S101" s="373">
        <f t="shared" si="43"/>
        <v>44.619770020852599</v>
      </c>
      <c r="U101" s="346">
        <f t="shared" si="50"/>
        <v>1000000000</v>
      </c>
      <c r="V101" s="346">
        <f t="shared" si="51"/>
        <v>10964707.690000001</v>
      </c>
      <c r="X101" s="372">
        <f t="shared" si="44"/>
        <v>28.729147171778344</v>
      </c>
      <c r="Y101" s="373">
        <f t="shared" si="45"/>
        <v>-56.253119140486994</v>
      </c>
      <c r="AA101" s="372">
        <f t="shared" si="46"/>
        <v>40.612666223261549</v>
      </c>
      <c r="AB101" s="373">
        <f t="shared" si="47"/>
        <v>-79.127110838660442</v>
      </c>
      <c r="AD101">
        <f t="shared" si="52"/>
        <v>0</v>
      </c>
      <c r="AE101">
        <f t="shared" si="53"/>
        <v>0</v>
      </c>
    </row>
    <row r="102" spans="1:31" x14ac:dyDescent="0.2">
      <c r="A102" s="374">
        <v>3630.8</v>
      </c>
      <c r="B102" s="391">
        <f t="shared" si="49"/>
        <v>3.6308000000000002</v>
      </c>
      <c r="C102" s="364">
        <f t="shared" si="27"/>
        <v>4.7520486953708794</v>
      </c>
      <c r="D102" s="365">
        <f t="shared" si="28"/>
        <v>1.3587758579136044</v>
      </c>
      <c r="E102" s="365">
        <f t="shared" si="29"/>
        <v>1.0009428955428334</v>
      </c>
      <c r="F102" s="366">
        <f t="shared" si="30"/>
        <v>4.3408645723785791E-2</v>
      </c>
      <c r="G102" s="365">
        <f t="shared" si="31"/>
        <v>1</v>
      </c>
      <c r="H102" s="366">
        <f t="shared" si="32"/>
        <v>0</v>
      </c>
      <c r="I102" s="364">
        <f t="shared" si="33"/>
        <v>1232.6471220988676</v>
      </c>
      <c r="J102" s="367">
        <f t="shared" si="34"/>
        <v>1.5699850645189677</v>
      </c>
      <c r="K102" s="375">
        <f t="shared" si="35"/>
        <v>1.2471858810006633</v>
      </c>
      <c r="L102" s="376">
        <f t="shared" si="36"/>
        <v>0.64048654588487341</v>
      </c>
      <c r="M102" s="364">
        <f t="shared" si="37"/>
        <v>1.0000473809200605</v>
      </c>
      <c r="N102" s="367">
        <f t="shared" si="38"/>
        <v>9.7343771596442915E-3</v>
      </c>
      <c r="O102" s="368">
        <f t="shared" si="39"/>
        <v>1.0029596513005519</v>
      </c>
      <c r="P102" s="369">
        <f t="shared" si="40"/>
        <v>8.9458389528253884E-2</v>
      </c>
      <c r="Q102" s="370">
        <f t="shared" si="41"/>
        <v>16.565873554085027</v>
      </c>
      <c r="R102" s="371">
        <f t="shared" si="42"/>
        <v>-134.30465899266918</v>
      </c>
      <c r="S102" s="373">
        <f t="shared" si="43"/>
        <v>45.695341007330825</v>
      </c>
      <c r="U102" s="346">
        <f t="shared" si="50"/>
        <v>1000000000</v>
      </c>
      <c r="V102" s="346">
        <f t="shared" si="51"/>
        <v>13182708.640000001</v>
      </c>
      <c r="X102" s="372">
        <f t="shared" si="44"/>
        <v>28.198111188947838</v>
      </c>
      <c r="Y102" s="373">
        <f t="shared" si="45"/>
        <v>-53.814080970323417</v>
      </c>
      <c r="AA102" s="372">
        <f t="shared" si="46"/>
        <v>39.848387719691573</v>
      </c>
      <c r="AB102" s="373">
        <f t="shared" si="47"/>
        <v>-80.490578022345773</v>
      </c>
      <c r="AD102">
        <f t="shared" si="52"/>
        <v>0</v>
      </c>
      <c r="AE102">
        <f t="shared" si="53"/>
        <v>0</v>
      </c>
    </row>
    <row r="103" spans="1:31" x14ac:dyDescent="0.2">
      <c r="A103" s="374">
        <v>3981.1</v>
      </c>
      <c r="B103" s="391">
        <f t="shared" si="49"/>
        <v>3.9811000000000001</v>
      </c>
      <c r="C103" s="364">
        <f t="shared" si="27"/>
        <v>5.1910809965541374</v>
      </c>
      <c r="D103" s="365">
        <f t="shared" si="28"/>
        <v>1.3769464271075715</v>
      </c>
      <c r="E103" s="365">
        <f t="shared" si="29"/>
        <v>1.0011335057655217</v>
      </c>
      <c r="F103" s="366">
        <f t="shared" si="30"/>
        <v>4.7590673540937357E-2</v>
      </c>
      <c r="G103" s="365">
        <f t="shared" si="31"/>
        <v>1</v>
      </c>
      <c r="H103" s="366">
        <f t="shared" si="32"/>
        <v>0</v>
      </c>
      <c r="I103" s="364">
        <f t="shared" si="33"/>
        <v>1351.5729828427573</v>
      </c>
      <c r="J103" s="367">
        <f t="shared" si="34"/>
        <v>1.5700564480728956</v>
      </c>
      <c r="K103" s="375">
        <f t="shared" si="35"/>
        <v>1.2914438874574037</v>
      </c>
      <c r="L103" s="376">
        <f t="shared" si="36"/>
        <v>0.68514531844884796</v>
      </c>
      <c r="M103" s="364">
        <f t="shared" si="37"/>
        <v>1.0000569643214521</v>
      </c>
      <c r="N103" s="367">
        <f t="shared" si="38"/>
        <v>1.0673482793537147E-2</v>
      </c>
      <c r="O103" s="368">
        <f t="shared" si="39"/>
        <v>1.0035573684593662</v>
      </c>
      <c r="P103" s="369">
        <f t="shared" si="40"/>
        <v>9.8057287007332197E-2</v>
      </c>
      <c r="Q103" s="370">
        <f t="shared" si="41"/>
        <v>15.297603309707892</v>
      </c>
      <c r="R103" s="371">
        <f t="shared" si="42"/>
        <v>-133.09796148729825</v>
      </c>
      <c r="S103" s="373">
        <f t="shared" si="43"/>
        <v>46.902038512701751</v>
      </c>
      <c r="U103" s="346">
        <f t="shared" si="50"/>
        <v>1000000000</v>
      </c>
      <c r="V103" s="346">
        <f t="shared" si="51"/>
        <v>15849157.209999999</v>
      </c>
      <c r="X103" s="372">
        <f t="shared" si="44"/>
        <v>27.700900343917422</v>
      </c>
      <c r="Y103" s="373">
        <f t="shared" si="45"/>
        <v>-51.313218547021116</v>
      </c>
      <c r="AA103" s="372">
        <f t="shared" si="46"/>
        <v>39.077328320344847</v>
      </c>
      <c r="AB103" s="373">
        <f t="shared" si="47"/>
        <v>-81.784742940277098</v>
      </c>
      <c r="AD103">
        <f t="shared" si="52"/>
        <v>0</v>
      </c>
      <c r="AE103">
        <f t="shared" si="53"/>
        <v>0</v>
      </c>
    </row>
    <row r="104" spans="1:31" x14ac:dyDescent="0.2">
      <c r="A104" s="374">
        <v>4365.2</v>
      </c>
      <c r="B104" s="391">
        <f t="shared" si="49"/>
        <v>4.3651999999999997</v>
      </c>
      <c r="C104" s="364">
        <f t="shared" si="27"/>
        <v>5.6741250053397554</v>
      </c>
      <c r="D104" s="365">
        <f t="shared" si="28"/>
        <v>1.3936323771433627</v>
      </c>
      <c r="E104" s="365">
        <f t="shared" si="29"/>
        <v>1.0013626243072566</v>
      </c>
      <c r="F104" s="366">
        <f t="shared" si="30"/>
        <v>5.2174300508323633E-2</v>
      </c>
      <c r="G104" s="365">
        <f t="shared" si="31"/>
        <v>1</v>
      </c>
      <c r="H104" s="366">
        <f t="shared" si="32"/>
        <v>0</v>
      </c>
      <c r="I104" s="364">
        <f t="shared" si="33"/>
        <v>1481.973854718753</v>
      </c>
      <c r="J104" s="367">
        <f t="shared" si="34"/>
        <v>1.5701215510067119</v>
      </c>
      <c r="K104" s="375">
        <f t="shared" si="35"/>
        <v>1.3427244496350899</v>
      </c>
      <c r="L104" s="376">
        <f t="shared" si="36"/>
        <v>0.73062952545505078</v>
      </c>
      <c r="M104" s="364">
        <f t="shared" si="37"/>
        <v>1.000068486117478</v>
      </c>
      <c r="N104" s="367">
        <f t="shared" si="38"/>
        <v>1.1703179831379319E-2</v>
      </c>
      <c r="O104" s="368">
        <f t="shared" si="39"/>
        <v>1.0042755795608598</v>
      </c>
      <c r="P104" s="369">
        <f t="shared" si="40"/>
        <v>0.10747574196444873</v>
      </c>
      <c r="Q104" s="370">
        <f t="shared" si="41"/>
        <v>14.058661329151935</v>
      </c>
      <c r="R104" s="371">
        <f t="shared" si="42"/>
        <v>-131.78768556033356</v>
      </c>
      <c r="S104" s="373">
        <f t="shared" si="43"/>
        <v>48.212314439666443</v>
      </c>
      <c r="U104" s="346">
        <f t="shared" si="50"/>
        <v>1000000000</v>
      </c>
      <c r="V104" s="346">
        <f t="shared" si="51"/>
        <v>19054971.039999999</v>
      </c>
      <c r="X104" s="372">
        <f t="shared" si="44"/>
        <v>27.239006594826204</v>
      </c>
      <c r="Y104" s="373">
        <f t="shared" si="45"/>
        <v>-48.769892865947234</v>
      </c>
      <c r="AA104" s="372">
        <f t="shared" si="46"/>
        <v>38.300280088880108</v>
      </c>
      <c r="AB104" s="373">
        <f t="shared" si="47"/>
        <v>-83.01779269438633</v>
      </c>
      <c r="AD104">
        <f t="shared" si="52"/>
        <v>0</v>
      </c>
      <c r="AE104">
        <f t="shared" si="53"/>
        <v>0</v>
      </c>
    </row>
    <row r="105" spans="1:31" x14ac:dyDescent="0.2">
      <c r="A105" s="374">
        <v>4786.3</v>
      </c>
      <c r="B105" s="391">
        <f t="shared" si="49"/>
        <v>4.7862999999999998</v>
      </c>
      <c r="C105" s="364">
        <f t="shared" si="27"/>
        <v>6.2052190497521211</v>
      </c>
      <c r="D105" s="365">
        <f t="shared" si="28"/>
        <v>1.4089358275342463</v>
      </c>
      <c r="E105" s="365">
        <f t="shared" si="29"/>
        <v>1.001637977470194</v>
      </c>
      <c r="F105" s="366">
        <f t="shared" si="30"/>
        <v>5.719693667201152E-2</v>
      </c>
      <c r="G105" s="365">
        <f t="shared" si="31"/>
        <v>1</v>
      </c>
      <c r="H105" s="366">
        <f t="shared" si="32"/>
        <v>0</v>
      </c>
      <c r="I105" s="364">
        <f t="shared" si="33"/>
        <v>1624.936128743703</v>
      </c>
      <c r="J105" s="367">
        <f t="shared" si="34"/>
        <v>1.5701809179517845</v>
      </c>
      <c r="K105" s="375">
        <f t="shared" si="35"/>
        <v>1.4018880364505759</v>
      </c>
      <c r="L105" s="376">
        <f t="shared" si="36"/>
        <v>0.77656696371934808</v>
      </c>
      <c r="M105" s="364">
        <f t="shared" si="37"/>
        <v>1.0000823362491038</v>
      </c>
      <c r="N105" s="367">
        <f t="shared" si="38"/>
        <v>1.2832038039147552E-2</v>
      </c>
      <c r="O105" s="368">
        <f t="shared" si="39"/>
        <v>1.0051383451670717</v>
      </c>
      <c r="P105" s="369">
        <f t="shared" si="40"/>
        <v>0.1177881418143044</v>
      </c>
      <c r="Q105" s="370">
        <f t="shared" si="41"/>
        <v>12.850919597711059</v>
      </c>
      <c r="R105" s="371">
        <f t="shared" si="42"/>
        <v>-130.40364876415853</v>
      </c>
      <c r="S105" s="373">
        <f t="shared" si="43"/>
        <v>49.596351235841468</v>
      </c>
      <c r="U105" s="346">
        <f t="shared" si="50"/>
        <v>1000000000</v>
      </c>
      <c r="V105" s="346">
        <f t="shared" si="51"/>
        <v>22908667.690000001</v>
      </c>
      <c r="X105" s="372">
        <f t="shared" si="44"/>
        <v>26.813499891768593</v>
      </c>
      <c r="Y105" s="373">
        <f t="shared" si="45"/>
        <v>-46.205951815199562</v>
      </c>
      <c r="AA105" s="372">
        <f t="shared" si="46"/>
        <v>37.518045060496839</v>
      </c>
      <c r="AB105" s="373">
        <f t="shared" si="47"/>
        <v>-84.197696948958992</v>
      </c>
      <c r="AD105">
        <f t="shared" si="52"/>
        <v>0</v>
      </c>
      <c r="AE105">
        <f t="shared" si="53"/>
        <v>0</v>
      </c>
    </row>
    <row r="106" spans="1:31" x14ac:dyDescent="0.2">
      <c r="A106" s="374">
        <v>5248.1</v>
      </c>
      <c r="B106" s="391">
        <f t="shared" si="49"/>
        <v>5.2481</v>
      </c>
      <c r="C106" s="364">
        <f t="shared" si="27"/>
        <v>6.7890406542223554</v>
      </c>
      <c r="D106" s="365">
        <f t="shared" si="28"/>
        <v>1.4229622148176264</v>
      </c>
      <c r="E106" s="365">
        <f t="shared" si="29"/>
        <v>1.0019689762794033</v>
      </c>
      <c r="F106" s="366">
        <f t="shared" si="30"/>
        <v>6.2701690174393948E-2</v>
      </c>
      <c r="G106" s="365">
        <f t="shared" si="31"/>
        <v>1</v>
      </c>
      <c r="H106" s="366">
        <f t="shared" si="32"/>
        <v>0</v>
      </c>
      <c r="I106" s="364">
        <f t="shared" si="33"/>
        <v>1781.715944585121</v>
      </c>
      <c r="J106" s="367">
        <f t="shared" si="34"/>
        <v>1.5702350700718255</v>
      </c>
      <c r="K106" s="375">
        <f t="shared" si="35"/>
        <v>1.4698794496958463</v>
      </c>
      <c r="L106" s="376">
        <f t="shared" si="36"/>
        <v>0.82258638836901643</v>
      </c>
      <c r="M106" s="364">
        <f t="shared" si="37"/>
        <v>1.0000989901160207</v>
      </c>
      <c r="N106" s="367">
        <f t="shared" si="38"/>
        <v>1.4069964523141092E-2</v>
      </c>
      <c r="O106" s="368">
        <f t="shared" si="39"/>
        <v>1.0061749241393252</v>
      </c>
      <c r="P106" s="369">
        <f t="shared" si="40"/>
        <v>0.12907973992193958</v>
      </c>
      <c r="Q106" s="370">
        <f t="shared" si="41"/>
        <v>11.674990326148126</v>
      </c>
      <c r="R106" s="371">
        <f t="shared" si="42"/>
        <v>-128.97617517102412</v>
      </c>
      <c r="S106" s="373">
        <f t="shared" si="43"/>
        <v>51.023824828975876</v>
      </c>
      <c r="U106" s="346">
        <f t="shared" si="50"/>
        <v>1000000000</v>
      </c>
      <c r="V106" s="346">
        <f t="shared" si="51"/>
        <v>27542553.610000003</v>
      </c>
      <c r="X106" s="372">
        <f t="shared" si="44"/>
        <v>26.424679589297053</v>
      </c>
      <c r="Y106" s="373">
        <f t="shared" si="45"/>
        <v>-43.643263655035291</v>
      </c>
      <c r="AA106" s="372">
        <f t="shared" si="46"/>
        <v>36.730936091405454</v>
      </c>
      <c r="AB106" s="373">
        <f t="shared" si="47"/>
        <v>-85.332911515988854</v>
      </c>
      <c r="AD106">
        <f t="shared" si="52"/>
        <v>0</v>
      </c>
      <c r="AE106">
        <f t="shared" si="53"/>
        <v>0</v>
      </c>
    </row>
    <row r="107" spans="1:31" x14ac:dyDescent="0.2">
      <c r="A107" s="374">
        <v>5370.3</v>
      </c>
      <c r="B107" s="391">
        <f t="shared" si="49"/>
        <v>5.3703000000000003</v>
      </c>
      <c r="C107" s="364">
        <f t="shared" si="27"/>
        <v>6.9437293251807635</v>
      </c>
      <c r="D107" s="365">
        <f t="shared" si="28"/>
        <v>1.4262789744035098</v>
      </c>
      <c r="E107" s="365">
        <f t="shared" si="29"/>
        <v>1.0020616420962833</v>
      </c>
      <c r="F107" s="366">
        <f t="shared" si="30"/>
        <v>6.4157717274792095E-2</v>
      </c>
      <c r="G107" s="365">
        <f t="shared" si="31"/>
        <v>1</v>
      </c>
      <c r="H107" s="366">
        <f t="shared" si="32"/>
        <v>0</v>
      </c>
      <c r="I107" s="364">
        <f t="shared" si="33"/>
        <v>1823.2025055544352</v>
      </c>
      <c r="J107" s="367">
        <f t="shared" si="34"/>
        <v>1.5702478413430103</v>
      </c>
      <c r="K107" s="375">
        <f t="shared" si="35"/>
        <v>1.4883616945230933</v>
      </c>
      <c r="L107" s="376">
        <f t="shared" si="36"/>
        <v>0.83405258862409482</v>
      </c>
      <c r="M107" s="364">
        <f t="shared" si="37"/>
        <v>1.00010365343809</v>
      </c>
      <c r="N107" s="367">
        <f t="shared" si="38"/>
        <v>1.439753350537939E-2</v>
      </c>
      <c r="O107" s="368">
        <f t="shared" si="39"/>
        <v>1.0064650172135319</v>
      </c>
      <c r="P107" s="369">
        <f t="shared" si="40"/>
        <v>0.1320644156190012</v>
      </c>
      <c r="Q107" s="370">
        <f t="shared" si="41"/>
        <v>11.386168194670869</v>
      </c>
      <c r="R107" s="371">
        <f t="shared" si="42"/>
        <v>-128.61633178794278</v>
      </c>
      <c r="S107" s="373">
        <f t="shared" si="43"/>
        <v>51.383668212057216</v>
      </c>
      <c r="U107" s="346">
        <f t="shared" si="50"/>
        <v>1000000000</v>
      </c>
      <c r="V107" s="346">
        <f t="shared" si="51"/>
        <v>28840122.090000004</v>
      </c>
      <c r="X107" s="372">
        <f t="shared" si="44"/>
        <v>26.333245560579375</v>
      </c>
      <c r="Y107" s="373">
        <f t="shared" si="45"/>
        <v>-43.005798832758622</v>
      </c>
      <c r="AA107" s="372">
        <f t="shared" si="46"/>
        <v>36.533547988645871</v>
      </c>
      <c r="AB107" s="373">
        <f t="shared" si="47"/>
        <v>-85.610532955184169</v>
      </c>
      <c r="AD107">
        <f t="shared" si="52"/>
        <v>0</v>
      </c>
      <c r="AE107">
        <f t="shared" si="53"/>
        <v>0</v>
      </c>
    </row>
    <row r="108" spans="1:31" x14ac:dyDescent="0.2">
      <c r="A108" s="374">
        <v>5432.85</v>
      </c>
      <c r="B108" s="391">
        <f t="shared" si="49"/>
        <v>5.4328500000000002</v>
      </c>
      <c r="C108" s="364">
        <f t="shared" si="27"/>
        <v>7.0229377371585811</v>
      </c>
      <c r="D108" s="365">
        <f t="shared" si="28"/>
        <v>1.42792016526854</v>
      </c>
      <c r="E108" s="365">
        <f t="shared" si="29"/>
        <v>1.0021098964444823</v>
      </c>
      <c r="F108" s="366">
        <f t="shared" si="30"/>
        <v>6.4902902742642585E-2</v>
      </c>
      <c r="G108" s="365">
        <f t="shared" si="31"/>
        <v>1</v>
      </c>
      <c r="H108" s="366">
        <f t="shared" si="32"/>
        <v>0</v>
      </c>
      <c r="I108" s="364">
        <f t="shared" si="33"/>
        <v>1844.4380571273759</v>
      </c>
      <c r="J108" s="367">
        <f t="shared" si="34"/>
        <v>1.5702541562160977</v>
      </c>
      <c r="K108" s="375">
        <f t="shared" si="35"/>
        <v>1.4978964241295227</v>
      </c>
      <c r="L108" s="376">
        <f t="shared" si="36"/>
        <v>0.83981187201667362</v>
      </c>
      <c r="M108" s="364">
        <f t="shared" si="37"/>
        <v>1.0001060819559622</v>
      </c>
      <c r="N108" s="367">
        <f t="shared" si="38"/>
        <v>1.4565203671305513E-2</v>
      </c>
      <c r="O108" s="368">
        <f t="shared" si="39"/>
        <v>1.0066160606012691</v>
      </c>
      <c r="P108" s="369">
        <f t="shared" si="40"/>
        <v>0.13359161833525113</v>
      </c>
      <c r="Q108" s="370">
        <f t="shared" si="41"/>
        <v>11.241623925934629</v>
      </c>
      <c r="R108" s="371">
        <f t="shared" si="42"/>
        <v>-128.43515736253647</v>
      </c>
      <c r="S108" s="373">
        <f t="shared" si="43"/>
        <v>51.564842637463528</v>
      </c>
      <c r="U108" s="346">
        <f t="shared" si="50"/>
        <v>1000000000</v>
      </c>
      <c r="V108" s="346">
        <f t="shared" si="51"/>
        <v>29515859.122500002</v>
      </c>
      <c r="X108" s="372">
        <f t="shared" si="44"/>
        <v>26.288107152437586</v>
      </c>
      <c r="Y108" s="373">
        <f t="shared" si="45"/>
        <v>-42.68578480941229</v>
      </c>
      <c r="AA108" s="372">
        <f t="shared" si="46"/>
        <v>36.43414212805142</v>
      </c>
      <c r="AB108" s="373">
        <f t="shared" si="47"/>
        <v>-85.749372553124189</v>
      </c>
      <c r="AD108">
        <f t="shared" si="52"/>
        <v>0</v>
      </c>
      <c r="AE108">
        <f t="shared" si="53"/>
        <v>0</v>
      </c>
    </row>
    <row r="109" spans="1:31" x14ac:dyDescent="0.2">
      <c r="A109" s="374">
        <v>5495.4</v>
      </c>
      <c r="B109" s="391">
        <f t="shared" si="49"/>
        <v>5.4954000000000001</v>
      </c>
      <c r="C109" s="364">
        <f t="shared" si="27"/>
        <v>7.1021646435052634</v>
      </c>
      <c r="D109" s="365">
        <f t="shared" si="28"/>
        <v>1.4295247443629497</v>
      </c>
      <c r="E109" s="365">
        <f t="shared" si="29"/>
        <v>1.0021587072119222</v>
      </c>
      <c r="F109" s="366">
        <f t="shared" si="30"/>
        <v>6.5648016034772314E-2</v>
      </c>
      <c r="G109" s="365">
        <f t="shared" si="31"/>
        <v>1</v>
      </c>
      <c r="H109" s="366">
        <f t="shared" si="32"/>
        <v>0</v>
      </c>
      <c r="I109" s="364">
        <f t="shared" si="33"/>
        <v>1865.6736087721943</v>
      </c>
      <c r="J109" s="367">
        <f t="shared" si="34"/>
        <v>1.5702603273343367</v>
      </c>
      <c r="K109" s="375">
        <f t="shared" si="35"/>
        <v>1.5074802085250649</v>
      </c>
      <c r="L109" s="376">
        <f t="shared" si="36"/>
        <v>0.84549811290167753</v>
      </c>
      <c r="M109" s="364">
        <f t="shared" si="37"/>
        <v>1.0001085385899644</v>
      </c>
      <c r="N109" s="367">
        <f t="shared" si="38"/>
        <v>1.4732873018226298E-2</v>
      </c>
      <c r="O109" s="368">
        <f t="shared" si="39"/>
        <v>1.0067688329415705</v>
      </c>
      <c r="P109" s="369">
        <f t="shared" si="40"/>
        <v>0.13511844271136525</v>
      </c>
      <c r="Q109" s="370">
        <f t="shared" si="41"/>
        <v>11.099233983719339</v>
      </c>
      <c r="R109" s="371">
        <f t="shared" si="42"/>
        <v>-128.25604443920409</v>
      </c>
      <c r="S109" s="373">
        <f t="shared" si="43"/>
        <v>51.743955560795911</v>
      </c>
      <c r="U109" s="346">
        <f t="shared" si="50"/>
        <v>1000000000</v>
      </c>
      <c r="V109" s="346">
        <f t="shared" si="51"/>
        <v>30199421.159999996</v>
      </c>
      <c r="X109" s="372">
        <f t="shared" si="44"/>
        <v>26.244050646942284</v>
      </c>
      <c r="Y109" s="373">
        <f t="shared" si="45"/>
        <v>-42.36994753000819</v>
      </c>
      <c r="AA109" s="372">
        <f t="shared" si="46"/>
        <v>36.33580869133143</v>
      </c>
      <c r="AB109" s="373">
        <f t="shared" si="47"/>
        <v>-85.886096909195928</v>
      </c>
      <c r="AD109">
        <f t="shared" si="52"/>
        <v>0</v>
      </c>
      <c r="AE109">
        <f t="shared" si="53"/>
        <v>0</v>
      </c>
    </row>
    <row r="110" spans="1:31" x14ac:dyDescent="0.2">
      <c r="A110" s="374">
        <v>5559.4</v>
      </c>
      <c r="B110" s="391">
        <f t="shared" si="49"/>
        <v>5.5593999999999992</v>
      </c>
      <c r="C110" s="364">
        <f t="shared" si="27"/>
        <v>7.1832466489472662</v>
      </c>
      <c r="D110" s="365">
        <f t="shared" si="28"/>
        <v>1.431129880339618</v>
      </c>
      <c r="E110" s="365">
        <f t="shared" si="29"/>
        <v>1.0022092253158166</v>
      </c>
      <c r="F110" s="366">
        <f t="shared" si="30"/>
        <v>6.6410326580303047E-2</v>
      </c>
      <c r="G110" s="365">
        <f t="shared" si="31"/>
        <v>1</v>
      </c>
      <c r="H110" s="366">
        <f t="shared" si="32"/>
        <v>0</v>
      </c>
      <c r="I110" s="364">
        <f t="shared" si="33"/>
        <v>1887.4014314702526</v>
      </c>
      <c r="J110" s="367">
        <f t="shared" si="34"/>
        <v>1.5702664977770138</v>
      </c>
      <c r="K110" s="375">
        <f t="shared" si="35"/>
        <v>1.5173359631453318</v>
      </c>
      <c r="L110" s="376">
        <f t="shared" si="36"/>
        <v>0.85124163099640537</v>
      </c>
      <c r="M110" s="364">
        <f t="shared" si="37"/>
        <v>1.0001110812734439</v>
      </c>
      <c r="N110" s="367">
        <f t="shared" si="38"/>
        <v>1.4904428327009339E-2</v>
      </c>
      <c r="O110" s="368">
        <f t="shared" si="39"/>
        <v>1.0069269355883113</v>
      </c>
      <c r="P110" s="369">
        <f t="shared" si="40"/>
        <v>0.13668026518976983</v>
      </c>
      <c r="Q110" s="370">
        <f t="shared" si="41"/>
        <v>10.955715365767798</v>
      </c>
      <c r="R110" s="371">
        <f t="shared" si="42"/>
        <v>-128.07492420451342</v>
      </c>
      <c r="S110" s="373">
        <f t="shared" si="43"/>
        <v>51.925075795486578</v>
      </c>
      <c r="U110" s="346">
        <f t="shared" si="50"/>
        <v>1000000000</v>
      </c>
      <c r="V110" s="346">
        <f t="shared" si="51"/>
        <v>30906928.359999996</v>
      </c>
      <c r="X110" s="372">
        <f t="shared" si="44"/>
        <v>26.20005897191524</v>
      </c>
      <c r="Y110" s="373">
        <f t="shared" si="45"/>
        <v>-42.051051118728331</v>
      </c>
      <c r="AA110" s="372">
        <f t="shared" si="46"/>
        <v>36.236281748406931</v>
      </c>
      <c r="AB110" s="373">
        <f t="shared" si="47"/>
        <v>-86.02387308578507</v>
      </c>
      <c r="AD110">
        <f t="shared" si="52"/>
        <v>0</v>
      </c>
      <c r="AE110">
        <f t="shared" si="53"/>
        <v>0</v>
      </c>
    </row>
    <row r="111" spans="1:31" x14ac:dyDescent="0.2">
      <c r="A111" s="374">
        <v>5623.4</v>
      </c>
      <c r="B111" s="391">
        <f t="shared" si="49"/>
        <v>5.6233999999999993</v>
      </c>
      <c r="C111" s="364">
        <f t="shared" si="27"/>
        <v>7.2643467485754281</v>
      </c>
      <c r="D111" s="365">
        <f t="shared" si="28"/>
        <v>1.4326991803964479</v>
      </c>
      <c r="E111" s="365">
        <f t="shared" si="29"/>
        <v>1.0022603257619898</v>
      </c>
      <c r="F111" s="366">
        <f t="shared" si="30"/>
        <v>6.7172559835627491E-2</v>
      </c>
      <c r="G111" s="365">
        <f t="shared" si="31"/>
        <v>1</v>
      </c>
      <c r="H111" s="366">
        <f t="shared" si="32"/>
        <v>0</v>
      </c>
      <c r="I111" s="364">
        <f t="shared" si="33"/>
        <v>1909.1292542385372</v>
      </c>
      <c r="J111" s="367">
        <f t="shared" si="34"/>
        <v>1.5702725277679279</v>
      </c>
      <c r="K111" s="375">
        <f t="shared" si="35"/>
        <v>1.5272411246625803</v>
      </c>
      <c r="L111" s="376">
        <f t="shared" si="36"/>
        <v>0.85691083312262972</v>
      </c>
      <c r="M111" s="364">
        <f t="shared" si="37"/>
        <v>1.0001136533912667</v>
      </c>
      <c r="N111" s="367">
        <f t="shared" si="38"/>
        <v>1.5075982758420772E-2</v>
      </c>
      <c r="O111" s="368">
        <f t="shared" si="39"/>
        <v>1.0070868468157086</v>
      </c>
      <c r="P111" s="369">
        <f t="shared" si="40"/>
        <v>0.13824168283854835</v>
      </c>
      <c r="Q111" s="370">
        <f t="shared" si="41"/>
        <v>10.814336962221219</v>
      </c>
      <c r="R111" s="371">
        <f t="shared" si="42"/>
        <v>-127.89598185001981</v>
      </c>
      <c r="S111" s="373">
        <f t="shared" si="43"/>
        <v>52.104018149980192</v>
      </c>
      <c r="U111" s="346">
        <f t="shared" si="50"/>
        <v>1000000000</v>
      </c>
      <c r="V111" s="346">
        <f t="shared" si="51"/>
        <v>31622627.559999995</v>
      </c>
      <c r="X111" s="372">
        <f t="shared" si="44"/>
        <v>26.157132756472251</v>
      </c>
      <c r="Y111" s="373">
        <f t="shared" si="45"/>
        <v>-41.736404601236067</v>
      </c>
      <c r="AA111" s="372">
        <f t="shared" si="46"/>
        <v>36.137829560303345</v>
      </c>
      <c r="AB111" s="373">
        <f t="shared" si="47"/>
        <v>-86.159577248783791</v>
      </c>
      <c r="AD111">
        <f t="shared" si="52"/>
        <v>0</v>
      </c>
      <c r="AE111">
        <f t="shared" si="53"/>
        <v>0</v>
      </c>
    </row>
    <row r="112" spans="1:31" x14ac:dyDescent="0.2">
      <c r="A112" s="374">
        <v>5688.9</v>
      </c>
      <c r="B112" s="391">
        <f t="shared" si="49"/>
        <v>5.6888999999999994</v>
      </c>
      <c r="C112" s="364">
        <f t="shared" si="27"/>
        <v>7.34736574182147</v>
      </c>
      <c r="D112" s="365">
        <f t="shared" si="28"/>
        <v>1.4342693856882134</v>
      </c>
      <c r="E112" s="365">
        <f t="shared" si="29"/>
        <v>1.0023132267571144</v>
      </c>
      <c r="F112" s="366">
        <f t="shared" si="30"/>
        <v>6.7952576992354768E-2</v>
      </c>
      <c r="G112" s="365">
        <f t="shared" si="31"/>
        <v>1</v>
      </c>
      <c r="H112" s="366">
        <f t="shared" si="32"/>
        <v>0</v>
      </c>
      <c r="I112" s="364">
        <f t="shared" si="33"/>
        <v>1931.366322923194</v>
      </c>
      <c r="J112" s="367">
        <f t="shared" si="34"/>
        <v>1.5702785586051897</v>
      </c>
      <c r="K112" s="375">
        <f t="shared" si="35"/>
        <v>1.5374285993045915</v>
      </c>
      <c r="L112" s="376">
        <f t="shared" si="36"/>
        <v>0.86263708055701727</v>
      </c>
      <c r="M112" s="364">
        <f t="shared" si="37"/>
        <v>1.0001163162700923</v>
      </c>
      <c r="N112" s="367">
        <f t="shared" si="38"/>
        <v>1.5251557077830357E-2</v>
      </c>
      <c r="O112" s="368">
        <f t="shared" si="39"/>
        <v>1.007252377839686</v>
      </c>
      <c r="P112" s="369">
        <f t="shared" si="40"/>
        <v>0.13983927243800037</v>
      </c>
      <c r="Q112" s="370">
        <f t="shared" si="41"/>
        <v>10.671803348866391</v>
      </c>
      <c r="R112" s="371">
        <f t="shared" si="42"/>
        <v>-127.71510683499181</v>
      </c>
      <c r="S112" s="373">
        <f t="shared" si="43"/>
        <v>52.284893165008185</v>
      </c>
      <c r="U112" s="346">
        <f t="shared" si="50"/>
        <v>1000000000</v>
      </c>
      <c r="V112" s="346">
        <f t="shared" si="51"/>
        <v>32363583.209999997</v>
      </c>
      <c r="X112" s="372">
        <f t="shared" si="44"/>
        <v>26.114270104722678</v>
      </c>
      <c r="Y112" s="373">
        <f t="shared" si="45"/>
        <v>-41.418719999450119</v>
      </c>
      <c r="AA112" s="372">
        <f t="shared" si="46"/>
        <v>36.038158598698089</v>
      </c>
      <c r="AB112" s="373">
        <f t="shared" si="47"/>
        <v>-86.296386835541711</v>
      </c>
      <c r="AD112">
        <f t="shared" si="52"/>
        <v>0</v>
      </c>
      <c r="AE112">
        <f t="shared" si="53"/>
        <v>0</v>
      </c>
    </row>
    <row r="113" spans="1:31" x14ac:dyDescent="0.2">
      <c r="A113" s="374">
        <v>5754.4</v>
      </c>
      <c r="B113" s="391">
        <f t="shared" si="49"/>
        <v>5.7543999999999995</v>
      </c>
      <c r="C113" s="364">
        <f t="shared" si="27"/>
        <v>7.4304024455009499</v>
      </c>
      <c r="D113" s="365">
        <f t="shared" si="28"/>
        <v>1.435804499779588</v>
      </c>
      <c r="E113" s="365">
        <f t="shared" si="29"/>
        <v>1.002366737521847</v>
      </c>
      <c r="F113" s="366">
        <f t="shared" si="30"/>
        <v>6.8732511342049371E-2</v>
      </c>
      <c r="G113" s="365">
        <f t="shared" si="31"/>
        <v>1</v>
      </c>
      <c r="H113" s="366">
        <f t="shared" si="32"/>
        <v>0</v>
      </c>
      <c r="I113" s="364">
        <f t="shared" si="33"/>
        <v>1953.6033916764973</v>
      </c>
      <c r="J113" s="367">
        <f t="shared" si="34"/>
        <v>1.5702844521493418</v>
      </c>
      <c r="K113" s="375">
        <f t="shared" si="35"/>
        <v>1.5476658214611185</v>
      </c>
      <c r="L113" s="376">
        <f t="shared" si="36"/>
        <v>0.86828775733579155</v>
      </c>
      <c r="M113" s="364">
        <f t="shared" si="37"/>
        <v>1.0001190099786808</v>
      </c>
      <c r="N113" s="367">
        <f t="shared" si="38"/>
        <v>1.5427130456872655E-2</v>
      </c>
      <c r="O113" s="368">
        <f t="shared" si="39"/>
        <v>1.0074198016158997</v>
      </c>
      <c r="P113" s="369">
        <f t="shared" si="40"/>
        <v>0.14143642867060804</v>
      </c>
      <c r="Q113" s="370">
        <f t="shared" si="41"/>
        <v>10.531396270139485</v>
      </c>
      <c r="R113" s="371">
        <f t="shared" si="42"/>
        <v>-127.53652311611515</v>
      </c>
      <c r="S113" s="373">
        <f t="shared" si="43"/>
        <v>52.463476883884852</v>
      </c>
      <c r="U113" s="346">
        <f t="shared" si="50"/>
        <v>1000000000</v>
      </c>
      <c r="V113" s="346">
        <f t="shared" si="51"/>
        <v>33113119.359999996</v>
      </c>
      <c r="X113" s="372">
        <f t="shared" si="44"/>
        <v>26.072456510073245</v>
      </c>
      <c r="Y113" s="373">
        <f t="shared" si="45"/>
        <v>-41.105357357095968</v>
      </c>
      <c r="AA113" s="372">
        <f t="shared" si="46"/>
        <v>35.939565114620621</v>
      </c>
      <c r="AB113" s="373">
        <f t="shared" si="47"/>
        <v>-86.431165759019194</v>
      </c>
      <c r="AD113">
        <f t="shared" si="52"/>
        <v>0</v>
      </c>
      <c r="AE113">
        <f t="shared" si="53"/>
        <v>0</v>
      </c>
    </row>
    <row r="114" spans="1:31" x14ac:dyDescent="0.2">
      <c r="A114" s="374">
        <v>5821.4</v>
      </c>
      <c r="B114" s="391">
        <f t="shared" si="49"/>
        <v>5.8213999999999997</v>
      </c>
      <c r="C114" s="364">
        <f t="shared" si="27"/>
        <v>7.5153584645317428</v>
      </c>
      <c r="D114" s="365">
        <f t="shared" si="28"/>
        <v>1.437339668524068</v>
      </c>
      <c r="E114" s="365">
        <f t="shared" si="29"/>
        <v>1.0024221044979187</v>
      </c>
      <c r="F114" s="366">
        <f t="shared" si="30"/>
        <v>6.9530220135165466E-2</v>
      </c>
      <c r="G114" s="365">
        <f t="shared" si="31"/>
        <v>1</v>
      </c>
      <c r="H114" s="366">
        <f t="shared" si="32"/>
        <v>0</v>
      </c>
      <c r="I114" s="364">
        <f t="shared" si="33"/>
        <v>1976.3497063477203</v>
      </c>
      <c r="J114" s="367">
        <f t="shared" si="34"/>
        <v>1.5702903434461715</v>
      </c>
      <c r="K114" s="375">
        <f t="shared" si="35"/>
        <v>1.5581879310356406</v>
      </c>
      <c r="L114" s="376">
        <f t="shared" si="36"/>
        <v>0.87399083297107483</v>
      </c>
      <c r="M114" s="364">
        <f t="shared" si="37"/>
        <v>1.0001217972718766</v>
      </c>
      <c r="N114" s="367">
        <f t="shared" si="38"/>
        <v>1.5606723616127294E-2</v>
      </c>
      <c r="O114" s="368">
        <f t="shared" si="39"/>
        <v>1.0075930169343497</v>
      </c>
      <c r="P114" s="369">
        <f t="shared" si="40"/>
        <v>0.14306970772325617</v>
      </c>
      <c r="Q114" s="370">
        <f t="shared" si="41"/>
        <v>10.389916264037835</v>
      </c>
      <c r="R114" s="371">
        <f t="shared" si="42"/>
        <v>-127.35622176751937</v>
      </c>
      <c r="S114" s="373">
        <f t="shared" si="43"/>
        <v>52.643778232480628</v>
      </c>
      <c r="U114" s="346">
        <f t="shared" si="50"/>
        <v>1000000000</v>
      </c>
      <c r="V114" s="346">
        <f t="shared" si="51"/>
        <v>33888697.959999993</v>
      </c>
      <c r="X114" s="372">
        <f t="shared" si="44"/>
        <v>26.030737332192622</v>
      </c>
      <c r="Y114" s="373">
        <f t="shared" si="45"/>
        <v>-40.789222669088012</v>
      </c>
      <c r="AA114" s="372">
        <f t="shared" si="46"/>
        <v>35.839804286399584</v>
      </c>
      <c r="AB114" s="373">
        <f t="shared" si="47"/>
        <v>-86.566999098431339</v>
      </c>
      <c r="AD114">
        <f t="shared" si="52"/>
        <v>0</v>
      </c>
      <c r="AE114">
        <f t="shared" si="53"/>
        <v>0</v>
      </c>
    </row>
    <row r="115" spans="1:31" x14ac:dyDescent="0.2">
      <c r="A115" s="374">
        <v>5888.4</v>
      </c>
      <c r="B115" s="391">
        <f t="shared" si="49"/>
        <v>5.8883999999999999</v>
      </c>
      <c r="C115" s="364">
        <f t="shared" si="27"/>
        <v>7.6003317993454926</v>
      </c>
      <c r="D115" s="365">
        <f t="shared" si="28"/>
        <v>1.4388405137103415</v>
      </c>
      <c r="E115" s="365">
        <f t="shared" si="29"/>
        <v>1.0024781092838919</v>
      </c>
      <c r="F115" s="366">
        <f t="shared" si="30"/>
        <v>7.03278403056454E-2</v>
      </c>
      <c r="G115" s="365">
        <f t="shared" si="31"/>
        <v>1</v>
      </c>
      <c r="H115" s="366">
        <f t="shared" si="32"/>
        <v>0</v>
      </c>
      <c r="I115" s="364">
        <f t="shared" si="33"/>
        <v>1999.0960210859757</v>
      </c>
      <c r="J115" s="367">
        <f t="shared" si="34"/>
        <v>1.570296100677113</v>
      </c>
      <c r="K115" s="375">
        <f t="shared" si="35"/>
        <v>1.5687600399783146</v>
      </c>
      <c r="L115" s="376">
        <f t="shared" si="36"/>
        <v>0.87961722179721658</v>
      </c>
      <c r="M115" s="364">
        <f t="shared" si="37"/>
        <v>1.0001246168225233</v>
      </c>
      <c r="N115" s="367">
        <f t="shared" si="38"/>
        <v>1.5786315768556589E-2</v>
      </c>
      <c r="O115" s="368">
        <f t="shared" si="39"/>
        <v>1.0077682109396784</v>
      </c>
      <c r="P115" s="369">
        <f t="shared" si="40"/>
        <v>0.14470252337465678</v>
      </c>
      <c r="Q115" s="370">
        <f t="shared" si="41"/>
        <v>10.250546299801842</v>
      </c>
      <c r="R115" s="371">
        <f t="shared" si="42"/>
        <v>-127.17831844208222</v>
      </c>
      <c r="S115" s="373">
        <f t="shared" si="43"/>
        <v>52.821681557917785</v>
      </c>
      <c r="U115" s="346">
        <f t="shared" si="50"/>
        <v>1000000000</v>
      </c>
      <c r="V115" s="346">
        <f t="shared" si="51"/>
        <v>34673254.559999995</v>
      </c>
      <c r="X115" s="372">
        <f t="shared" si="44"/>
        <v>25.99004926253539</v>
      </c>
      <c r="Y115" s="373">
        <f t="shared" si="45"/>
        <v>-40.477474072496797</v>
      </c>
      <c r="AA115" s="372">
        <f t="shared" si="46"/>
        <v>35.741122391820831</v>
      </c>
      <c r="AB115" s="373">
        <f t="shared" si="47"/>
        <v>-86.70084436958544</v>
      </c>
      <c r="AD115">
        <f t="shared" si="52"/>
        <v>0</v>
      </c>
      <c r="AE115">
        <f t="shared" si="53"/>
        <v>0</v>
      </c>
    </row>
    <row r="116" spans="1:31" x14ac:dyDescent="0.2">
      <c r="A116" s="374">
        <v>5957</v>
      </c>
      <c r="B116" s="391">
        <f t="shared" si="49"/>
        <v>5.9569999999999999</v>
      </c>
      <c r="C116" s="364">
        <f t="shared" si="27"/>
        <v>7.6873516894351903</v>
      </c>
      <c r="D116" s="365">
        <f t="shared" si="28"/>
        <v>1.4403428188742811</v>
      </c>
      <c r="E116" s="365">
        <f t="shared" si="29"/>
        <v>1.002536112224641</v>
      </c>
      <c r="F116" s="366">
        <f t="shared" si="30"/>
        <v>7.1144415255241469E-2</v>
      </c>
      <c r="G116" s="365">
        <f t="shared" si="31"/>
        <v>1</v>
      </c>
      <c r="H116" s="366">
        <f t="shared" si="32"/>
        <v>0</v>
      </c>
      <c r="I116" s="364">
        <f t="shared" si="33"/>
        <v>2022.3855314671616</v>
      </c>
      <c r="J116" s="367">
        <f t="shared" si="34"/>
        <v>1.570301861211955</v>
      </c>
      <c r="K116" s="375">
        <f t="shared" si="35"/>
        <v>1.5796353733853215</v>
      </c>
      <c r="L116" s="376">
        <f t="shared" si="36"/>
        <v>0.88529975636866276</v>
      </c>
      <c r="M116" s="364">
        <f t="shared" si="37"/>
        <v>1.0001275371275775</v>
      </c>
      <c r="N116" s="367">
        <f t="shared" si="38"/>
        <v>1.59701956335375E-2</v>
      </c>
      <c r="O116" s="368">
        <f t="shared" si="39"/>
        <v>1.0079496378734265</v>
      </c>
      <c r="P116" s="369">
        <f t="shared" si="40"/>
        <v>0.14637384626300623</v>
      </c>
      <c r="Q116" s="370">
        <f t="shared" si="41"/>
        <v>10.109976708027478</v>
      </c>
      <c r="R116" s="371">
        <f t="shared" si="42"/>
        <v>-126.99864798340346</v>
      </c>
      <c r="S116" s="373">
        <f t="shared" si="43"/>
        <v>53.001352016596542</v>
      </c>
      <c r="U116" s="346">
        <f t="shared" si="50"/>
        <v>1000000000</v>
      </c>
      <c r="V116" s="346">
        <f t="shared" si="51"/>
        <v>35485849</v>
      </c>
      <c r="X116" s="372">
        <f t="shared" si="44"/>
        <v>25.949424647817452</v>
      </c>
      <c r="Y116" s="373">
        <f t="shared" si="45"/>
        <v>-40.16275441879116</v>
      </c>
      <c r="AA116" s="372">
        <f t="shared" si="46"/>
        <v>35.6411774147644</v>
      </c>
      <c r="AB116" s="373">
        <f t="shared" si="47"/>
        <v>-86.835893564612277</v>
      </c>
      <c r="AD116">
        <f t="shared" si="52"/>
        <v>0</v>
      </c>
      <c r="AE116">
        <f t="shared" si="53"/>
        <v>0</v>
      </c>
    </row>
    <row r="117" spans="1:31" x14ac:dyDescent="0.2">
      <c r="A117" s="374">
        <v>6025.6</v>
      </c>
      <c r="B117" s="391">
        <f t="shared" si="49"/>
        <v>6.0256000000000007</v>
      </c>
      <c r="C117" s="364">
        <f t="shared" si="27"/>
        <v>7.7743885408497739</v>
      </c>
      <c r="D117" s="365">
        <f t="shared" si="28"/>
        <v>1.4418114896848089</v>
      </c>
      <c r="E117" s="365">
        <f t="shared" si="29"/>
        <v>1.0025947835734967</v>
      </c>
      <c r="F117" s="366">
        <f t="shared" si="30"/>
        <v>7.1960895178088055E-2</v>
      </c>
      <c r="G117" s="365">
        <f t="shared" si="31"/>
        <v>1</v>
      </c>
      <c r="H117" s="366">
        <f t="shared" si="32"/>
        <v>0</v>
      </c>
      <c r="I117" s="364">
        <f t="shared" si="33"/>
        <v>2045.6750419139298</v>
      </c>
      <c r="J117" s="367">
        <f t="shared" si="34"/>
        <v>1.5703074905822345</v>
      </c>
      <c r="K117" s="375">
        <f t="shared" si="35"/>
        <v>1.5905610166290343</v>
      </c>
      <c r="L117" s="376">
        <f t="shared" si="36"/>
        <v>0.89090440263000781</v>
      </c>
      <c r="M117" s="364">
        <f t="shared" si="37"/>
        <v>1.0001304912485505</v>
      </c>
      <c r="N117" s="367">
        <f t="shared" si="38"/>
        <v>1.6154074418470669E-2</v>
      </c>
      <c r="O117" s="368">
        <f t="shared" si="39"/>
        <v>1.0081331372101583</v>
      </c>
      <c r="P117" s="369">
        <f t="shared" si="40"/>
        <v>0.14804467271328151</v>
      </c>
      <c r="Q117" s="370">
        <f t="shared" si="41"/>
        <v>9.9715041210759416</v>
      </c>
      <c r="R117" s="371">
        <f t="shared" si="42"/>
        <v>-126.82148251343979</v>
      </c>
      <c r="S117" s="373">
        <f t="shared" si="43"/>
        <v>53.17851748656021</v>
      </c>
      <c r="U117" s="346">
        <f t="shared" si="50"/>
        <v>1000000000</v>
      </c>
      <c r="V117" s="346">
        <f t="shared" si="51"/>
        <v>36307855.360000007</v>
      </c>
      <c r="X117" s="372">
        <f t="shared" si="44"/>
        <v>25.909814722068862</v>
      </c>
      <c r="Y117" s="373">
        <f t="shared" si="45"/>
        <v>-39.852489859474787</v>
      </c>
      <c r="AA117" s="372">
        <f t="shared" si="46"/>
        <v>35.542314753561456</v>
      </c>
      <c r="AB117" s="373">
        <f t="shared" si="47"/>
        <v>-86.968992653964989</v>
      </c>
      <c r="AD117">
        <f t="shared" si="52"/>
        <v>0</v>
      </c>
      <c r="AE117">
        <f t="shared" si="53"/>
        <v>0</v>
      </c>
    </row>
    <row r="118" spans="1:31" x14ac:dyDescent="0.2">
      <c r="A118" s="374">
        <v>6095.8</v>
      </c>
      <c r="B118" s="391">
        <f t="shared" si="49"/>
        <v>6.0958000000000006</v>
      </c>
      <c r="C118" s="364">
        <f t="shared" si="27"/>
        <v>7.8634723780285842</v>
      </c>
      <c r="D118" s="365">
        <f t="shared" si="28"/>
        <v>1.4432807537082128</v>
      </c>
      <c r="E118" s="365">
        <f t="shared" si="29"/>
        <v>1.002655515202338</v>
      </c>
      <c r="F118" s="366">
        <f t="shared" si="30"/>
        <v>7.2796318869065124E-2</v>
      </c>
      <c r="G118" s="365">
        <f t="shared" si="31"/>
        <v>1</v>
      </c>
      <c r="H118" s="366">
        <f t="shared" si="32"/>
        <v>0</v>
      </c>
      <c r="I118" s="364">
        <f t="shared" si="33"/>
        <v>2069.5077480052155</v>
      </c>
      <c r="J118" s="367">
        <f t="shared" si="34"/>
        <v>1.5703131200807017</v>
      </c>
      <c r="K118" s="375">
        <f t="shared" si="35"/>
        <v>1.6017924949189917</v>
      </c>
      <c r="L118" s="376">
        <f t="shared" si="36"/>
        <v>0.89656043441673605</v>
      </c>
      <c r="M118" s="364">
        <f t="shared" si="37"/>
        <v>1.0001335492781724</v>
      </c>
      <c r="N118" s="367">
        <f t="shared" si="38"/>
        <v>1.6342240790329494E-2</v>
      </c>
      <c r="O118" s="368">
        <f t="shared" si="39"/>
        <v>1.0083230608574836</v>
      </c>
      <c r="P118" s="369">
        <f t="shared" si="40"/>
        <v>0.14975394933758709</v>
      </c>
      <c r="Q118" s="370">
        <f t="shared" si="41"/>
        <v>9.8319152243630565</v>
      </c>
      <c r="R118" s="371">
        <f t="shared" si="42"/>
        <v>-126.64277016104722</v>
      </c>
      <c r="S118" s="373">
        <f t="shared" si="43"/>
        <v>53.357229838952776</v>
      </c>
      <c r="U118" s="346">
        <f t="shared" si="50"/>
        <v>1000000000</v>
      </c>
      <c r="V118" s="346">
        <f t="shared" si="51"/>
        <v>37158777.640000001</v>
      </c>
      <c r="X118" s="372">
        <f t="shared" si="44"/>
        <v>25.870298371302756</v>
      </c>
      <c r="Y118" s="373">
        <f t="shared" si="45"/>
        <v>-39.539526794402548</v>
      </c>
      <c r="AA118" s="372">
        <f t="shared" si="46"/>
        <v>35.442242207614683</v>
      </c>
      <c r="AB118" s="373">
        <f t="shared" si="47"/>
        <v>-87.103243366644705</v>
      </c>
      <c r="AD118">
        <f t="shared" si="52"/>
        <v>0</v>
      </c>
      <c r="AE118">
        <f t="shared" si="53"/>
        <v>0</v>
      </c>
    </row>
    <row r="119" spans="1:31" x14ac:dyDescent="0.2">
      <c r="A119" s="374">
        <v>6166</v>
      </c>
      <c r="B119" s="391">
        <f t="shared" si="49"/>
        <v>6.1660000000000004</v>
      </c>
      <c r="C119" s="364">
        <f t="shared" si="27"/>
        <v>7.952572810045397</v>
      </c>
      <c r="D119" s="365">
        <f t="shared" si="28"/>
        <v>1.4447170975780235</v>
      </c>
      <c r="E119" s="365">
        <f t="shared" si="29"/>
        <v>1.0027169465322407</v>
      </c>
      <c r="F119" s="366">
        <f t="shared" si="30"/>
        <v>7.3631640778722945E-2</v>
      </c>
      <c r="G119" s="365">
        <f t="shared" si="31"/>
        <v>1</v>
      </c>
      <c r="H119" s="366">
        <f t="shared" si="32"/>
        <v>0</v>
      </c>
      <c r="I119" s="364">
        <f t="shared" si="33"/>
        <v>2093.3404541605937</v>
      </c>
      <c r="J119" s="367">
        <f t="shared" si="34"/>
        <v>1.5703186213953539</v>
      </c>
      <c r="K119" s="375">
        <f t="shared" si="35"/>
        <v>1.6130745011369694</v>
      </c>
      <c r="L119" s="376">
        <f t="shared" si="36"/>
        <v>0.90213752483187559</v>
      </c>
      <c r="M119" s="364">
        <f t="shared" si="37"/>
        <v>1.0001366427188889</v>
      </c>
      <c r="N119" s="367">
        <f t="shared" si="38"/>
        <v>1.6530406004846593E-2</v>
      </c>
      <c r="O119" s="368">
        <f t="shared" si="39"/>
        <v>1.0085151526083853</v>
      </c>
      <c r="P119" s="369">
        <f t="shared" si="40"/>
        <v>0.1514626947403393</v>
      </c>
      <c r="Q119" s="370">
        <f t="shared" si="41"/>
        <v>9.6944074280929335</v>
      </c>
      <c r="R119" s="371">
        <f t="shared" si="42"/>
        <v>-126.46666261440153</v>
      </c>
      <c r="S119" s="373">
        <f t="shared" si="43"/>
        <v>53.533337385598472</v>
      </c>
      <c r="U119" s="346">
        <f t="shared" si="50"/>
        <v>1000000000</v>
      </c>
      <c r="V119" s="346">
        <f t="shared" si="51"/>
        <v>38019556</v>
      </c>
      <c r="X119" s="372">
        <f t="shared" si="44"/>
        <v>25.831778744889672</v>
      </c>
      <c r="Y119" s="373">
        <f t="shared" si="45"/>
        <v>-39.231079326054086</v>
      </c>
      <c r="AA119" s="372">
        <f t="shared" si="46"/>
        <v>35.343254037757646</v>
      </c>
      <c r="AB119" s="373">
        <f t="shared" si="47"/>
        <v>-87.235583288347428</v>
      </c>
      <c r="AD119">
        <f t="shared" si="52"/>
        <v>0</v>
      </c>
      <c r="AE119">
        <f t="shared" si="53"/>
        <v>0</v>
      </c>
    </row>
    <row r="120" spans="1:31" x14ac:dyDescent="0.2">
      <c r="A120" s="374">
        <v>6237.8</v>
      </c>
      <c r="B120" s="391">
        <f t="shared" si="49"/>
        <v>6.2378</v>
      </c>
      <c r="C120" s="364">
        <f t="shared" si="27"/>
        <v>8.0437206128375234</v>
      </c>
      <c r="D120" s="365">
        <f t="shared" si="28"/>
        <v>1.446153258631935</v>
      </c>
      <c r="E120" s="365">
        <f t="shared" si="29"/>
        <v>1.0027805016765772</v>
      </c>
      <c r="F120" s="366">
        <f t="shared" si="30"/>
        <v>7.4485894881509765E-2</v>
      </c>
      <c r="G120" s="365">
        <f t="shared" si="31"/>
        <v>1</v>
      </c>
      <c r="H120" s="366">
        <f t="shared" si="32"/>
        <v>0</v>
      </c>
      <c r="I120" s="364">
        <f t="shared" si="33"/>
        <v>2117.7163559619044</v>
      </c>
      <c r="J120" s="367">
        <f t="shared" si="34"/>
        <v>1.570324120007454</v>
      </c>
      <c r="K120" s="375">
        <f t="shared" si="35"/>
        <v>1.6246648184104386</v>
      </c>
      <c r="L120" s="376">
        <f t="shared" si="36"/>
        <v>0.90776142410637628</v>
      </c>
      <c r="M120" s="364">
        <f t="shared" si="37"/>
        <v>1.0001398432959625</v>
      </c>
      <c r="N120" s="367">
        <f t="shared" si="38"/>
        <v>1.6722858674135203E-2</v>
      </c>
      <c r="O120" s="368">
        <f t="shared" si="39"/>
        <v>1.0087138641847977</v>
      </c>
      <c r="P120" s="369">
        <f t="shared" si="40"/>
        <v>0.15320983041995281</v>
      </c>
      <c r="Q120" s="370">
        <f t="shared" si="41"/>
        <v>9.555860943887172</v>
      </c>
      <c r="R120" s="371">
        <f t="shared" si="42"/>
        <v>-126.28922300738333</v>
      </c>
      <c r="S120" s="373">
        <f t="shared" si="43"/>
        <v>53.710776992616672</v>
      </c>
      <c r="U120" s="346">
        <f t="shared" si="50"/>
        <v>1000000000</v>
      </c>
      <c r="V120" s="346">
        <f t="shared" si="51"/>
        <v>38910148.840000004</v>
      </c>
      <c r="X120" s="372">
        <f t="shared" si="44"/>
        <v>25.793379458073797</v>
      </c>
      <c r="Y120" s="373">
        <f t="shared" si="45"/>
        <v>-38.920195405836054</v>
      </c>
      <c r="AA120" s="372">
        <f t="shared" si="46"/>
        <v>35.243106840367759</v>
      </c>
      <c r="AB120" s="373">
        <f t="shared" si="47"/>
        <v>-87.369027601547259</v>
      </c>
      <c r="AD120">
        <f t="shared" si="52"/>
        <v>0</v>
      </c>
      <c r="AE120">
        <f t="shared" si="53"/>
        <v>0</v>
      </c>
    </row>
    <row r="121" spans="1:31" x14ac:dyDescent="0.2">
      <c r="A121" s="374">
        <v>6309.6</v>
      </c>
      <c r="B121" s="391">
        <f t="shared" si="49"/>
        <v>6.3096000000000005</v>
      </c>
      <c r="C121" s="364">
        <f t="shared" si="27"/>
        <v>8.1348846344731101</v>
      </c>
      <c r="D121" s="365">
        <f t="shared" si="28"/>
        <v>1.4475572336957945</v>
      </c>
      <c r="E121" s="365">
        <f t="shared" si="29"/>
        <v>1.0028447885069927</v>
      </c>
      <c r="F121" s="366">
        <f t="shared" si="30"/>
        <v>7.5340040084535362E-2</v>
      </c>
      <c r="G121" s="365">
        <f t="shared" si="31"/>
        <v>1</v>
      </c>
      <c r="H121" s="366">
        <f t="shared" si="32"/>
        <v>0</v>
      </c>
      <c r="I121" s="364">
        <f t="shared" si="33"/>
        <v>2142.0922578257873</v>
      </c>
      <c r="J121" s="367">
        <f t="shared" si="34"/>
        <v>1.5703294934768315</v>
      </c>
      <c r="K121" s="375">
        <f t="shared" si="35"/>
        <v>1.6363057920905848</v>
      </c>
      <c r="L121" s="376">
        <f t="shared" si="36"/>
        <v>0.91330547779870797</v>
      </c>
      <c r="M121" s="364">
        <f t="shared" si="37"/>
        <v>1.0001430809160077</v>
      </c>
      <c r="N121" s="367">
        <f t="shared" si="38"/>
        <v>1.6915310104552828E-2</v>
      </c>
      <c r="O121" s="368">
        <f t="shared" si="39"/>
        <v>1.0089148415280209</v>
      </c>
      <c r="P121" s="369">
        <f t="shared" si="40"/>
        <v>0.15495639828821417</v>
      </c>
      <c r="Q121" s="370">
        <f t="shared" si="41"/>
        <v>9.4193770375313832</v>
      </c>
      <c r="R121" s="371">
        <f t="shared" si="42"/>
        <v>-126.11448055902056</v>
      </c>
      <c r="S121" s="373">
        <f t="shared" si="43"/>
        <v>53.885519440979436</v>
      </c>
      <c r="U121" s="346">
        <f t="shared" si="50"/>
        <v>1000000000</v>
      </c>
      <c r="V121" s="346">
        <f t="shared" si="51"/>
        <v>39811052.160000004</v>
      </c>
      <c r="X121" s="372">
        <f t="shared" si="44"/>
        <v>25.755957559027308</v>
      </c>
      <c r="Y121" s="373">
        <f t="shared" si="45"/>
        <v>-38.613879059362361</v>
      </c>
      <c r="AA121" s="372">
        <f t="shared" si="46"/>
        <v>35.144044833058452</v>
      </c>
      <c r="AB121" s="373">
        <f t="shared" si="47"/>
        <v>-87.500601499658202</v>
      </c>
      <c r="AD121">
        <f t="shared" si="52"/>
        <v>0</v>
      </c>
      <c r="AE121">
        <f t="shared" si="53"/>
        <v>0</v>
      </c>
    </row>
    <row r="122" spans="1:31" x14ac:dyDescent="0.2">
      <c r="A122" s="374">
        <v>6383.05</v>
      </c>
      <c r="B122" s="391">
        <f t="shared" si="49"/>
        <v>6.3830499999999999</v>
      </c>
      <c r="C122" s="364">
        <f t="shared" si="27"/>
        <v>8.2281598711471702</v>
      </c>
      <c r="D122" s="365">
        <f t="shared" si="28"/>
        <v>1.4489612786285295</v>
      </c>
      <c r="E122" s="365">
        <f t="shared" si="29"/>
        <v>1.0029113096353397</v>
      </c>
      <c r="F122" s="366">
        <f t="shared" si="30"/>
        <v>7.6213700012706401E-2</v>
      </c>
      <c r="G122" s="365">
        <f t="shared" si="31"/>
        <v>1</v>
      </c>
      <c r="H122" s="366">
        <f t="shared" si="32"/>
        <v>0</v>
      </c>
      <c r="I122" s="364">
        <f t="shared" si="33"/>
        <v>2167.0283301989452</v>
      </c>
      <c r="J122" s="367">
        <f t="shared" si="34"/>
        <v>1.5703348653448752</v>
      </c>
      <c r="K122" s="375">
        <f t="shared" si="35"/>
        <v>1.6482655780226281</v>
      </c>
      <c r="L122" s="376">
        <f t="shared" si="36"/>
        <v>0.91889573008351044</v>
      </c>
      <c r="M122" s="364">
        <f t="shared" si="37"/>
        <v>1.0001464312674615</v>
      </c>
      <c r="N122" s="367">
        <f t="shared" si="38"/>
        <v>1.7112182868580881E-2</v>
      </c>
      <c r="O122" s="368">
        <f t="shared" si="39"/>
        <v>1.0091227806705321</v>
      </c>
      <c r="P122" s="369">
        <f t="shared" si="40"/>
        <v>0.15674250927159114</v>
      </c>
      <c r="Q122" s="370">
        <f t="shared" si="41"/>
        <v>9.2818337023477699</v>
      </c>
      <c r="R122" s="371">
        <f t="shared" si="42"/>
        <v>-125.93849590370178</v>
      </c>
      <c r="S122" s="373">
        <f t="shared" si="43"/>
        <v>54.061504096298222</v>
      </c>
      <c r="U122" s="346">
        <f t="shared" si="50"/>
        <v>1000000000</v>
      </c>
      <c r="V122" s="346">
        <f t="shared" si="51"/>
        <v>40743327.302500002</v>
      </c>
      <c r="X122" s="372">
        <f t="shared" si="44"/>
        <v>25.718654539793778</v>
      </c>
      <c r="Y122" s="373">
        <f t="shared" si="45"/>
        <v>-38.305168960523964</v>
      </c>
      <c r="AA122" s="372">
        <f t="shared" si="46"/>
        <v>35.04380451710837</v>
      </c>
      <c r="AB122" s="373">
        <f t="shared" si="47"/>
        <v>-87.633326943177863</v>
      </c>
      <c r="AD122">
        <f t="shared" si="52"/>
        <v>0</v>
      </c>
      <c r="AE122">
        <f t="shared" si="53"/>
        <v>0</v>
      </c>
    </row>
    <row r="123" spans="1:31" x14ac:dyDescent="0.2">
      <c r="A123" s="374">
        <v>6456.5</v>
      </c>
      <c r="B123" s="391">
        <f t="shared" si="49"/>
        <v>6.4565000000000001</v>
      </c>
      <c r="C123" s="364">
        <f t="shared" si="27"/>
        <v>8.3214509646894381</v>
      </c>
      <c r="D123" s="365">
        <f t="shared" si="28"/>
        <v>1.450333844955183</v>
      </c>
      <c r="E123" s="365">
        <f t="shared" si="29"/>
        <v>1.0029785961656235</v>
      </c>
      <c r="F123" s="366">
        <f t="shared" si="30"/>
        <v>7.7087243385629292E-2</v>
      </c>
      <c r="G123" s="365">
        <f t="shared" si="31"/>
        <v>1</v>
      </c>
      <c r="H123" s="366">
        <f t="shared" si="32"/>
        <v>0</v>
      </c>
      <c r="I123" s="364">
        <f t="shared" si="33"/>
        <v>2191.9644026332148</v>
      </c>
      <c r="J123" s="367">
        <f t="shared" si="34"/>
        <v>1.5703401149907783</v>
      </c>
      <c r="K123" s="375">
        <f t="shared" si="35"/>
        <v>1.6602761307391958</v>
      </c>
      <c r="L123" s="376">
        <f t="shared" si="36"/>
        <v>0.92440527193483379</v>
      </c>
      <c r="M123" s="364">
        <f t="shared" si="37"/>
        <v>1.0001498203832155</v>
      </c>
      <c r="N123" s="367">
        <f t="shared" si="38"/>
        <v>1.730905430599013E-2</v>
      </c>
      <c r="O123" s="368">
        <f t="shared" si="39"/>
        <v>1.0093330884055511</v>
      </c>
      <c r="P123" s="369">
        <f t="shared" si="40"/>
        <v>0.15852801315687531</v>
      </c>
      <c r="Q123" s="370">
        <f t="shared" si="41"/>
        <v>9.1463347939795909</v>
      </c>
      <c r="R123" s="371">
        <f t="shared" si="42"/>
        <v>-125.7652968394567</v>
      </c>
      <c r="S123" s="373">
        <f t="shared" si="43"/>
        <v>54.234703160543305</v>
      </c>
      <c r="U123" s="346">
        <f t="shared" si="50"/>
        <v>1000000000</v>
      </c>
      <c r="V123" s="346">
        <f t="shared" si="51"/>
        <v>41686392.25</v>
      </c>
      <c r="X123" s="372">
        <f t="shared" si="44"/>
        <v>25.682309652173569</v>
      </c>
      <c r="Y123" s="373">
        <f t="shared" si="45"/>
        <v>-38.001076150069366</v>
      </c>
      <c r="AA123" s="372">
        <f t="shared" si="46"/>
        <v>34.944650496360396</v>
      </c>
      <c r="AB123" s="373">
        <f t="shared" si="47"/>
        <v>-87.764220689387344</v>
      </c>
      <c r="AD123">
        <f t="shared" si="52"/>
        <v>0</v>
      </c>
      <c r="AE123">
        <f t="shared" si="53"/>
        <v>0</v>
      </c>
    </row>
    <row r="124" spans="1:31" x14ac:dyDescent="0.2">
      <c r="A124" s="374">
        <v>6531.7</v>
      </c>
      <c r="B124" s="391">
        <f t="shared" si="49"/>
        <v>6.5316999999999998</v>
      </c>
      <c r="C124" s="364">
        <f t="shared" si="27"/>
        <v>8.4169806642869069</v>
      </c>
      <c r="D124" s="365">
        <f t="shared" si="28"/>
        <v>1.4517075888413702</v>
      </c>
      <c r="E124" s="365">
        <f t="shared" si="29"/>
        <v>1.0030482786594443</v>
      </c>
      <c r="F124" s="366">
        <f t="shared" si="30"/>
        <v>7.7981477447296971E-2</v>
      </c>
      <c r="G124" s="365">
        <f t="shared" si="31"/>
        <v>1</v>
      </c>
      <c r="H124" s="366">
        <f t="shared" si="32"/>
        <v>0</v>
      </c>
      <c r="I124" s="364">
        <f t="shared" si="33"/>
        <v>2217.4945953023671</v>
      </c>
      <c r="J124" s="367">
        <f t="shared" si="34"/>
        <v>1.570345367394133</v>
      </c>
      <c r="K124" s="375">
        <f t="shared" si="35"/>
        <v>1.6726242971518859</v>
      </c>
      <c r="L124" s="376">
        <f t="shared" si="36"/>
        <v>0.92996393504677588</v>
      </c>
      <c r="M124" s="364">
        <f t="shared" si="37"/>
        <v>1.0001533304074053</v>
      </c>
      <c r="N124" s="367">
        <f t="shared" si="38"/>
        <v>1.751061495913548E-2</v>
      </c>
      <c r="O124" s="368">
        <f t="shared" si="39"/>
        <v>1.009550859446039</v>
      </c>
      <c r="P124" s="369">
        <f t="shared" si="40"/>
        <v>0.1603554222301562</v>
      </c>
      <c r="Q124" s="370">
        <f t="shared" si="41"/>
        <v>9.0096685607856308</v>
      </c>
      <c r="R124" s="371">
        <f t="shared" si="42"/>
        <v>-125.5908351350166</v>
      </c>
      <c r="S124" s="373">
        <f t="shared" si="43"/>
        <v>54.409164864983396</v>
      </c>
      <c r="U124" s="346">
        <f t="shared" si="50"/>
        <v>1000000000</v>
      </c>
      <c r="V124" s="346">
        <f t="shared" si="51"/>
        <v>42663104.890000001</v>
      </c>
      <c r="X124" s="372">
        <f t="shared" si="44"/>
        <v>25.646059247804569</v>
      </c>
      <c r="Y124" s="373">
        <f t="shared" si="45"/>
        <v>-37.6944377289553</v>
      </c>
      <c r="AA124" s="372">
        <f t="shared" si="46"/>
        <v>34.844234667535439</v>
      </c>
      <c r="AB124" s="373">
        <f t="shared" si="47"/>
        <v>-87.896397406061311</v>
      </c>
      <c r="AD124">
        <f t="shared" si="52"/>
        <v>0</v>
      </c>
      <c r="AE124">
        <f t="shared" si="53"/>
        <v>0</v>
      </c>
    </row>
    <row r="125" spans="1:31" x14ac:dyDescent="0.2">
      <c r="A125" s="374">
        <v>6606.9</v>
      </c>
      <c r="B125" s="391">
        <f t="shared" si="49"/>
        <v>6.6068999999999996</v>
      </c>
      <c r="C125" s="364">
        <f t="shared" si="27"/>
        <v>8.5125258916445627</v>
      </c>
      <c r="D125" s="365">
        <f t="shared" si="28"/>
        <v>1.4530504972063911</v>
      </c>
      <c r="E125" s="365">
        <f t="shared" si="29"/>
        <v>1.0031187631335821</v>
      </c>
      <c r="F125" s="366">
        <f t="shared" si="30"/>
        <v>7.8875586556551164E-2</v>
      </c>
      <c r="G125" s="365">
        <f t="shared" si="31"/>
        <v>1</v>
      </c>
      <c r="H125" s="366">
        <f t="shared" si="32"/>
        <v>0</v>
      </c>
      <c r="I125" s="364">
        <f t="shared" si="33"/>
        <v>2243.0247880313023</v>
      </c>
      <c r="J125" s="367">
        <f t="shared" si="34"/>
        <v>1.5703505002313816</v>
      </c>
      <c r="K125" s="375">
        <f t="shared" si="35"/>
        <v>1.6850233871465861</v>
      </c>
      <c r="L125" s="376">
        <f t="shared" si="36"/>
        <v>0.9354409595012686</v>
      </c>
      <c r="M125" s="364">
        <f t="shared" si="37"/>
        <v>1.0001568810642352</v>
      </c>
      <c r="N125" s="367">
        <f t="shared" si="38"/>
        <v>1.7712174189348565E-2</v>
      </c>
      <c r="O125" s="368">
        <f t="shared" si="39"/>
        <v>1.0097711105433265</v>
      </c>
      <c r="P125" s="369">
        <f t="shared" si="40"/>
        <v>0.16218218117251448</v>
      </c>
      <c r="Q125" s="370">
        <f t="shared" si="41"/>
        <v>8.8750315390473098</v>
      </c>
      <c r="R125" s="371">
        <f t="shared" si="42"/>
        <v>-125.41924721320152</v>
      </c>
      <c r="S125" s="373">
        <f t="shared" si="43"/>
        <v>54.580752786798485</v>
      </c>
      <c r="U125" s="346">
        <f t="shared" si="50"/>
        <v>1000000000</v>
      </c>
      <c r="V125" s="346">
        <f t="shared" si="51"/>
        <v>43651127.609999992</v>
      </c>
      <c r="X125" s="372">
        <f t="shared" si="44"/>
        <v>25.610748986387776</v>
      </c>
      <c r="Y125" s="373">
        <f t="shared" si="45"/>
        <v>-37.392469926202267</v>
      </c>
      <c r="AA125" s="372">
        <f t="shared" si="46"/>
        <v>34.744907907213914</v>
      </c>
      <c r="AB125" s="373">
        <f t="shared" si="47"/>
        <v>-88.026777286999248</v>
      </c>
      <c r="AD125">
        <f t="shared" si="52"/>
        <v>0</v>
      </c>
      <c r="AE125">
        <f t="shared" si="53"/>
        <v>0</v>
      </c>
    </row>
    <row r="126" spans="1:31" x14ac:dyDescent="0.2">
      <c r="A126" s="374">
        <v>6683.85</v>
      </c>
      <c r="B126" s="391">
        <f t="shared" si="49"/>
        <v>6.6838500000000005</v>
      </c>
      <c r="C126" s="364">
        <f t="shared" si="27"/>
        <v>8.6103101131547977</v>
      </c>
      <c r="D126" s="365">
        <f t="shared" si="28"/>
        <v>1.4543938024150522</v>
      </c>
      <c r="E126" s="365">
        <f t="shared" si="29"/>
        <v>1.0031917178871883</v>
      </c>
      <c r="F126" s="366">
        <f t="shared" si="30"/>
        <v>7.9790371914559149E-2</v>
      </c>
      <c r="G126" s="365">
        <f t="shared" si="31"/>
        <v>1</v>
      </c>
      <c r="H126" s="366">
        <f t="shared" si="32"/>
        <v>0</v>
      </c>
      <c r="I126" s="364">
        <f t="shared" si="33"/>
        <v>2269.1491009965566</v>
      </c>
      <c r="J126" s="367">
        <f t="shared" si="34"/>
        <v>1.5703556329542276</v>
      </c>
      <c r="K126" s="375">
        <f t="shared" si="35"/>
        <v>1.6977625708008639</v>
      </c>
      <c r="L126" s="376">
        <f t="shared" si="36"/>
        <v>0.94096245783458532</v>
      </c>
      <c r="M126" s="364">
        <f t="shared" si="37"/>
        <v>1.0001605564109333</v>
      </c>
      <c r="N126" s="367">
        <f t="shared" si="38"/>
        <v>1.7918422470101773E-2</v>
      </c>
      <c r="O126" s="368">
        <f t="shared" si="39"/>
        <v>1.0099990529916636</v>
      </c>
      <c r="P126" s="369">
        <f t="shared" si="40"/>
        <v>0.16405077089318809</v>
      </c>
      <c r="Q126" s="370">
        <f t="shared" si="41"/>
        <v>8.7393050780879857</v>
      </c>
      <c r="R126" s="371">
        <f t="shared" si="42"/>
        <v>-125.2466145848083</v>
      </c>
      <c r="S126" s="373">
        <f t="shared" si="43"/>
        <v>54.753385415191701</v>
      </c>
      <c r="U126" s="346">
        <f t="shared" si="50"/>
        <v>1000000000</v>
      </c>
      <c r="V126" s="346">
        <f t="shared" si="51"/>
        <v>44673850.822500005</v>
      </c>
      <c r="X126" s="372">
        <f t="shared" si="44"/>
        <v>25.575558297395247</v>
      </c>
      <c r="Y126" s="373">
        <f t="shared" si="45"/>
        <v>-37.088222614142509</v>
      </c>
      <c r="AA126" s="372">
        <f t="shared" si="46"/>
        <v>34.644372135247117</v>
      </c>
      <c r="AB126" s="373">
        <f t="shared" si="47"/>
        <v>-88.158391970665761</v>
      </c>
      <c r="AD126">
        <f t="shared" si="52"/>
        <v>0</v>
      </c>
      <c r="AE126">
        <f t="shared" si="53"/>
        <v>0</v>
      </c>
    </row>
    <row r="127" spans="1:31" x14ac:dyDescent="0.2">
      <c r="A127" s="374">
        <v>6760.8</v>
      </c>
      <c r="B127" s="391">
        <f t="shared" si="49"/>
        <v>6.7608000000000006</v>
      </c>
      <c r="C127" s="364">
        <f t="shared" si="27"/>
        <v>8.7081095227517373</v>
      </c>
      <c r="D127" s="365">
        <f t="shared" si="28"/>
        <v>1.4557069370496694</v>
      </c>
      <c r="E127" s="365">
        <f t="shared" si="29"/>
        <v>1.0032655120214755</v>
      </c>
      <c r="F127" s="366">
        <f t="shared" si="30"/>
        <v>8.0705023465743528E-2</v>
      </c>
      <c r="G127" s="365">
        <f t="shared" si="31"/>
        <v>1</v>
      </c>
      <c r="H127" s="366">
        <f t="shared" si="32"/>
        <v>0</v>
      </c>
      <c r="I127" s="364">
        <f t="shared" si="33"/>
        <v>2295.2734140202301</v>
      </c>
      <c r="J127" s="367">
        <f t="shared" si="34"/>
        <v>1.570360648837958</v>
      </c>
      <c r="K127" s="375">
        <f t="shared" si="35"/>
        <v>1.7105527421852711</v>
      </c>
      <c r="L127" s="376">
        <f t="shared" si="36"/>
        <v>0.94640154906731377</v>
      </c>
      <c r="M127" s="364">
        <f t="shared" si="37"/>
        <v>1.0001642743025008</v>
      </c>
      <c r="N127" s="367">
        <f t="shared" si="38"/>
        <v>1.8124669226262727E-2</v>
      </c>
      <c r="O127" s="368">
        <f t="shared" si="39"/>
        <v>1.0102295892617639</v>
      </c>
      <c r="P127" s="369">
        <f t="shared" si="40"/>
        <v>0.16591866520243351</v>
      </c>
      <c r="Q127" s="370">
        <f t="shared" si="41"/>
        <v>8.6055899869552288</v>
      </c>
      <c r="R127" s="371">
        <f t="shared" si="42"/>
        <v>-125.07693592961135</v>
      </c>
      <c r="S127" s="373">
        <f t="shared" si="43"/>
        <v>54.923064070388648</v>
      </c>
      <c r="U127" s="346">
        <f t="shared" si="50"/>
        <v>1000000000</v>
      </c>
      <c r="V127" s="346">
        <f t="shared" si="51"/>
        <v>45708416.640000001</v>
      </c>
      <c r="X127" s="372">
        <f t="shared" si="44"/>
        <v>25.541288445079999</v>
      </c>
      <c r="Y127" s="373">
        <f t="shared" si="45"/>
        <v>-36.788690099412868</v>
      </c>
      <c r="AA127" s="372">
        <f t="shared" si="46"/>
        <v>34.544926896429608</v>
      </c>
      <c r="AB127" s="373">
        <f t="shared" si="47"/>
        <v>-88.288245830198463</v>
      </c>
      <c r="AD127">
        <f t="shared" si="52"/>
        <v>0</v>
      </c>
      <c r="AE127">
        <f t="shared" si="53"/>
        <v>0</v>
      </c>
    </row>
    <row r="128" spans="1:31" x14ac:dyDescent="0.2">
      <c r="A128" s="374">
        <v>6839.55</v>
      </c>
      <c r="B128" s="391">
        <f t="shared" si="49"/>
        <v>6.83955</v>
      </c>
      <c r="C128" s="364">
        <f t="shared" si="27"/>
        <v>8.8082118351098835</v>
      </c>
      <c r="D128" s="365">
        <f t="shared" si="28"/>
        <v>1.4570205948149637</v>
      </c>
      <c r="E128" s="365">
        <f t="shared" si="29"/>
        <v>1.00334190120336</v>
      </c>
      <c r="F128" s="366">
        <f t="shared" si="30"/>
        <v>8.1640930270592049E-2</v>
      </c>
      <c r="G128" s="365">
        <f t="shared" si="31"/>
        <v>1</v>
      </c>
      <c r="H128" s="366">
        <f t="shared" si="32"/>
        <v>0</v>
      </c>
      <c r="I128" s="364">
        <f t="shared" si="33"/>
        <v>2322.0088221438214</v>
      </c>
      <c r="J128" s="367">
        <f t="shared" si="34"/>
        <v>1.5703656651964673</v>
      </c>
      <c r="K128" s="375">
        <f t="shared" si="35"/>
        <v>1.7236937052430159</v>
      </c>
      <c r="L128" s="376">
        <f t="shared" si="36"/>
        <v>0.95188413156569496</v>
      </c>
      <c r="M128" s="364">
        <f t="shared" si="37"/>
        <v>1.0001681232111086</v>
      </c>
      <c r="N128" s="367">
        <f t="shared" si="38"/>
        <v>1.8335738871153282E-2</v>
      </c>
      <c r="O128" s="368">
        <f t="shared" si="39"/>
        <v>1.0104682021245153</v>
      </c>
      <c r="P128" s="369">
        <f t="shared" si="40"/>
        <v>0.16782952523357755</v>
      </c>
      <c r="Q128" s="370">
        <f t="shared" si="41"/>
        <v>8.4707729245543568</v>
      </c>
      <c r="R128" s="371">
        <f t="shared" si="42"/>
        <v>-124.90631565819884</v>
      </c>
      <c r="S128" s="373">
        <f t="shared" si="43"/>
        <v>55.093684341801165</v>
      </c>
      <c r="U128" s="346">
        <f t="shared" si="50"/>
        <v>1000000000</v>
      </c>
      <c r="V128" s="346">
        <f t="shared" si="51"/>
        <v>46779444.202500001</v>
      </c>
      <c r="X128" s="372">
        <f t="shared" si="44"/>
        <v>25.507138759155083</v>
      </c>
      <c r="Y128" s="373">
        <f t="shared" si="45"/>
        <v>-36.486942077085203</v>
      </c>
      <c r="AA128" s="372">
        <f t="shared" si="46"/>
        <v>34.444259519953647</v>
      </c>
      <c r="AB128" s="373">
        <f t="shared" si="47"/>
        <v>-88.419373581113646</v>
      </c>
      <c r="AD128">
        <f t="shared" si="52"/>
        <v>0</v>
      </c>
      <c r="AE128">
        <f t="shared" si="53"/>
        <v>0</v>
      </c>
    </row>
    <row r="129" spans="1:31" x14ac:dyDescent="0.2">
      <c r="A129" s="374">
        <v>6918.3</v>
      </c>
      <c r="B129" s="391">
        <f t="shared" si="49"/>
        <v>6.9183000000000003</v>
      </c>
      <c r="C129" s="364">
        <f t="shared" si="27"/>
        <v>8.9083290061456299</v>
      </c>
      <c r="D129" s="365">
        <f t="shared" si="28"/>
        <v>1.4583047273993655</v>
      </c>
      <c r="E129" s="365">
        <f t="shared" si="29"/>
        <v>1.0034191690997749</v>
      </c>
      <c r="F129" s="366">
        <f t="shared" si="30"/>
        <v>8.2576693756724315E-2</v>
      </c>
      <c r="G129" s="365">
        <f t="shared" si="31"/>
        <v>1</v>
      </c>
      <c r="H129" s="366">
        <f t="shared" si="32"/>
        <v>0</v>
      </c>
      <c r="I129" s="364">
        <f t="shared" si="33"/>
        <v>2348.744230324513</v>
      </c>
      <c r="J129" s="367">
        <f t="shared" si="34"/>
        <v>1.5703705673540427</v>
      </c>
      <c r="K129" s="375">
        <f t="shared" si="35"/>
        <v>1.7368856954104128</v>
      </c>
      <c r="L129" s="376">
        <f t="shared" si="36"/>
        <v>0.95728359172464916</v>
      </c>
      <c r="M129" s="364">
        <f t="shared" si="37"/>
        <v>1.0001720166772572</v>
      </c>
      <c r="N129" s="367">
        <f t="shared" si="38"/>
        <v>1.8546806882144579E-2</v>
      </c>
      <c r="O129" s="368">
        <f t="shared" si="39"/>
        <v>1.0107095282870766</v>
      </c>
      <c r="P129" s="369">
        <f t="shared" si="40"/>
        <v>0.16973964130189437</v>
      </c>
      <c r="Q129" s="370">
        <f t="shared" si="41"/>
        <v>8.3379495126147365</v>
      </c>
      <c r="R129" s="371">
        <f t="shared" si="42"/>
        <v>-124.73872522654813</v>
      </c>
      <c r="S129" s="373">
        <f t="shared" si="43"/>
        <v>55.261274773451873</v>
      </c>
      <c r="U129" s="346">
        <f t="shared" si="50"/>
        <v>1000000000</v>
      </c>
      <c r="V129" s="346">
        <f t="shared" si="51"/>
        <v>47862874.890000001</v>
      </c>
      <c r="X129" s="372">
        <f t="shared" si="44"/>
        <v>25.473890586294928</v>
      </c>
      <c r="Y129" s="373">
        <f t="shared" si="45"/>
        <v>-36.189949977148324</v>
      </c>
      <c r="AA129" s="372">
        <f t="shared" si="46"/>
        <v>34.344684280874183</v>
      </c>
      <c r="AB129" s="373">
        <f t="shared" si="47"/>
        <v>-88.54877524939981</v>
      </c>
      <c r="AD129">
        <f t="shared" si="52"/>
        <v>0</v>
      </c>
      <c r="AE129">
        <f t="shared" si="53"/>
        <v>0</v>
      </c>
    </row>
    <row r="130" spans="1:31" x14ac:dyDescent="0.2">
      <c r="A130" s="374">
        <v>6998.9</v>
      </c>
      <c r="B130" s="391">
        <f t="shared" si="49"/>
        <v>6.9988999999999999</v>
      </c>
      <c r="C130" s="364">
        <f t="shared" si="27"/>
        <v>9.0108130056089184</v>
      </c>
      <c r="D130" s="365">
        <f t="shared" si="28"/>
        <v>1.459589475899022</v>
      </c>
      <c r="E130" s="365">
        <f t="shared" si="29"/>
        <v>1.0034991618878977</v>
      </c>
      <c r="F130" s="366">
        <f t="shared" si="30"/>
        <v>8.3534290174004974E-2</v>
      </c>
      <c r="G130" s="365">
        <f t="shared" si="31"/>
        <v>1</v>
      </c>
      <c r="H130" s="366">
        <f t="shared" si="32"/>
        <v>0</v>
      </c>
      <c r="I130" s="364">
        <f t="shared" si="33"/>
        <v>2376.1077084687881</v>
      </c>
      <c r="J130" s="367">
        <f t="shared" si="34"/>
        <v>1.570375470439793</v>
      </c>
      <c r="K130" s="375">
        <f t="shared" si="35"/>
        <v>1.7504392279024503</v>
      </c>
      <c r="L130" s="376">
        <f t="shared" si="36"/>
        <v>0.96272545857984393</v>
      </c>
      <c r="M130" s="364">
        <f t="shared" si="37"/>
        <v>1.0001760477483757</v>
      </c>
      <c r="N130" s="367">
        <f t="shared" si="38"/>
        <v>1.8762831604719237E-2</v>
      </c>
      <c r="O130" s="368">
        <f t="shared" si="39"/>
        <v>1.0109593315957262</v>
      </c>
      <c r="P130" s="369">
        <f t="shared" si="40"/>
        <v>0.17169385133529072</v>
      </c>
      <c r="Q130" s="370">
        <f t="shared" si="41"/>
        <v>8.2040138716143129</v>
      </c>
      <c r="R130" s="371">
        <f t="shared" si="42"/>
        <v>-124.57029987464973</v>
      </c>
      <c r="S130" s="373">
        <f t="shared" si="43"/>
        <v>55.429700125350266</v>
      </c>
      <c r="U130" s="346">
        <f t="shared" si="50"/>
        <v>1000000000</v>
      </c>
      <c r="V130" s="346">
        <f t="shared" si="51"/>
        <v>48984601.209999993</v>
      </c>
      <c r="X130" s="372">
        <f t="shared" si="44"/>
        <v>25.440763619799839</v>
      </c>
      <c r="Y130" s="373">
        <f t="shared" si="45"/>
        <v>-35.890812204325819</v>
      </c>
      <c r="AA130" s="372">
        <f t="shared" si="46"/>
        <v>34.243875606368846</v>
      </c>
      <c r="AB130" s="373">
        <f t="shared" si="47"/>
        <v>-88.679487670323951</v>
      </c>
      <c r="AD130">
        <f t="shared" si="52"/>
        <v>0</v>
      </c>
      <c r="AE130">
        <f t="shared" si="53"/>
        <v>0</v>
      </c>
    </row>
    <row r="131" spans="1:31" x14ac:dyDescent="0.2">
      <c r="A131" s="374">
        <v>7079.5</v>
      </c>
      <c r="B131" s="391">
        <f t="shared" si="49"/>
        <v>7.0795000000000003</v>
      </c>
      <c r="C131" s="364">
        <f t="shared" si="27"/>
        <v>9.1133115436034267</v>
      </c>
      <c r="D131" s="365">
        <f t="shared" si="28"/>
        <v>1.4608453269834814</v>
      </c>
      <c r="E131" s="365">
        <f t="shared" si="29"/>
        <v>1.0035800747284331</v>
      </c>
      <c r="F131" s="366">
        <f t="shared" si="30"/>
        <v>8.4491733058244783E-2</v>
      </c>
      <c r="G131" s="365">
        <f t="shared" si="31"/>
        <v>1</v>
      </c>
      <c r="H131" s="366">
        <f t="shared" si="32"/>
        <v>0</v>
      </c>
      <c r="I131" s="364">
        <f t="shared" si="33"/>
        <v>2403.4711866688849</v>
      </c>
      <c r="J131" s="367">
        <f t="shared" si="34"/>
        <v>1.5703802618824489</v>
      </c>
      <c r="K131" s="375">
        <f t="shared" si="35"/>
        <v>1.7640438003099437</v>
      </c>
      <c r="L131" s="376">
        <f t="shared" si="36"/>
        <v>0.96808354507977556</v>
      </c>
      <c r="M131" s="364">
        <f t="shared" si="37"/>
        <v>1.0001801254940128</v>
      </c>
      <c r="N131" s="367">
        <f t="shared" si="38"/>
        <v>1.8978854575904456E-2</v>
      </c>
      <c r="O131" s="368">
        <f t="shared" si="39"/>
        <v>1.011211973583245</v>
      </c>
      <c r="P131" s="369">
        <f t="shared" si="40"/>
        <v>0.17364726537201725</v>
      </c>
      <c r="Q131" s="370">
        <f t="shared" si="41"/>
        <v>8.0720542203824337</v>
      </c>
      <c r="R131" s="371">
        <f t="shared" si="42"/>
        <v>-124.40497577610823</v>
      </c>
      <c r="S131" s="373">
        <f t="shared" si="43"/>
        <v>55.59502422389177</v>
      </c>
      <c r="U131" s="346">
        <f t="shared" si="50"/>
        <v>1000000000</v>
      </c>
      <c r="V131" s="346">
        <f t="shared" si="51"/>
        <v>50119320.25</v>
      </c>
      <c r="X131" s="372">
        <f t="shared" si="44"/>
        <v>25.408518806342435</v>
      </c>
      <c r="Y131" s="373">
        <f t="shared" si="45"/>
        <v>-35.596468195246125</v>
      </c>
      <c r="AA131" s="372">
        <f t="shared" si="46"/>
        <v>34.144160768594375</v>
      </c>
      <c r="AB131" s="373">
        <f t="shared" si="47"/>
        <v>-88.808507580862099</v>
      </c>
      <c r="AD131">
        <f t="shared" si="52"/>
        <v>0</v>
      </c>
      <c r="AE131">
        <f t="shared" si="53"/>
        <v>0</v>
      </c>
    </row>
    <row r="132" spans="1:31" x14ac:dyDescent="0.2">
      <c r="A132" s="374">
        <v>7161.95</v>
      </c>
      <c r="B132" s="391">
        <f t="shared" si="49"/>
        <v>7.16195</v>
      </c>
      <c r="C132" s="364">
        <f t="shared" si="27"/>
        <v>9.2181772528126338</v>
      </c>
      <c r="D132" s="365">
        <f t="shared" si="28"/>
        <v>1.4621011044491028</v>
      </c>
      <c r="E132" s="365">
        <f t="shared" si="29"/>
        <v>1.00366379648905</v>
      </c>
      <c r="F132" s="366">
        <f t="shared" si="30"/>
        <v>8.5470991338102487E-2</v>
      </c>
      <c r="G132" s="365">
        <f t="shared" si="31"/>
        <v>1</v>
      </c>
      <c r="H132" s="366">
        <f t="shared" si="32"/>
        <v>0</v>
      </c>
      <c r="I132" s="364">
        <f t="shared" si="33"/>
        <v>2431.4627348338345</v>
      </c>
      <c r="J132" s="367">
        <f t="shared" si="34"/>
        <v>1.5703850517159637</v>
      </c>
      <c r="K132" s="375">
        <f t="shared" si="35"/>
        <v>1.7780122255516768</v>
      </c>
      <c r="L132" s="376">
        <f t="shared" si="36"/>
        <v>0.97347961617269219</v>
      </c>
      <c r="M132" s="364">
        <f t="shared" si="37"/>
        <v>1.0001843451287371</v>
      </c>
      <c r="N132" s="367">
        <f t="shared" si="38"/>
        <v>1.9199834057572793E-2</v>
      </c>
      <c r="O132" s="368">
        <f t="shared" si="39"/>
        <v>1.0114733496574879</v>
      </c>
      <c r="P132" s="369">
        <f t="shared" si="40"/>
        <v>0.17564468347183806</v>
      </c>
      <c r="Q132" s="370">
        <f t="shared" si="41"/>
        <v>7.9390541917847468</v>
      </c>
      <c r="R132" s="371">
        <f t="shared" si="42"/>
        <v>-124.23902631458691</v>
      </c>
      <c r="S132" s="373">
        <f t="shared" si="43"/>
        <v>55.760973685413092</v>
      </c>
      <c r="U132" s="346">
        <f t="shared" si="50"/>
        <v>1000000000</v>
      </c>
      <c r="V132" s="346">
        <f t="shared" si="51"/>
        <v>51293527.802499995</v>
      </c>
      <c r="X132" s="372">
        <f t="shared" si="44"/>
        <v>25.376415778165978</v>
      </c>
      <c r="Y132" s="373">
        <f t="shared" si="45"/>
        <v>-35.300231724234507</v>
      </c>
      <c r="AA132" s="372">
        <f t="shared" si="46"/>
        <v>34.043263768173148</v>
      </c>
      <c r="AB132" s="373">
        <f t="shared" si="47"/>
        <v>-88.938794590352416</v>
      </c>
      <c r="AD132">
        <f t="shared" si="52"/>
        <v>0</v>
      </c>
      <c r="AE132">
        <f t="shared" si="53"/>
        <v>0</v>
      </c>
    </row>
    <row r="133" spans="1:31" x14ac:dyDescent="0.2">
      <c r="A133" s="374">
        <v>7244.4</v>
      </c>
      <c r="B133" s="391">
        <f t="shared" si="49"/>
        <v>7.2443999999999997</v>
      </c>
      <c r="C133" s="364">
        <f t="shared" si="27"/>
        <v>9.323057171841608</v>
      </c>
      <c r="D133" s="365">
        <f t="shared" si="28"/>
        <v>1.4633286300266988</v>
      </c>
      <c r="E133" s="365">
        <f t="shared" si="29"/>
        <v>1.0037484805487373</v>
      </c>
      <c r="F133" s="366">
        <f t="shared" si="30"/>
        <v>8.6450085320977588E-2</v>
      </c>
      <c r="G133" s="365">
        <f t="shared" si="31"/>
        <v>1</v>
      </c>
      <c r="H133" s="366">
        <f t="shared" si="32"/>
        <v>0</v>
      </c>
      <c r="I133" s="364">
        <f t="shared" si="33"/>
        <v>2459.4542830532978</v>
      </c>
      <c r="J133" s="367">
        <f t="shared" si="34"/>
        <v>1.5703897325213443</v>
      </c>
      <c r="K133" s="375">
        <f t="shared" si="35"/>
        <v>1.7920316142513046</v>
      </c>
      <c r="L133" s="376">
        <f t="shared" si="36"/>
        <v>0.97879141103731149</v>
      </c>
      <c r="M133" s="364">
        <f t="shared" si="37"/>
        <v>1.0001886136039813</v>
      </c>
      <c r="N133" s="367">
        <f t="shared" si="38"/>
        <v>1.9420811663896673E-2</v>
      </c>
      <c r="O133" s="368">
        <f t="shared" si="39"/>
        <v>1.0117376922826364</v>
      </c>
      <c r="P133" s="369">
        <f t="shared" si="40"/>
        <v>0.17764125087361604</v>
      </c>
      <c r="Q133" s="370">
        <f t="shared" si="41"/>
        <v>7.8080101568085505</v>
      </c>
      <c r="R133" s="371">
        <f t="shared" si="42"/>
        <v>-124.07624112913174</v>
      </c>
      <c r="S133" s="373">
        <f t="shared" si="43"/>
        <v>55.923758870868255</v>
      </c>
      <c r="U133" s="346">
        <f t="shared" si="50"/>
        <v>1000000000</v>
      </c>
      <c r="V133" s="346">
        <f t="shared" si="51"/>
        <v>52481331.359999992</v>
      </c>
      <c r="X133" s="372">
        <f t="shared" si="44"/>
        <v>25.345174466601136</v>
      </c>
      <c r="Y133" s="373">
        <f t="shared" si="45"/>
        <v>-35.008817571121867</v>
      </c>
      <c r="AA133" s="372">
        <f t="shared" si="46"/>
        <v>33.94346104476179</v>
      </c>
      <c r="AB133" s="373">
        <f t="shared" si="47"/>
        <v>-89.067423558009878</v>
      </c>
      <c r="AD133">
        <f t="shared" si="52"/>
        <v>0</v>
      </c>
      <c r="AE133">
        <f t="shared" si="53"/>
        <v>0</v>
      </c>
    </row>
    <row r="134" spans="1:31" x14ac:dyDescent="0.2">
      <c r="A134" s="374">
        <v>7328.75</v>
      </c>
      <c r="B134" s="391">
        <f t="shared" si="49"/>
        <v>7.3287500000000003</v>
      </c>
      <c r="C134" s="364">
        <f t="shared" si="27"/>
        <v>9.4303681823522894</v>
      </c>
      <c r="D134" s="365">
        <f t="shared" si="28"/>
        <v>1.4645561862234482</v>
      </c>
      <c r="E134" s="365">
        <f t="shared" si="29"/>
        <v>1.0038361116545198</v>
      </c>
      <c r="F134" s="366">
        <f t="shared" si="30"/>
        <v>8.7451569875602611E-2</v>
      </c>
      <c r="G134" s="365">
        <f t="shared" si="31"/>
        <v>1</v>
      </c>
      <c r="H134" s="366">
        <f t="shared" si="32"/>
        <v>0</v>
      </c>
      <c r="I134" s="364">
        <f t="shared" si="33"/>
        <v>2488.0908761012638</v>
      </c>
      <c r="J134" s="367">
        <f t="shared" si="34"/>
        <v>1.5703944122038631</v>
      </c>
      <c r="K134" s="375">
        <f t="shared" si="35"/>
        <v>1.8064255707860295</v>
      </c>
      <c r="L134" s="376">
        <f t="shared" si="36"/>
        <v>0.98414013789887855</v>
      </c>
      <c r="M134" s="364">
        <f t="shared" si="37"/>
        <v>1.0001930309841951</v>
      </c>
      <c r="N134" s="367">
        <f t="shared" si="38"/>
        <v>1.9646879574534263E-2</v>
      </c>
      <c r="O134" s="368">
        <f t="shared" si="39"/>
        <v>1.0120111942650289</v>
      </c>
      <c r="P134" s="369">
        <f t="shared" si="40"/>
        <v>0.17968293807119204</v>
      </c>
      <c r="Q134" s="370">
        <f t="shared" si="41"/>
        <v>7.6759147304155828</v>
      </c>
      <c r="R134" s="371">
        <f t="shared" si="42"/>
        <v>-123.91293552769808</v>
      </c>
      <c r="S134" s="373">
        <f t="shared" si="43"/>
        <v>56.087064472301918</v>
      </c>
      <c r="U134" s="346">
        <f t="shared" si="50"/>
        <v>1000000000</v>
      </c>
      <c r="V134" s="346">
        <f t="shared" si="51"/>
        <v>53710576.5625</v>
      </c>
      <c r="X134" s="372">
        <f t="shared" si="44"/>
        <v>25.314074520293332</v>
      </c>
      <c r="Y134" s="373">
        <f t="shared" si="45"/>
        <v>-34.715578959071408</v>
      </c>
      <c r="AA134" s="372">
        <f t="shared" si="46"/>
        <v>33.842465564676623</v>
      </c>
      <c r="AB134" s="373">
        <f t="shared" si="47"/>
        <v>-89.19735656862666</v>
      </c>
      <c r="AD134">
        <f t="shared" si="52"/>
        <v>0</v>
      </c>
      <c r="AE134">
        <f t="shared" si="53"/>
        <v>0</v>
      </c>
    </row>
    <row r="135" spans="1:31" x14ac:dyDescent="0.2">
      <c r="A135" s="374">
        <v>7413.1</v>
      </c>
      <c r="B135" s="391">
        <f t="shared" si="49"/>
        <v>7.4131</v>
      </c>
      <c r="C135" s="364">
        <f t="shared" si="27"/>
        <v>9.5376930836445037</v>
      </c>
      <c r="D135" s="365">
        <f t="shared" si="28"/>
        <v>1.4657561175250391</v>
      </c>
      <c r="E135" s="365">
        <f t="shared" si="29"/>
        <v>1.0039247494027688</v>
      </c>
      <c r="F135" s="366">
        <f t="shared" si="30"/>
        <v>8.8452878589763584E-2</v>
      </c>
      <c r="G135" s="365">
        <f t="shared" si="31"/>
        <v>1</v>
      </c>
      <c r="H135" s="366">
        <f t="shared" si="32"/>
        <v>0</v>
      </c>
      <c r="I135" s="364">
        <f t="shared" si="33"/>
        <v>2516.727469202478</v>
      </c>
      <c r="J135" s="367">
        <f t="shared" si="34"/>
        <v>1.5703989853908111</v>
      </c>
      <c r="K135" s="375">
        <f t="shared" si="35"/>
        <v>1.8208703892204934</v>
      </c>
      <c r="L135" s="376">
        <f t="shared" si="36"/>
        <v>0.98940415133576687</v>
      </c>
      <c r="M135" s="364">
        <f t="shared" si="37"/>
        <v>1.0001974994805212</v>
      </c>
      <c r="N135" s="367">
        <f t="shared" si="38"/>
        <v>1.9872945476756939E-2</v>
      </c>
      <c r="O135" s="368">
        <f t="shared" si="39"/>
        <v>1.0122877967975312</v>
      </c>
      <c r="P135" s="369">
        <f t="shared" si="40"/>
        <v>0.18172371603506102</v>
      </c>
      <c r="Q135" s="370">
        <f t="shared" si="41"/>
        <v>7.5457554763193642</v>
      </c>
      <c r="R135" s="371">
        <f t="shared" si="42"/>
        <v>-123.75285262091019</v>
      </c>
      <c r="S135" s="373">
        <f t="shared" si="43"/>
        <v>56.24714737908981</v>
      </c>
      <c r="U135" s="346">
        <f t="shared" si="50"/>
        <v>1000000000</v>
      </c>
      <c r="V135" s="346">
        <f t="shared" si="51"/>
        <v>54954051.610000007</v>
      </c>
      <c r="X135" s="372">
        <f t="shared" si="44"/>
        <v>25.283815927221411</v>
      </c>
      <c r="Y135" s="373">
        <f t="shared" si="45"/>
        <v>-34.427187851908236</v>
      </c>
      <c r="AA135" s="372">
        <f t="shared" si="46"/>
        <v>33.74256490365233</v>
      </c>
      <c r="AB135" s="373">
        <f t="shared" si="47"/>
        <v>-89.325664769001975</v>
      </c>
      <c r="AD135">
        <f t="shared" si="52"/>
        <v>0</v>
      </c>
      <c r="AE135">
        <f t="shared" si="53"/>
        <v>0</v>
      </c>
    </row>
    <row r="136" spans="1:31" x14ac:dyDescent="0.2">
      <c r="A136" s="374">
        <v>7499.45</v>
      </c>
      <c r="B136" s="391">
        <f t="shared" si="49"/>
        <v>7.4994499999999995</v>
      </c>
      <c r="C136" s="364">
        <f t="shared" si="27"/>
        <v>9.6475766413247097</v>
      </c>
      <c r="D136" s="365">
        <f t="shared" si="28"/>
        <v>1.4669568438967755</v>
      </c>
      <c r="E136" s="365">
        <f t="shared" si="29"/>
        <v>1.0040165312660612</v>
      </c>
      <c r="F136" s="366">
        <f t="shared" si="30"/>
        <v>8.947774487238376E-2</v>
      </c>
      <c r="G136" s="365">
        <f t="shared" si="31"/>
        <v>1</v>
      </c>
      <c r="H136" s="366">
        <f t="shared" si="32"/>
        <v>0</v>
      </c>
      <c r="I136" s="364">
        <f t="shared" si="33"/>
        <v>2546.0430568584829</v>
      </c>
      <c r="J136" s="367">
        <f t="shared" si="34"/>
        <v>1.5704035604498747</v>
      </c>
      <c r="K136" s="375">
        <f t="shared" si="35"/>
        <v>1.8357091364263998</v>
      </c>
      <c r="L136" s="376">
        <f t="shared" si="36"/>
        <v>0.99470701518425619</v>
      </c>
      <c r="M136" s="364">
        <f t="shared" si="37"/>
        <v>1.0002021268759194</v>
      </c>
      <c r="N136" s="367">
        <f t="shared" si="38"/>
        <v>2.0104369461840365E-2</v>
      </c>
      <c r="O136" s="368">
        <f t="shared" si="39"/>
        <v>1.0125741671687656</v>
      </c>
      <c r="P136" s="369">
        <f t="shared" si="40"/>
        <v>0.18381193058775921</v>
      </c>
      <c r="Q136" s="370">
        <f t="shared" si="41"/>
        <v>7.4144602461417852</v>
      </c>
      <c r="R136" s="371">
        <f t="shared" si="42"/>
        <v>-123.59226457355308</v>
      </c>
      <c r="S136" s="373">
        <f t="shared" si="43"/>
        <v>56.407735426446919</v>
      </c>
      <c r="U136" s="346">
        <f t="shared" si="50"/>
        <v>1000000000</v>
      </c>
      <c r="V136" s="346">
        <f t="shared" si="51"/>
        <v>56241750.302499995</v>
      </c>
      <c r="X136" s="372">
        <f t="shared" si="44"/>
        <v>25.253681369513629</v>
      </c>
      <c r="Y136" s="373">
        <f t="shared" si="45"/>
        <v>-34.136877882924317</v>
      </c>
      <c r="AA136" s="372">
        <f t="shared" si="46"/>
        <v>33.641404231182534</v>
      </c>
      <c r="AB136" s="373">
        <f t="shared" si="47"/>
        <v>-89.455386690628757</v>
      </c>
      <c r="AD136">
        <f t="shared" si="52"/>
        <v>0</v>
      </c>
      <c r="AE136">
        <f t="shared" si="53"/>
        <v>0</v>
      </c>
    </row>
    <row r="137" spans="1:31" x14ac:dyDescent="0.2">
      <c r="A137" s="374">
        <v>7585.8</v>
      </c>
      <c r="B137" s="391">
        <f t="shared" si="49"/>
        <v>7.5857999999999999</v>
      </c>
      <c r="C137" s="364">
        <f t="shared" si="27"/>
        <v>9.7574737950481083</v>
      </c>
      <c r="D137" s="365">
        <f t="shared" si="28"/>
        <v>1.4681305246802487</v>
      </c>
      <c r="E137" s="365">
        <f t="shared" si="29"/>
        <v>1.0041093675055834</v>
      </c>
      <c r="F137" s="366">
        <f t="shared" si="30"/>
        <v>9.0502422720415948E-2</v>
      </c>
      <c r="G137" s="365">
        <f t="shared" si="31"/>
        <v>1</v>
      </c>
      <c r="H137" s="366">
        <f t="shared" si="32"/>
        <v>0</v>
      </c>
      <c r="I137" s="364">
        <f t="shared" si="33"/>
        <v>2575.3586445665669</v>
      </c>
      <c r="J137" s="367">
        <f t="shared" si="34"/>
        <v>1.5704080313521478</v>
      </c>
      <c r="K137" s="375">
        <f t="shared" si="35"/>
        <v>1.8505986757770319</v>
      </c>
      <c r="L137" s="376">
        <f t="shared" si="36"/>
        <v>0.99992469227648106</v>
      </c>
      <c r="M137" s="364">
        <f t="shared" si="37"/>
        <v>1.0002068078387065</v>
      </c>
      <c r="N137" s="367">
        <f t="shared" si="38"/>
        <v>2.0335791293191813E-2</v>
      </c>
      <c r="O137" s="368">
        <f t="shared" si="39"/>
        <v>1.0128637821594029</v>
      </c>
      <c r="P137" s="369">
        <f t="shared" si="40"/>
        <v>0.18589917216642576</v>
      </c>
      <c r="Q137" s="370">
        <f t="shared" si="41"/>
        <v>7.2850836835868948</v>
      </c>
      <c r="R137" s="371">
        <f t="shared" si="42"/>
        <v>-123.43495672779888</v>
      </c>
      <c r="S137" s="373">
        <f t="shared" si="43"/>
        <v>56.565043272201123</v>
      </c>
      <c r="U137" s="346">
        <f t="shared" si="50"/>
        <v>1000000000</v>
      </c>
      <c r="V137" s="346">
        <f t="shared" si="51"/>
        <v>57544361.640000001</v>
      </c>
      <c r="X137" s="372">
        <f t="shared" si="44"/>
        <v>25.224368800193172</v>
      </c>
      <c r="Y137" s="373">
        <f t="shared" si="45"/>
        <v>-33.851442664406072</v>
      </c>
      <c r="AA137" s="372">
        <f t="shared" si="46"/>
        <v>33.541340237948098</v>
      </c>
      <c r="AB137" s="373">
        <f t="shared" si="47"/>
        <v>-89.583514063392826</v>
      </c>
      <c r="AD137">
        <f t="shared" si="52"/>
        <v>0</v>
      </c>
      <c r="AE137">
        <f t="shared" si="53"/>
        <v>0</v>
      </c>
    </row>
    <row r="138" spans="1:31" x14ac:dyDescent="0.2">
      <c r="A138" s="374">
        <v>7674.15</v>
      </c>
      <c r="B138" s="391">
        <f t="shared" si="49"/>
        <v>7.67415</v>
      </c>
      <c r="C138" s="364">
        <f t="shared" si="27"/>
        <v>9.8699299357541381</v>
      </c>
      <c r="D138" s="365">
        <f t="shared" si="28"/>
        <v>1.4693043362167832</v>
      </c>
      <c r="E138" s="365">
        <f t="shared" si="29"/>
        <v>1.0042054449619888</v>
      </c>
      <c r="F138" s="366">
        <f t="shared" si="30"/>
        <v>9.1550636476297798E-2</v>
      </c>
      <c r="G138" s="365">
        <f t="shared" si="31"/>
        <v>1</v>
      </c>
      <c r="H138" s="366">
        <f t="shared" si="32"/>
        <v>0</v>
      </c>
      <c r="I138" s="364">
        <f t="shared" si="33"/>
        <v>2605.3532268306694</v>
      </c>
      <c r="J138" s="367">
        <f t="shared" si="34"/>
        <v>1.5704125016712032</v>
      </c>
      <c r="K138" s="375">
        <f t="shared" si="35"/>
        <v>1.8658843821128317</v>
      </c>
      <c r="L138" s="376">
        <f t="shared" si="36"/>
        <v>1.0051768840637054</v>
      </c>
      <c r="M138" s="364">
        <f t="shared" si="37"/>
        <v>1.0002116526618843</v>
      </c>
      <c r="N138" s="367">
        <f t="shared" si="38"/>
        <v>2.0572570958325702E-2</v>
      </c>
      <c r="O138" s="368">
        <f t="shared" si="39"/>
        <v>1.0131634607769944</v>
      </c>
      <c r="P138" s="369">
        <f t="shared" si="40"/>
        <v>0.18803373990369512</v>
      </c>
      <c r="Q138" s="370">
        <f t="shared" si="41"/>
        <v>7.1546413718659707</v>
      </c>
      <c r="R138" s="371">
        <f t="shared" si="42"/>
        <v>-123.27734885609713</v>
      </c>
      <c r="S138" s="373">
        <f t="shared" si="43"/>
        <v>56.722651143902866</v>
      </c>
      <c r="U138" s="346">
        <f t="shared" si="50"/>
        <v>1000000000</v>
      </c>
      <c r="V138" s="346">
        <f t="shared" si="51"/>
        <v>58892578.222499996</v>
      </c>
      <c r="X138" s="372">
        <f t="shared" si="44"/>
        <v>25.195198484358315</v>
      </c>
      <c r="Y138" s="373">
        <f t="shared" si="45"/>
        <v>-33.564336847378421</v>
      </c>
      <c r="AA138" s="372">
        <f t="shared" si="46"/>
        <v>33.440068242062033</v>
      </c>
      <c r="AB138" s="373">
        <f t="shared" si="47"/>
        <v>-89.713012008718707</v>
      </c>
      <c r="AD138">
        <f t="shared" si="52"/>
        <v>0</v>
      </c>
      <c r="AE138">
        <f t="shared" si="53"/>
        <v>0</v>
      </c>
    </row>
    <row r="139" spans="1:31" x14ac:dyDescent="0.2">
      <c r="A139" s="374">
        <v>7762.5</v>
      </c>
      <c r="B139" s="391">
        <f t="shared" si="49"/>
        <v>7.7625000000000002</v>
      </c>
      <c r="C139" s="364">
        <f t="shared" si="27"/>
        <v>9.9823993691695243</v>
      </c>
      <c r="D139" s="365">
        <f t="shared" si="28"/>
        <v>1.470451699167042</v>
      </c>
      <c r="E139" s="365">
        <f t="shared" si="29"/>
        <v>1.0043026255793968</v>
      </c>
      <c r="F139" s="366">
        <f t="shared" si="30"/>
        <v>9.2598648524207974E-2</v>
      </c>
      <c r="G139" s="365">
        <f t="shared" si="31"/>
        <v>1</v>
      </c>
      <c r="H139" s="366">
        <f t="shared" si="32"/>
        <v>0</v>
      </c>
      <c r="I139" s="364">
        <f t="shared" si="33"/>
        <v>2635.3478091456518</v>
      </c>
      <c r="J139" s="367">
        <f t="shared" si="34"/>
        <v>1.5704168702311263</v>
      </c>
      <c r="K139" s="375">
        <f t="shared" si="35"/>
        <v>1.8812207225633713</v>
      </c>
      <c r="L139" s="376">
        <f t="shared" si="36"/>
        <v>1.0103435812017916</v>
      </c>
      <c r="M139" s="364">
        <f t="shared" si="37"/>
        <v>1.000216553560993</v>
      </c>
      <c r="N139" s="367">
        <f t="shared" si="38"/>
        <v>2.0809348316370296E-2</v>
      </c>
      <c r="O139" s="368">
        <f t="shared" si="39"/>
        <v>1.013466530910212</v>
      </c>
      <c r="P139" s="369">
        <f t="shared" si="40"/>
        <v>0.19016726767422781</v>
      </c>
      <c r="Q139" s="370">
        <f t="shared" si="41"/>
        <v>7.0260979863402406</v>
      </c>
      <c r="R139" s="371">
        <f t="shared" si="42"/>
        <v>-123.12307008335341</v>
      </c>
      <c r="S139" s="373">
        <f t="shared" si="43"/>
        <v>56.876929916646588</v>
      </c>
      <c r="U139" s="346">
        <f t="shared" si="50"/>
        <v>1000000000</v>
      </c>
      <c r="V139" s="346">
        <f t="shared" si="51"/>
        <v>60256406.25</v>
      </c>
      <c r="X139" s="372">
        <f t="shared" si="44"/>
        <v>25.166829840055126</v>
      </c>
      <c r="Y139" s="373">
        <f t="shared" si="45"/>
        <v>-33.282123550367643</v>
      </c>
      <c r="AA139" s="372">
        <f t="shared" si="46"/>
        <v>33.339893500839494</v>
      </c>
      <c r="AB139" s="373">
        <f t="shared" si="47"/>
        <v>-89.840946532985768</v>
      </c>
      <c r="AD139">
        <f t="shared" si="52"/>
        <v>0</v>
      </c>
      <c r="AE139">
        <f t="shared" si="53"/>
        <v>0</v>
      </c>
    </row>
    <row r="140" spans="1:31" x14ac:dyDescent="0.2">
      <c r="A140" s="374">
        <v>7852.9</v>
      </c>
      <c r="B140" s="391">
        <f t="shared" si="49"/>
        <v>7.8529</v>
      </c>
      <c r="C140" s="364">
        <f t="shared" si="27"/>
        <v>10.097491745504957</v>
      </c>
      <c r="D140" s="365">
        <f t="shared" si="28"/>
        <v>1.4715992270883214</v>
      </c>
      <c r="E140" s="365">
        <f t="shared" si="29"/>
        <v>1.0044032026143033</v>
      </c>
      <c r="F140" s="366">
        <f t="shared" si="30"/>
        <v>9.3670766650476453E-2</v>
      </c>
      <c r="G140" s="365">
        <f t="shared" si="31"/>
        <v>1</v>
      </c>
      <c r="H140" s="366">
        <f t="shared" si="32"/>
        <v>0</v>
      </c>
      <c r="I140" s="364">
        <f t="shared" si="33"/>
        <v>2666.0383608804455</v>
      </c>
      <c r="J140" s="367">
        <f t="shared" si="34"/>
        <v>1.5704212384097773</v>
      </c>
      <c r="K140" s="375">
        <f t="shared" si="35"/>
        <v>1.8969640437588462</v>
      </c>
      <c r="L140" s="376">
        <f t="shared" si="36"/>
        <v>1.0155435475952141</v>
      </c>
      <c r="M140" s="364">
        <f t="shared" si="37"/>
        <v>1.0002216262183685</v>
      </c>
      <c r="N140" s="367">
        <f t="shared" si="38"/>
        <v>2.1051617243854188E-2</v>
      </c>
      <c r="O140" s="368">
        <f t="shared" si="39"/>
        <v>1.0137801409452438</v>
      </c>
      <c r="P140" s="369">
        <f t="shared" si="40"/>
        <v>0.19234921238023231</v>
      </c>
      <c r="Q140" s="370">
        <f t="shared" si="41"/>
        <v>6.8964828954653159</v>
      </c>
      <c r="R140" s="371">
        <f t="shared" si="42"/>
        <v>-122.96860210624982</v>
      </c>
      <c r="S140" s="373">
        <f t="shared" si="43"/>
        <v>57.031397893750182</v>
      </c>
      <c r="U140" s="346">
        <f t="shared" si="50"/>
        <v>1000000000</v>
      </c>
      <c r="V140" s="346">
        <f t="shared" si="51"/>
        <v>61668038.409999996</v>
      </c>
      <c r="X140" s="372">
        <f t="shared" si="44"/>
        <v>25.138603625075049</v>
      </c>
      <c r="Y140" s="373">
        <f t="shared" si="45"/>
        <v>-32.998318687343222</v>
      </c>
      <c r="AA140" s="372">
        <f t="shared" si="46"/>
        <v>33.238504624944639</v>
      </c>
      <c r="AB140" s="373">
        <f t="shared" si="47"/>
        <v>-89.970283418906618</v>
      </c>
      <c r="AD140">
        <f t="shared" si="52"/>
        <v>0</v>
      </c>
      <c r="AE140">
        <f t="shared" si="53"/>
        <v>0</v>
      </c>
    </row>
    <row r="141" spans="1:31" x14ac:dyDescent="0.2">
      <c r="A141" s="374">
        <v>7943.3</v>
      </c>
      <c r="B141" s="391">
        <f t="shared" si="49"/>
        <v>7.9432999999999998</v>
      </c>
      <c r="C141" s="364">
        <f t="shared" ref="C141:C204" si="54">SQRT(1+(A141/pole1)^2)</f>
        <v>10.212597118717113</v>
      </c>
      <c r="D141" s="365">
        <f t="shared" ref="D141:D204" si="55">ATAN(A141/pole1)</f>
        <v>1.4727208890663923</v>
      </c>
      <c r="E141" s="365">
        <f t="shared" ref="E141:E204" si="56">SQRT(1+(A141/Zero1)^2)</f>
        <v>1.0045049339157273</v>
      </c>
      <c r="F141" s="366">
        <f t="shared" ref="F141:F204" si="57">ATAN(A141/Zero1)</f>
        <v>9.4742668850958792E-2</v>
      </c>
      <c r="G141" s="365">
        <f t="shared" ref="G141:G204" si="58">IF(VIN_nom&gt;Vout, 1, SQRT(1+(A141/z_RHP)^2))</f>
        <v>1</v>
      </c>
      <c r="H141" s="366">
        <f t="shared" ref="H141:H204" si="59">IF(VIN_nom&gt;Vout, 0, -ATAN(A141/z_RHP))</f>
        <v>0</v>
      </c>
      <c r="I141" s="364">
        <f t="shared" ref="I141:I204" si="60">SQRT(1+(A141/Pole2)^2)</f>
        <v>2696.7289126649521</v>
      </c>
      <c r="J141" s="367">
        <f t="shared" ref="J141:J204" si="61">ATAN(A141/Pole2)</f>
        <v>1.5704255071629265</v>
      </c>
      <c r="K141" s="375">
        <f t="shared" ref="K141:K147" si="62">SQRT(1+(A141/Zero2)^2)</f>
        <v>1.9127578130399863</v>
      </c>
      <c r="L141" s="376">
        <f t="shared" ref="L141:L147" si="63">ATAN(A141/Zero2)</f>
        <v>1.0206577774404653</v>
      </c>
      <c r="M141" s="364">
        <f t="shared" ref="M141:M204" si="64">SQRT(1+(A141/pole4)^2)</f>
        <v>1.0002267575823878</v>
      </c>
      <c r="N141" s="367">
        <f t="shared" ref="N141:N204" si="65">ATAN(A141/pole4)</f>
        <v>2.1293883699781153E-2</v>
      </c>
      <c r="O141" s="368">
        <f t="shared" ref="O141:O204" si="66">SQRT((1-(V141/pterm2))^2+(A141/pterm1)^2)</f>
        <v>1.0140972960864172</v>
      </c>
      <c r="P141" s="369">
        <f t="shared" ref="P141:P204" si="67">IF((ATAN((A141/pterm1)/(1-A141^2/pterm2))&gt;0),ATAN((A141/pterm1)/(1-A141^2/pterm2)),PI()+ATAN((A141/pterm1)/(1-A141^2/pterm2)))</f>
        <v>0.19453004554029618</v>
      </c>
      <c r="Q141" s="370">
        <f t="shared" ref="Q141:Q204" si="68">20*LOG10(((E141*K141*G141)/(C141*I141*O141*M141))*Adc)</f>
        <v>6.7687470476469365</v>
      </c>
      <c r="R141" s="371">
        <f t="shared" ref="R141:R204" si="69">((F141+L141+H141)-(D141+J141+P141+N141))*radconv</f>
        <v>-122.81750730860507</v>
      </c>
      <c r="S141" s="373">
        <f t="shared" ref="S141:S204" si="70">IF(R141&gt;0,R141,R141+180)</f>
        <v>57.182492691394927</v>
      </c>
      <c r="U141" s="346">
        <f t="shared" si="50"/>
        <v>1000000000</v>
      </c>
      <c r="V141" s="346">
        <f t="shared" si="51"/>
        <v>63096014.890000001</v>
      </c>
      <c r="X141" s="372">
        <f t="shared" ref="X141:X204" si="71">20*LOG10((K141/(I141*M141))*AEA)</f>
        <v>25.111158828179384</v>
      </c>
      <c r="Y141" s="373">
        <f t="shared" ref="Y141:Y204" si="72">(L141-(J141+N141))*radconv</f>
        <v>-32.719420328413236</v>
      </c>
      <c r="AA141" s="372">
        <f t="shared" ref="AA141:AA204" si="73">20*LOG10((E141*G141/(C141*O141))*Acs*Am)</f>
        <v>33.138213574021925</v>
      </c>
      <c r="AB141" s="373">
        <f t="shared" ref="AB141:AB204" si="74">(F141+H141-(D141+P141))*radconv</f>
        <v>-90.098086980191823</v>
      </c>
      <c r="AD141">
        <f t="shared" si="52"/>
        <v>0</v>
      </c>
      <c r="AE141">
        <f t="shared" si="53"/>
        <v>0</v>
      </c>
    </row>
    <row r="142" spans="1:31" x14ac:dyDescent="0.2">
      <c r="A142" s="374">
        <v>8035.8</v>
      </c>
      <c r="B142" s="391">
        <f t="shared" ref="B142:B205" si="75">A142/1000</f>
        <v>8.0358000000000001</v>
      </c>
      <c r="C142" s="364">
        <f t="shared" si="54"/>
        <v>10.330389400009182</v>
      </c>
      <c r="D142" s="365">
        <f t="shared" si="55"/>
        <v>1.4738427321510852</v>
      </c>
      <c r="E142" s="365">
        <f t="shared" si="56"/>
        <v>1.0046102228770093</v>
      </c>
      <c r="F142" s="366">
        <f t="shared" si="57"/>
        <v>9.5839245425831887E-2</v>
      </c>
      <c r="G142" s="365">
        <f t="shared" si="58"/>
        <v>1</v>
      </c>
      <c r="H142" s="366">
        <f t="shared" si="59"/>
        <v>0</v>
      </c>
      <c r="I142" s="364">
        <f t="shared" si="60"/>
        <v>2728.1324087330986</v>
      </c>
      <c r="J142" s="367">
        <f t="shared" si="61"/>
        <v>1.570429775662997</v>
      </c>
      <c r="K142" s="375">
        <f t="shared" si="62"/>
        <v>1.9289693999210924</v>
      </c>
      <c r="L142" s="376">
        <f t="shared" si="63"/>
        <v>1.0258039853637373</v>
      </c>
      <c r="M142" s="364">
        <f t="shared" si="64"/>
        <v>1.0002320689156299</v>
      </c>
      <c r="N142" s="367">
        <f t="shared" si="65"/>
        <v>2.1541775438947933E-2</v>
      </c>
      <c r="O142" s="368">
        <f t="shared" si="66"/>
        <v>1.0144254853508397</v>
      </c>
      <c r="P142" s="369">
        <f t="shared" si="67"/>
        <v>0.19676037713133215</v>
      </c>
      <c r="Q142" s="370">
        <f t="shared" si="68"/>
        <v>6.6399349199642197</v>
      </c>
      <c r="R142" s="371">
        <f t="shared" si="69"/>
        <v>-122.66633528285809</v>
      </c>
      <c r="S142" s="373">
        <f t="shared" si="70"/>
        <v>57.333664717141914</v>
      </c>
      <c r="U142" s="346">
        <f t="shared" ref="U142:U205" si="76">IF(Q142&lt;0,A142,1000000000)</f>
        <v>1000000000</v>
      </c>
      <c r="V142" s="346">
        <f t="shared" ref="V142:V205" si="77">A142^2</f>
        <v>64574081.640000001</v>
      </c>
      <c r="X142" s="372">
        <f t="shared" si="71"/>
        <v>25.083856711362241</v>
      </c>
      <c r="Y142" s="373">
        <f t="shared" si="72"/>
        <v>-32.439012051061866</v>
      </c>
      <c r="AA142" s="372">
        <f t="shared" si="73"/>
        <v>33.036703563156358</v>
      </c>
      <c r="AB142" s="373">
        <f t="shared" si="74"/>
        <v>-90.227323231796248</v>
      </c>
      <c r="AD142">
        <f t="shared" ref="AD142:AD205" si="78">SUM((Q143&lt;0)*(Q142&gt;0))*A142</f>
        <v>0</v>
      </c>
      <c r="AE142">
        <f t="shared" si="53"/>
        <v>0</v>
      </c>
    </row>
    <row r="143" spans="1:31" x14ac:dyDescent="0.2">
      <c r="A143" s="374">
        <v>8128.3</v>
      </c>
      <c r="B143" s="391">
        <f t="shared" si="75"/>
        <v>8.1282999999999994</v>
      </c>
      <c r="C143" s="364">
        <f t="shared" si="54"/>
        <v>10.448194389268789</v>
      </c>
      <c r="D143" s="365">
        <f t="shared" si="55"/>
        <v>1.4749392786853837</v>
      </c>
      <c r="E143" s="365">
        <f t="shared" si="56"/>
        <v>1.0047167196081415</v>
      </c>
      <c r="F143" s="366">
        <f t="shared" si="57"/>
        <v>9.6935590851648004E-2</v>
      </c>
      <c r="G143" s="365">
        <f t="shared" si="58"/>
        <v>1</v>
      </c>
      <c r="H143" s="366">
        <f t="shared" si="59"/>
        <v>0</v>
      </c>
      <c r="I143" s="364">
        <f t="shared" si="60"/>
        <v>2759.5359048498212</v>
      </c>
      <c r="J143" s="367">
        <f t="shared" si="61"/>
        <v>1.5704339470120756</v>
      </c>
      <c r="K143" s="375">
        <f t="shared" si="62"/>
        <v>1.9452312202976352</v>
      </c>
      <c r="L143" s="376">
        <f t="shared" si="63"/>
        <v>1.0308642825004048</v>
      </c>
      <c r="M143" s="364">
        <f t="shared" si="64"/>
        <v>1.0002374417127917</v>
      </c>
      <c r="N143" s="367">
        <f t="shared" si="65"/>
        <v>2.178966453023571E-2</v>
      </c>
      <c r="O143" s="368">
        <f t="shared" si="66"/>
        <v>1.014757380195354</v>
      </c>
      <c r="P143" s="369">
        <f t="shared" si="67"/>
        <v>0.19898952073720177</v>
      </c>
      <c r="Q143" s="370">
        <f t="shared" si="68"/>
        <v>6.5129823838820613</v>
      </c>
      <c r="R143" s="371">
        <f t="shared" si="69"/>
        <v>-122.51857565630347</v>
      </c>
      <c r="S143" s="373">
        <f t="shared" si="70"/>
        <v>57.481424343696531</v>
      </c>
      <c r="U143" s="346">
        <f t="shared" si="76"/>
        <v>1000000000</v>
      </c>
      <c r="V143" s="346">
        <f t="shared" si="77"/>
        <v>66069260.890000001</v>
      </c>
      <c r="X143" s="372">
        <f t="shared" si="71"/>
        <v>25.057315826770584</v>
      </c>
      <c r="Y143" s="373">
        <f t="shared" si="72"/>
        <v>-32.163520381149084</v>
      </c>
      <c r="AA143" s="372">
        <f t="shared" si="73"/>
        <v>32.936291911665847</v>
      </c>
      <c r="AB143" s="373">
        <f t="shared" si="74"/>
        <v>-90.355055275154371</v>
      </c>
      <c r="AD143">
        <f t="shared" si="78"/>
        <v>0</v>
      </c>
      <c r="AE143">
        <f t="shared" si="53"/>
        <v>0</v>
      </c>
    </row>
    <row r="144" spans="1:31" x14ac:dyDescent="0.2">
      <c r="A144" s="374">
        <v>8222.9500000000007</v>
      </c>
      <c r="B144" s="391">
        <f t="shared" si="75"/>
        <v>8.2229500000000009</v>
      </c>
      <c r="C144" s="364">
        <f t="shared" si="54"/>
        <v>10.568750259722341</v>
      </c>
      <c r="D144" s="365">
        <f t="shared" si="55"/>
        <v>1.4760360068814085</v>
      </c>
      <c r="E144" s="365">
        <f t="shared" si="56"/>
        <v>1.0048269414729147</v>
      </c>
      <c r="F144" s="366">
        <f t="shared" si="57"/>
        <v>9.8057176958233599E-2</v>
      </c>
      <c r="G144" s="365">
        <f t="shared" si="58"/>
        <v>1</v>
      </c>
      <c r="H144" s="366">
        <f t="shared" si="59"/>
        <v>0</v>
      </c>
      <c r="I144" s="364">
        <f t="shared" si="60"/>
        <v>2791.6693201140451</v>
      </c>
      <c r="J144" s="367">
        <f t="shared" si="61"/>
        <v>1.5704381181724854</v>
      </c>
      <c r="K144" s="375">
        <f t="shared" si="62"/>
        <v>1.9619217135269111</v>
      </c>
      <c r="L144" s="376">
        <f t="shared" si="63"/>
        <v>1.0359552296863412</v>
      </c>
      <c r="M144" s="364">
        <f t="shared" si="64"/>
        <v>1.0002430030136062</v>
      </c>
      <c r="N144" s="367">
        <f t="shared" si="65"/>
        <v>2.2043312595322419E-2</v>
      </c>
      <c r="O144" s="368">
        <f t="shared" si="66"/>
        <v>1.0151008218376054</v>
      </c>
      <c r="P144" s="369">
        <f t="shared" si="67"/>
        <v>0.20126923445500633</v>
      </c>
      <c r="Q144" s="370">
        <f t="shared" si="68"/>
        <v>6.3849502292454172</v>
      </c>
      <c r="R144" s="371">
        <f t="shared" si="69"/>
        <v>-122.3708515433204</v>
      </c>
      <c r="S144" s="373">
        <f t="shared" si="70"/>
        <v>57.629148456679602</v>
      </c>
      <c r="U144" s="346">
        <f t="shared" si="76"/>
        <v>1000000000</v>
      </c>
      <c r="V144" s="346">
        <f t="shared" si="77"/>
        <v>67616906.702500015</v>
      </c>
      <c r="X144" s="372">
        <f t="shared" si="71"/>
        <v>25.030917890965995</v>
      </c>
      <c r="Y144" s="373">
        <f t="shared" si="72"/>
        <v>-31.886602546852771</v>
      </c>
      <c r="AA144" s="372">
        <f t="shared" si="73"/>
        <v>32.834657692833801</v>
      </c>
      <c r="AB144" s="373">
        <f t="shared" si="74"/>
        <v>-90.484248996467628</v>
      </c>
      <c r="AD144">
        <f t="shared" si="78"/>
        <v>0</v>
      </c>
      <c r="AE144">
        <f t="shared" si="53"/>
        <v>0</v>
      </c>
    </row>
    <row r="145" spans="1:31" x14ac:dyDescent="0.2">
      <c r="A145" s="374">
        <v>8270.2750000000015</v>
      </c>
      <c r="B145" s="391">
        <f t="shared" si="75"/>
        <v>8.2702750000000016</v>
      </c>
      <c r="C145" s="364">
        <f t="shared" si="54"/>
        <v>10.629032880929511</v>
      </c>
      <c r="D145" s="365">
        <f t="shared" si="55"/>
        <v>1.4765750412305538</v>
      </c>
      <c r="E145" s="365">
        <f t="shared" si="56"/>
        <v>1.004882526337453</v>
      </c>
      <c r="F145" s="366">
        <f t="shared" si="57"/>
        <v>9.8617877391875039E-2</v>
      </c>
      <c r="G145" s="365">
        <f t="shared" si="58"/>
        <v>1</v>
      </c>
      <c r="H145" s="366">
        <f t="shared" si="59"/>
        <v>0</v>
      </c>
      <c r="I145" s="364">
        <f t="shared" si="60"/>
        <v>2807.7360277640591</v>
      </c>
      <c r="J145" s="367">
        <f t="shared" si="61"/>
        <v>1.5704401679497442</v>
      </c>
      <c r="K145" s="375">
        <f t="shared" si="62"/>
        <v>1.9702857859340936</v>
      </c>
      <c r="L145" s="376">
        <f t="shared" si="63"/>
        <v>1.0384683262950192</v>
      </c>
      <c r="M145" s="364">
        <f t="shared" si="64"/>
        <v>1.0002458077961773</v>
      </c>
      <c r="N145" s="367">
        <f t="shared" si="65"/>
        <v>2.2170135566086151E-2</v>
      </c>
      <c r="O145" s="368">
        <f t="shared" si="66"/>
        <v>1.01527399529563</v>
      </c>
      <c r="P145" s="369">
        <f t="shared" si="67"/>
        <v>0.20240861603429663</v>
      </c>
      <c r="Q145" s="370">
        <f t="shared" si="68"/>
        <v>6.321627374173139</v>
      </c>
      <c r="R145" s="371">
        <f t="shared" si="69"/>
        <v>-122.29828595915561</v>
      </c>
      <c r="S145" s="373">
        <f t="shared" si="70"/>
        <v>57.701714040844394</v>
      </c>
      <c r="U145" s="346">
        <f t="shared" si="76"/>
        <v>1000000000</v>
      </c>
      <c r="V145" s="346">
        <f t="shared" si="77"/>
        <v>68397448.575625017</v>
      </c>
      <c r="X145" s="372">
        <f t="shared" si="71"/>
        <v>25.017998526006743</v>
      </c>
      <c r="Y145" s="373">
        <f t="shared" si="72"/>
        <v>-31.749996582066743</v>
      </c>
      <c r="AA145" s="372">
        <f t="shared" si="73"/>
        <v>32.784254202720774</v>
      </c>
      <c r="AB145" s="373">
        <f t="shared" si="74"/>
        <v>-90.548289377088892</v>
      </c>
      <c r="AD145">
        <f t="shared" si="78"/>
        <v>0</v>
      </c>
      <c r="AE145">
        <f t="shared" si="53"/>
        <v>0</v>
      </c>
    </row>
    <row r="146" spans="1:31" x14ac:dyDescent="0.2">
      <c r="A146" s="374">
        <v>8317.6</v>
      </c>
      <c r="B146" s="391">
        <f t="shared" si="75"/>
        <v>8.3176000000000005</v>
      </c>
      <c r="C146" s="364">
        <f t="shared" si="54"/>
        <v>10.689318555653378</v>
      </c>
      <c r="D146" s="365">
        <f t="shared" si="55"/>
        <v>1.477107995635615</v>
      </c>
      <c r="E146" s="365">
        <f t="shared" si="56"/>
        <v>1.0049384270869544</v>
      </c>
      <c r="F146" s="366">
        <f t="shared" si="57"/>
        <v>9.9178515622662028E-2</v>
      </c>
      <c r="G146" s="365">
        <f t="shared" si="58"/>
        <v>1</v>
      </c>
      <c r="H146" s="366">
        <f t="shared" si="59"/>
        <v>0</v>
      </c>
      <c r="I146" s="364">
        <f t="shared" si="60"/>
        <v>2823.8027354257342</v>
      </c>
      <c r="J146" s="367">
        <f t="shared" si="61"/>
        <v>1.5704421944015972</v>
      </c>
      <c r="K146" s="375">
        <f t="shared" si="62"/>
        <v>1.9786621967381417</v>
      </c>
      <c r="L146" s="376">
        <f t="shared" si="63"/>
        <v>1.0409601607907892</v>
      </c>
      <c r="M146" s="364">
        <f t="shared" si="64"/>
        <v>1.0002486286666776</v>
      </c>
      <c r="N146" s="367">
        <f t="shared" si="65"/>
        <v>2.2296957823565177E-2</v>
      </c>
      <c r="O146" s="368">
        <f t="shared" si="66"/>
        <v>1.0154481366059611</v>
      </c>
      <c r="P146" s="369">
        <f t="shared" si="67"/>
        <v>0.20354767860269762</v>
      </c>
      <c r="Q146" s="370">
        <f t="shared" si="68"/>
        <v>6.258758025916066</v>
      </c>
      <c r="R146" s="371">
        <f t="shared" si="69"/>
        <v>-122.22657415785721</v>
      </c>
      <c r="S146" s="373">
        <f t="shared" si="70"/>
        <v>57.773425842142785</v>
      </c>
      <c r="U146" s="346">
        <f t="shared" si="76"/>
        <v>1000000000</v>
      </c>
      <c r="V146" s="346">
        <f t="shared" si="77"/>
        <v>69182469.760000005</v>
      </c>
      <c r="X146" s="372">
        <f t="shared" si="71"/>
        <v>25.005261076839169</v>
      </c>
      <c r="Y146" s="373">
        <f t="shared" si="72"/>
        <v>-31.614607469299738</v>
      </c>
      <c r="AA146" s="372">
        <f t="shared" si="73"/>
        <v>32.734122303631274</v>
      </c>
      <c r="AB146" s="373">
        <f t="shared" si="74"/>
        <v>-90.611966688557487</v>
      </c>
      <c r="AD146">
        <f t="shared" si="78"/>
        <v>0</v>
      </c>
      <c r="AE146">
        <f t="shared" si="53"/>
        <v>0</v>
      </c>
    </row>
    <row r="147" spans="1:31" x14ac:dyDescent="0.2">
      <c r="A147" s="374">
        <v>8366.0499999999993</v>
      </c>
      <c r="B147" s="391">
        <f t="shared" si="75"/>
        <v>8.3660499999999995</v>
      </c>
      <c r="C147" s="364">
        <f t="shared" si="54"/>
        <v>10.751040438451387</v>
      </c>
      <c r="D147" s="365">
        <f t="shared" si="55"/>
        <v>1.4776474273432452</v>
      </c>
      <c r="E147" s="365">
        <f t="shared" si="56"/>
        <v>1.0049959838802816</v>
      </c>
      <c r="F147" s="366">
        <f t="shared" si="57"/>
        <v>9.9752416432627153E-2</v>
      </c>
      <c r="G147" s="365">
        <f t="shared" si="58"/>
        <v>1</v>
      </c>
      <c r="H147" s="366">
        <f t="shared" si="59"/>
        <v>0</v>
      </c>
      <c r="I147" s="364">
        <f t="shared" si="60"/>
        <v>2840.2513775127954</v>
      </c>
      <c r="J147" s="367">
        <f t="shared" si="61"/>
        <v>1.5704442452754306</v>
      </c>
      <c r="K147" s="375">
        <f t="shared" si="62"/>
        <v>1.9872503487578459</v>
      </c>
      <c r="L147" s="376">
        <f t="shared" si="63"/>
        <v>1.0434894530125398</v>
      </c>
      <c r="M147" s="364">
        <f t="shared" si="64"/>
        <v>1.0002515332603124</v>
      </c>
      <c r="N147" s="367">
        <f t="shared" si="65"/>
        <v>2.2426794130045134E-2</v>
      </c>
      <c r="O147" s="368">
        <f t="shared" si="66"/>
        <v>1.0156274197533195</v>
      </c>
      <c r="P147" s="369">
        <f t="shared" si="67"/>
        <v>0.2047134865666102</v>
      </c>
      <c r="Q147" s="370">
        <f t="shared" si="68"/>
        <v>6.1948573619175962</v>
      </c>
      <c r="R147" s="371">
        <f t="shared" si="69"/>
        <v>-122.15403390908415</v>
      </c>
      <c r="S147" s="373">
        <f t="shared" si="70"/>
        <v>57.845966090915852</v>
      </c>
      <c r="U147" s="346">
        <f t="shared" si="76"/>
        <v>1000000000</v>
      </c>
      <c r="V147" s="346">
        <f t="shared" si="77"/>
        <v>69990792.602499992</v>
      </c>
      <c r="X147" s="372">
        <f t="shared" si="71"/>
        <v>24.992405871575873</v>
      </c>
      <c r="Y147" s="373">
        <f t="shared" si="72"/>
        <v>-31.477246278485037</v>
      </c>
      <c r="AA147" s="372">
        <f t="shared" si="73"/>
        <v>32.6830768448961</v>
      </c>
      <c r="AB147" s="373">
        <f t="shared" si="74"/>
        <v>-90.676787630599108</v>
      </c>
      <c r="AD147">
        <f t="shared" si="78"/>
        <v>0</v>
      </c>
      <c r="AE147">
        <f t="shared" si="53"/>
        <v>0</v>
      </c>
    </row>
    <row r="148" spans="1:31" x14ac:dyDescent="0.2">
      <c r="A148" s="377">
        <v>8414.5</v>
      </c>
      <c r="B148" s="391">
        <f t="shared" si="75"/>
        <v>8.4145000000000003</v>
      </c>
      <c r="C148" s="364">
        <f t="shared" si="54"/>
        <v>10.812765413941797</v>
      </c>
      <c r="D148" s="365">
        <f t="shared" si="55"/>
        <v>1.4781807004824272</v>
      </c>
      <c r="E148" s="365">
        <f t="shared" si="56"/>
        <v>1.0050538716432611</v>
      </c>
      <c r="F148" s="366">
        <f t="shared" si="57"/>
        <v>0.10032625132201478</v>
      </c>
      <c r="G148" s="365">
        <f t="shared" si="58"/>
        <v>1</v>
      </c>
      <c r="H148" s="366">
        <f t="shared" si="59"/>
        <v>0</v>
      </c>
      <c r="I148" s="364">
        <f t="shared" si="60"/>
        <v>2856.7000196116669</v>
      </c>
      <c r="J148" s="367">
        <f t="shared" si="61"/>
        <v>1.5704462725317405</v>
      </c>
      <c r="K148" s="375">
        <f t="shared" ref="K148:K157" si="79">SQRT(1+(A148/Zero2)^2)</f>
        <v>1.9958511043962617</v>
      </c>
      <c r="L148" s="376">
        <f t="shared" ref="L148:L157" si="80">ATAN(A148/Zero2)</f>
        <v>1.0459969621153693</v>
      </c>
      <c r="M148" s="364">
        <f t="shared" si="64"/>
        <v>1.0002544547155554</v>
      </c>
      <c r="N148" s="367">
        <f t="shared" si="65"/>
        <v>2.2556629680284851E-2</v>
      </c>
      <c r="O148" s="368">
        <f t="shared" si="66"/>
        <v>1.01580771639681</v>
      </c>
      <c r="P148" s="369">
        <f t="shared" si="67"/>
        <v>0.20587895675237788</v>
      </c>
      <c r="Q148" s="370">
        <f t="shared" si="68"/>
        <v>6.1314187349124278</v>
      </c>
      <c r="R148" s="371">
        <f t="shared" si="69"/>
        <v>-122.08237190830592</v>
      </c>
      <c r="S148" s="373">
        <f t="shared" si="70"/>
        <v>57.917628091694084</v>
      </c>
      <c r="U148" s="346">
        <f t="shared" si="76"/>
        <v>1000000000</v>
      </c>
      <c r="V148" s="346">
        <f t="shared" si="77"/>
        <v>70803810.25</v>
      </c>
      <c r="X148" s="372">
        <f t="shared" si="71"/>
        <v>24.979734466172157</v>
      </c>
      <c r="Y148" s="373">
        <f t="shared" si="72"/>
        <v>-31.341131771936784</v>
      </c>
      <c r="AA148" s="372">
        <f t="shared" si="73"/>
        <v>32.632309623294645</v>
      </c>
      <c r="AB148" s="373">
        <f t="shared" si="74"/>
        <v>-90.741240136369129</v>
      </c>
      <c r="AD148">
        <f t="shared" si="78"/>
        <v>0</v>
      </c>
      <c r="AE148">
        <f t="shared" si="53"/>
        <v>0</v>
      </c>
    </row>
    <row r="149" spans="1:31" x14ac:dyDescent="0.2">
      <c r="A149" s="377">
        <v>8462.9500000000007</v>
      </c>
      <c r="B149" s="391">
        <f t="shared" si="75"/>
        <v>8.4629500000000011</v>
      </c>
      <c r="C149" s="364">
        <f t="shared" si="54"/>
        <v>10.874493429461086</v>
      </c>
      <c r="D149" s="365">
        <f t="shared" si="55"/>
        <v>1.4787079196228072</v>
      </c>
      <c r="E149" s="365">
        <f t="shared" si="56"/>
        <v>1.0051120903187079</v>
      </c>
      <c r="F149" s="366">
        <f t="shared" si="57"/>
        <v>0.10090001992433531</v>
      </c>
      <c r="G149" s="365">
        <f t="shared" si="58"/>
        <v>1</v>
      </c>
      <c r="H149" s="366">
        <f t="shared" si="59"/>
        <v>0</v>
      </c>
      <c r="I149" s="364">
        <f t="shared" si="60"/>
        <v>2873.1486617221431</v>
      </c>
      <c r="J149" s="367">
        <f t="shared" si="61"/>
        <v>1.5704482765761549</v>
      </c>
      <c r="K149" s="375">
        <f t="shared" si="79"/>
        <v>2.0044643014145702</v>
      </c>
      <c r="L149" s="376">
        <f t="shared" si="80"/>
        <v>1.0484829371692979</v>
      </c>
      <c r="M149" s="364">
        <f t="shared" si="64"/>
        <v>1.0002573930322596</v>
      </c>
      <c r="N149" s="367">
        <f t="shared" si="65"/>
        <v>2.2686464469913625E-2</v>
      </c>
      <c r="O149" s="368">
        <f t="shared" si="66"/>
        <v>1.0159890260684972</v>
      </c>
      <c r="P149" s="369">
        <f t="shared" si="67"/>
        <v>0.20704408743545782</v>
      </c>
      <c r="Q149" s="370">
        <f t="shared" si="68"/>
        <v>6.0684356165559583</v>
      </c>
      <c r="R149" s="371">
        <f t="shared" si="69"/>
        <v>-122.01157982144056</v>
      </c>
      <c r="S149" s="373">
        <f t="shared" si="70"/>
        <v>57.988420178559437</v>
      </c>
      <c r="U149" s="346">
        <f t="shared" si="76"/>
        <v>1000000000</v>
      </c>
      <c r="V149" s="346">
        <f t="shared" si="77"/>
        <v>71621522.702500015</v>
      </c>
      <c r="X149" s="372">
        <f t="shared" si="71"/>
        <v>24.967243499476375</v>
      </c>
      <c r="Y149" s="373">
        <f t="shared" si="72"/>
        <v>-31.206249701984348</v>
      </c>
      <c r="AA149" s="372">
        <f t="shared" si="73"/>
        <v>32.581817471633968</v>
      </c>
      <c r="AB149" s="373">
        <f t="shared" si="74"/>
        <v>-90.805330119456229</v>
      </c>
      <c r="AD149">
        <f t="shared" si="78"/>
        <v>0</v>
      </c>
      <c r="AE149">
        <f t="shared" si="53"/>
        <v>0</v>
      </c>
    </row>
    <row r="150" spans="1:31" x14ac:dyDescent="0.2">
      <c r="A150" s="377">
        <v>8511.4</v>
      </c>
      <c r="B150" s="391">
        <f t="shared" si="75"/>
        <v>8.5114000000000001</v>
      </c>
      <c r="C150" s="364">
        <f t="shared" si="54"/>
        <v>10.93622443353218</v>
      </c>
      <c r="D150" s="365">
        <f t="shared" si="55"/>
        <v>1.4792291869866392</v>
      </c>
      <c r="E150" s="365">
        <f t="shared" si="56"/>
        <v>1.0051706398491234</v>
      </c>
      <c r="F150" s="366">
        <f t="shared" si="57"/>
        <v>0.1014737218733584</v>
      </c>
      <c r="G150" s="365">
        <f t="shared" si="58"/>
        <v>1</v>
      </c>
      <c r="H150" s="366">
        <f t="shared" si="59"/>
        <v>0</v>
      </c>
      <c r="I150" s="364">
        <f t="shared" si="60"/>
        <v>2889.5973038440275</v>
      </c>
      <c r="J150" s="367">
        <f t="shared" si="61"/>
        <v>1.5704502578050652</v>
      </c>
      <c r="K150" s="375">
        <f t="shared" si="79"/>
        <v>2.0130897801178782</v>
      </c>
      <c r="L150" s="376">
        <f t="shared" si="80"/>
        <v>1.0509476240495039</v>
      </c>
      <c r="M150" s="364">
        <f t="shared" si="64"/>
        <v>1.0002603482102761</v>
      </c>
      <c r="N150" s="367">
        <f t="shared" si="65"/>
        <v>2.2816298494560905E-2</v>
      </c>
      <c r="O150" s="368">
        <f t="shared" si="66"/>
        <v>1.0161713482981622</v>
      </c>
      <c r="P150" s="369">
        <f t="shared" si="67"/>
        <v>0.208208876895078</v>
      </c>
      <c r="Q150" s="370">
        <f t="shared" si="68"/>
        <v>6.0059016045223279</v>
      </c>
      <c r="R150" s="371">
        <f t="shared" si="69"/>
        <v>-121.94164936263346</v>
      </c>
      <c r="S150" s="373">
        <f t="shared" si="70"/>
        <v>58.058350637366544</v>
      </c>
      <c r="U150" s="346">
        <f t="shared" si="76"/>
        <v>1000000000</v>
      </c>
      <c r="V150" s="346">
        <f t="shared" si="77"/>
        <v>72443929.959999993</v>
      </c>
      <c r="X150" s="372">
        <f t="shared" si="71"/>
        <v>24.954929683828702</v>
      </c>
      <c r="Y150" s="373">
        <f t="shared" si="72"/>
        <v>-31.07258600347884</v>
      </c>
      <c r="AA150" s="372">
        <f t="shared" si="73"/>
        <v>32.531597275248004</v>
      </c>
      <c r="AB150" s="373">
        <f t="shared" si="74"/>
        <v>-90.869063359154651</v>
      </c>
      <c r="AD150">
        <f t="shared" si="78"/>
        <v>0</v>
      </c>
      <c r="AE150">
        <f t="shared" si="53"/>
        <v>0</v>
      </c>
    </row>
    <row r="151" spans="1:31" x14ac:dyDescent="0.2">
      <c r="A151" s="377">
        <v>8560.9500000000007</v>
      </c>
      <c r="B151" s="391">
        <f t="shared" si="75"/>
        <v>8.5609500000000001</v>
      </c>
      <c r="C151" s="364">
        <f t="shared" si="54"/>
        <v>10.999360005769008</v>
      </c>
      <c r="D151" s="365">
        <f t="shared" si="55"/>
        <v>1.4797562372459967</v>
      </c>
      <c r="E151" s="365">
        <f t="shared" si="56"/>
        <v>1.0052308608249398</v>
      </c>
      <c r="F151" s="366">
        <f t="shared" si="57"/>
        <v>0.10206037972543715</v>
      </c>
      <c r="G151" s="365">
        <f t="shared" si="58"/>
        <v>1</v>
      </c>
      <c r="H151" s="366">
        <f t="shared" si="59"/>
        <v>0</v>
      </c>
      <c r="I151" s="364">
        <f t="shared" si="60"/>
        <v>2906.4193929606686</v>
      </c>
      <c r="J151" s="367">
        <f t="shared" si="61"/>
        <v>1.5704522608207456</v>
      </c>
      <c r="K151" s="375">
        <f t="shared" si="79"/>
        <v>2.0219236294299168</v>
      </c>
      <c r="L151" s="376">
        <f t="shared" si="80"/>
        <v>1.0534465030150311</v>
      </c>
      <c r="M151" s="364">
        <f t="shared" si="64"/>
        <v>1.0002633879218439</v>
      </c>
      <c r="N151" s="367">
        <f t="shared" si="65"/>
        <v>2.2949079451536739E-2</v>
      </c>
      <c r="O151" s="368">
        <f t="shared" si="66"/>
        <v>1.0163588567485389</v>
      </c>
      <c r="P151" s="369">
        <f t="shared" si="67"/>
        <v>0.20939975680169176</v>
      </c>
      <c r="Q151" s="370">
        <f t="shared" si="68"/>
        <v>5.9424058051527018</v>
      </c>
      <c r="R151" s="371">
        <f t="shared" si="69"/>
        <v>-121.87101382615928</v>
      </c>
      <c r="S151" s="373">
        <f t="shared" si="70"/>
        <v>58.128986173840715</v>
      </c>
      <c r="U151" s="346">
        <f t="shared" si="76"/>
        <v>1000000000</v>
      </c>
      <c r="V151" s="346">
        <f t="shared" si="77"/>
        <v>73289864.902500018</v>
      </c>
      <c r="X151" s="372">
        <f t="shared" si="71"/>
        <v>24.942516176131797</v>
      </c>
      <c r="Y151" s="373">
        <f t="shared" si="72"/>
        <v>-30.937133337864548</v>
      </c>
      <c r="AA151" s="372">
        <f t="shared" si="73"/>
        <v>32.480514983575283</v>
      </c>
      <c r="AB151" s="373">
        <f t="shared" si="74"/>
        <v>-90.933880488294761</v>
      </c>
      <c r="AD151">
        <f t="shared" si="78"/>
        <v>0</v>
      </c>
      <c r="AE151">
        <f t="shared" si="53"/>
        <v>0</v>
      </c>
    </row>
    <row r="152" spans="1:31" x14ac:dyDescent="0.2">
      <c r="A152" s="377">
        <v>8610.5</v>
      </c>
      <c r="B152" s="391">
        <f t="shared" si="75"/>
        <v>8.6105</v>
      </c>
      <c r="C152" s="364">
        <f t="shared" si="54"/>
        <v>11.062498598553644</v>
      </c>
      <c r="D152" s="365">
        <f t="shared" si="55"/>
        <v>1.4802772714288877</v>
      </c>
      <c r="E152" s="365">
        <f t="shared" si="56"/>
        <v>1.0052914277269649</v>
      </c>
      <c r="F152" s="366">
        <f t="shared" si="57"/>
        <v>0.10264696708933388</v>
      </c>
      <c r="G152" s="365">
        <f t="shared" si="58"/>
        <v>1</v>
      </c>
      <c r="H152" s="366">
        <f t="shared" si="59"/>
        <v>0</v>
      </c>
      <c r="I152" s="364">
        <f t="shared" si="60"/>
        <v>2923.2414820888362</v>
      </c>
      <c r="J152" s="367">
        <f t="shared" si="61"/>
        <v>1.5704542407833129</v>
      </c>
      <c r="K152" s="375">
        <f t="shared" si="79"/>
        <v>2.0307699945446731</v>
      </c>
      <c r="L152" s="376">
        <f t="shared" si="80"/>
        <v>1.0559236262884713</v>
      </c>
      <c r="M152" s="364">
        <f t="shared" si="64"/>
        <v>1.0002664452687304</v>
      </c>
      <c r="N152" s="367">
        <f t="shared" si="65"/>
        <v>2.3081859599154958E-2</v>
      </c>
      <c r="O152" s="368">
        <f t="shared" si="66"/>
        <v>1.0165474232546234</v>
      </c>
      <c r="P152" s="369">
        <f t="shared" si="67"/>
        <v>0.21059027618649079</v>
      </c>
      <c r="Q152" s="370">
        <f t="shared" si="68"/>
        <v>5.8793665824223265</v>
      </c>
      <c r="R152" s="371">
        <f t="shared" si="69"/>
        <v>-121.80126211831039</v>
      </c>
      <c r="S152" s="373">
        <f t="shared" si="70"/>
        <v>58.19873788168961</v>
      </c>
      <c r="U152" s="346">
        <f t="shared" si="76"/>
        <v>1000000000</v>
      </c>
      <c r="V152" s="346">
        <f t="shared" si="77"/>
        <v>74140710.25</v>
      </c>
      <c r="X152" s="372">
        <f t="shared" si="71"/>
        <v>24.93028122684272</v>
      </c>
      <c r="Y152" s="373">
        <f t="shared" si="72"/>
        <v>-30.802925814369775</v>
      </c>
      <c r="AA152" s="372">
        <f t="shared" si="73"/>
        <v>32.429710710133982</v>
      </c>
      <c r="AB152" s="373">
        <f t="shared" si="74"/>
        <v>-90.998336303940604</v>
      </c>
      <c r="AD152">
        <f t="shared" si="78"/>
        <v>0</v>
      </c>
      <c r="AE152">
        <f t="shared" si="53"/>
        <v>0</v>
      </c>
    </row>
    <row r="153" spans="1:31" x14ac:dyDescent="0.2">
      <c r="A153" s="377">
        <v>8660.0499999999993</v>
      </c>
      <c r="B153" s="391">
        <f t="shared" si="75"/>
        <v>8.66005</v>
      </c>
      <c r="C153" s="364">
        <f t="shared" si="54"/>
        <v>11.125640160460787</v>
      </c>
      <c r="D153" s="365">
        <f t="shared" si="55"/>
        <v>1.4807923916794459</v>
      </c>
      <c r="E153" s="365">
        <f t="shared" si="56"/>
        <v>1.0053523404926774</v>
      </c>
      <c r="F153" s="366">
        <f t="shared" si="57"/>
        <v>0.10323348357415334</v>
      </c>
      <c r="G153" s="365">
        <f t="shared" si="58"/>
        <v>1</v>
      </c>
      <c r="H153" s="366">
        <f t="shared" si="59"/>
        <v>0</v>
      </c>
      <c r="I153" s="364">
        <f t="shared" si="60"/>
        <v>2940.063571228332</v>
      </c>
      <c r="J153" s="367">
        <f t="shared" si="61"/>
        <v>1.5704561980884744</v>
      </c>
      <c r="K153" s="375">
        <f t="shared" si="79"/>
        <v>2.0396287126099257</v>
      </c>
      <c r="L153" s="376">
        <f t="shared" si="80"/>
        <v>1.058379246745309</v>
      </c>
      <c r="M153" s="364">
        <f t="shared" si="64"/>
        <v>1.0002695202507743</v>
      </c>
      <c r="N153" s="367">
        <f t="shared" si="65"/>
        <v>2.3214638932741033E-2</v>
      </c>
      <c r="O153" s="368">
        <f t="shared" si="66"/>
        <v>1.0167370473060715</v>
      </c>
      <c r="P153" s="369">
        <f t="shared" si="67"/>
        <v>0.21178043322115411</v>
      </c>
      <c r="Q153" s="370">
        <f t="shared" si="68"/>
        <v>5.8167774777212644</v>
      </c>
      <c r="R153" s="371">
        <f t="shared" si="69"/>
        <v>-121.73238554286264</v>
      </c>
      <c r="S153" s="373">
        <f t="shared" si="70"/>
        <v>58.267614457137356</v>
      </c>
      <c r="U153" s="346">
        <f t="shared" si="76"/>
        <v>1000000000</v>
      </c>
      <c r="V153" s="346">
        <f t="shared" si="77"/>
        <v>74996466.002499983</v>
      </c>
      <c r="X153" s="372">
        <f t="shared" si="71"/>
        <v>24.91822154587765</v>
      </c>
      <c r="Y153" s="373">
        <f t="shared" si="72"/>
        <v>-30.669948966701053</v>
      </c>
      <c r="AA153" s="372">
        <f t="shared" si="73"/>
        <v>32.379181286397994</v>
      </c>
      <c r="AB153" s="373">
        <f t="shared" si="74"/>
        <v>-91.062436576161573</v>
      </c>
      <c r="AD153">
        <f t="shared" si="78"/>
        <v>0</v>
      </c>
      <c r="AE153">
        <f t="shared" si="53"/>
        <v>0</v>
      </c>
    </row>
    <row r="154" spans="1:31" x14ac:dyDescent="0.2">
      <c r="A154" s="377">
        <v>8709.6</v>
      </c>
      <c r="B154" s="391">
        <f t="shared" si="75"/>
        <v>8.7096</v>
      </c>
      <c r="C154" s="364">
        <f t="shared" si="54"/>
        <v>11.188784641223576</v>
      </c>
      <c r="D154" s="365">
        <f t="shared" si="55"/>
        <v>1.4813016978486999</v>
      </c>
      <c r="E154" s="365">
        <f t="shared" si="56"/>
        <v>1.0054135990592157</v>
      </c>
      <c r="F154" s="366">
        <f t="shared" si="57"/>
        <v>0.10381992878928975</v>
      </c>
      <c r="G154" s="365">
        <f t="shared" si="58"/>
        <v>1</v>
      </c>
      <c r="H154" s="366">
        <f t="shared" si="59"/>
        <v>0</v>
      </c>
      <c r="I154" s="364">
        <f t="shared" si="60"/>
        <v>2956.8856603789641</v>
      </c>
      <c r="J154" s="367">
        <f t="shared" si="61"/>
        <v>1.5704581331229321</v>
      </c>
      <c r="K154" s="375">
        <f t="shared" si="79"/>
        <v>2.048499623365013</v>
      </c>
      <c r="L154" s="376">
        <f t="shared" si="80"/>
        <v>1.0608136139272595</v>
      </c>
      <c r="M154" s="364">
        <f t="shared" si="64"/>
        <v>1.0002726128678128</v>
      </c>
      <c r="N154" s="367">
        <f t="shared" si="65"/>
        <v>2.3347417447620599E-2</v>
      </c>
      <c r="O154" s="368">
        <f t="shared" si="66"/>
        <v>1.0169277283900711</v>
      </c>
      <c r="P154" s="369">
        <f t="shared" si="67"/>
        <v>0.21297022608155197</v>
      </c>
      <c r="Q154" s="370">
        <f t="shared" si="68"/>
        <v>5.7546321576143669</v>
      </c>
      <c r="R154" s="371">
        <f t="shared" si="69"/>
        <v>-121.66437546292514</v>
      </c>
      <c r="S154" s="373">
        <f t="shared" si="70"/>
        <v>58.335624537074864</v>
      </c>
      <c r="U154" s="346">
        <f t="shared" si="76"/>
        <v>1000000000</v>
      </c>
      <c r="V154" s="346">
        <f t="shared" si="77"/>
        <v>75857132.160000011</v>
      </c>
      <c r="X154" s="372">
        <f t="shared" si="71"/>
        <v>24.906333915709702</v>
      </c>
      <c r="Y154" s="373">
        <f t="shared" si="72"/>
        <v>-30.538188519059844</v>
      </c>
      <c r="AA154" s="372">
        <f t="shared" si="73"/>
        <v>32.328923596459042</v>
      </c>
      <c r="AB154" s="373">
        <f t="shared" si="74"/>
        <v>-91.126186943865292</v>
      </c>
      <c r="AD154">
        <f t="shared" si="78"/>
        <v>0</v>
      </c>
      <c r="AE154">
        <f t="shared" ref="AE154:AE217" si="81">IF(AD154&gt;0,S154,0)</f>
        <v>0</v>
      </c>
    </row>
    <row r="155" spans="1:31" x14ac:dyDescent="0.2">
      <c r="A155" s="377">
        <v>8760.3250000000007</v>
      </c>
      <c r="B155" s="391">
        <f t="shared" si="75"/>
        <v>8.7603249999999999</v>
      </c>
      <c r="C155" s="364">
        <f t="shared" si="54"/>
        <v>11.253429465831372</v>
      </c>
      <c r="D155" s="365">
        <f t="shared" si="55"/>
        <v>1.4818171607932407</v>
      </c>
      <c r="E155" s="365">
        <f t="shared" si="56"/>
        <v>1.0054766684081626</v>
      </c>
      <c r="F155" s="366">
        <f t="shared" si="57"/>
        <v>0.10442020639428572</v>
      </c>
      <c r="G155" s="365">
        <f t="shared" si="58"/>
        <v>1</v>
      </c>
      <c r="H155" s="366">
        <f t="shared" si="59"/>
        <v>0</v>
      </c>
      <c r="I155" s="364">
        <f t="shared" si="60"/>
        <v>2974.1066588194799</v>
      </c>
      <c r="J155" s="367">
        <f t="shared" si="61"/>
        <v>1.5704600913690834</v>
      </c>
      <c r="K155" s="375">
        <f t="shared" si="79"/>
        <v>2.0575933589276909</v>
      </c>
      <c r="L155" s="376">
        <f t="shared" si="80"/>
        <v>1.0632839501231723</v>
      </c>
      <c r="M155" s="364">
        <f t="shared" si="64"/>
        <v>1.0002757970884415</v>
      </c>
      <c r="N155" s="367">
        <f t="shared" si="65"/>
        <v>2.3483343742356753E-2</v>
      </c>
      <c r="O155" s="368">
        <f t="shared" si="66"/>
        <v>1.017124025565409</v>
      </c>
      <c r="P155" s="369">
        <f t="shared" si="67"/>
        <v>0.21418785387026973</v>
      </c>
      <c r="Q155" s="370">
        <f t="shared" si="68"/>
        <v>5.6914663701845827</v>
      </c>
      <c r="R155" s="371">
        <f t="shared" si="69"/>
        <v>-121.59564123832178</v>
      </c>
      <c r="S155" s="373">
        <f t="shared" si="70"/>
        <v>58.404358761678225</v>
      </c>
      <c r="U155" s="346">
        <f t="shared" si="76"/>
        <v>1000000000</v>
      </c>
      <c r="V155" s="346">
        <f t="shared" si="77"/>
        <v>76743294.105625018</v>
      </c>
      <c r="X155" s="372">
        <f t="shared" si="71"/>
        <v>24.894339323239045</v>
      </c>
      <c r="Y155" s="373">
        <f t="shared" si="72"/>
        <v>-30.404548883155869</v>
      </c>
      <c r="AA155" s="372">
        <f t="shared" si="73"/>
        <v>32.277752401499917</v>
      </c>
      <c r="AB155" s="373">
        <f t="shared" si="74"/>
        <v>-91.191092355165907</v>
      </c>
      <c r="AD155">
        <f t="shared" si="78"/>
        <v>0</v>
      </c>
      <c r="AE155">
        <f t="shared" si="81"/>
        <v>0</v>
      </c>
    </row>
    <row r="156" spans="1:31" x14ac:dyDescent="0.2">
      <c r="A156" s="377">
        <v>8811.0499999999993</v>
      </c>
      <c r="B156" s="391">
        <f t="shared" si="75"/>
        <v>8.8110499999999998</v>
      </c>
      <c r="C156" s="364">
        <f t="shared" si="54"/>
        <v>11.318077246341646</v>
      </c>
      <c r="D156" s="365">
        <f t="shared" si="55"/>
        <v>1.4823267353212868</v>
      </c>
      <c r="E156" s="365">
        <f t="shared" si="56"/>
        <v>1.0055401000182127</v>
      </c>
      <c r="F156" s="366">
        <f t="shared" si="57"/>
        <v>0.10502040848195339</v>
      </c>
      <c r="G156" s="365">
        <f t="shared" si="58"/>
        <v>1</v>
      </c>
      <c r="H156" s="366">
        <f t="shared" si="59"/>
        <v>0</v>
      </c>
      <c r="I156" s="364">
        <f t="shared" si="60"/>
        <v>2991.3276572712684</v>
      </c>
      <c r="J156" s="367">
        <f t="shared" si="61"/>
        <v>1.5704620270680862</v>
      </c>
      <c r="K156" s="375">
        <f t="shared" si="79"/>
        <v>2.0666995405336093</v>
      </c>
      <c r="L156" s="376">
        <f t="shared" si="80"/>
        <v>1.0657325318242903</v>
      </c>
      <c r="M156" s="364">
        <f t="shared" si="64"/>
        <v>1.0002789997900057</v>
      </c>
      <c r="N156" s="367">
        <f t="shared" si="65"/>
        <v>2.361926916918437E-2</v>
      </c>
      <c r="O156" s="368">
        <f t="shared" si="66"/>
        <v>1.0173214294039348</v>
      </c>
      <c r="P156" s="369">
        <f t="shared" si="67"/>
        <v>0.21540509615316025</v>
      </c>
      <c r="Q156" s="370">
        <f t="shared" si="68"/>
        <v>5.628752621158303</v>
      </c>
      <c r="R156" s="371">
        <f t="shared" si="69"/>
        <v>-121.52779697042683</v>
      </c>
      <c r="S156" s="373">
        <f t="shared" si="70"/>
        <v>58.472203029573166</v>
      </c>
      <c r="U156" s="346">
        <f t="shared" si="76"/>
        <v>1000000000</v>
      </c>
      <c r="V156" s="346">
        <f t="shared" si="77"/>
        <v>77634602.102499992</v>
      </c>
      <c r="X156" s="372">
        <f t="shared" si="71"/>
        <v>24.882518439372298</v>
      </c>
      <c r="Y156" s="373">
        <f t="shared" si="72"/>
        <v>-30.272154346406573</v>
      </c>
      <c r="AA156" s="372">
        <f t="shared" si="73"/>
        <v>32.226859536340385</v>
      </c>
      <c r="AB156" s="373">
        <f t="shared" si="74"/>
        <v>-91.255642624020268</v>
      </c>
      <c r="AD156">
        <f t="shared" si="78"/>
        <v>0</v>
      </c>
      <c r="AE156">
        <f t="shared" si="81"/>
        <v>0</v>
      </c>
    </row>
    <row r="157" spans="1:31" x14ac:dyDescent="0.2">
      <c r="A157" s="377">
        <v>8861.7749999999996</v>
      </c>
      <c r="B157" s="391">
        <f t="shared" si="75"/>
        <v>8.8617749999999997</v>
      </c>
      <c r="C157" s="364">
        <f t="shared" si="54"/>
        <v>11.382727932390591</v>
      </c>
      <c r="D157" s="365">
        <f t="shared" si="55"/>
        <v>1.482830521499557</v>
      </c>
      <c r="E157" s="365">
        <f t="shared" si="56"/>
        <v>1.0056038938208138</v>
      </c>
      <c r="F157" s="366">
        <f t="shared" si="57"/>
        <v>0.10562053463418775</v>
      </c>
      <c r="G157" s="365">
        <f t="shared" si="58"/>
        <v>1</v>
      </c>
      <c r="H157" s="366">
        <f t="shared" si="59"/>
        <v>0</v>
      </c>
      <c r="I157" s="364">
        <f t="shared" si="60"/>
        <v>3008.5486557341378</v>
      </c>
      <c r="J157" s="367">
        <f t="shared" si="61"/>
        <v>1.5704639406071221</v>
      </c>
      <c r="K157" s="375">
        <f t="shared" si="79"/>
        <v>2.0758180043881693</v>
      </c>
      <c r="L157" s="376">
        <f t="shared" si="80"/>
        <v>1.0681596161584417</v>
      </c>
      <c r="M157" s="364">
        <f t="shared" si="64"/>
        <v>1.0002822209723277</v>
      </c>
      <c r="N157" s="367">
        <f t="shared" si="65"/>
        <v>2.375519372308919E-2</v>
      </c>
      <c r="O157" s="368">
        <f t="shared" si="66"/>
        <v>1.0175199393474963</v>
      </c>
      <c r="P157" s="369">
        <f t="shared" si="67"/>
        <v>0.21662195098698012</v>
      </c>
      <c r="Q157" s="370">
        <f t="shared" si="68"/>
        <v>5.5664845041467377</v>
      </c>
      <c r="R157" s="371">
        <f t="shared" si="69"/>
        <v>-121.46083359481422</v>
      </c>
      <c r="S157" s="373">
        <f t="shared" si="70"/>
        <v>58.539166405185782</v>
      </c>
      <c r="U157" s="346">
        <f t="shared" si="76"/>
        <v>1000000000</v>
      </c>
      <c r="V157" s="346">
        <f t="shared" si="77"/>
        <v>78531056.15062499</v>
      </c>
      <c r="X157" s="372">
        <f t="shared" si="71"/>
        <v>24.870868036621204</v>
      </c>
      <c r="Y157" s="373">
        <f t="shared" si="72"/>
        <v>-30.140990198369131</v>
      </c>
      <c r="AA157" s="372">
        <f t="shared" si="73"/>
        <v>32.176241822079909</v>
      </c>
      <c r="AB157" s="373">
        <f t="shared" si="74"/>
        <v>-91.319843396445066</v>
      </c>
      <c r="AD157">
        <f t="shared" si="78"/>
        <v>0</v>
      </c>
      <c r="AE157">
        <f t="shared" si="81"/>
        <v>0</v>
      </c>
    </row>
    <row r="158" spans="1:31" x14ac:dyDescent="0.2">
      <c r="A158" s="374">
        <v>8912.5</v>
      </c>
      <c r="B158" s="391">
        <f t="shared" si="75"/>
        <v>8.9124999999999996</v>
      </c>
      <c r="C158" s="364">
        <f t="shared" si="54"/>
        <v>11.447381474749891</v>
      </c>
      <c r="D158" s="365">
        <f t="shared" si="55"/>
        <v>1.4833286171460118</v>
      </c>
      <c r="E158" s="365">
        <f t="shared" si="56"/>
        <v>1.0056680497470398</v>
      </c>
      <c r="F158" s="366">
        <f t="shared" si="57"/>
        <v>0.10622058443320827</v>
      </c>
      <c r="G158" s="365">
        <f t="shared" si="58"/>
        <v>1</v>
      </c>
      <c r="H158" s="366">
        <f t="shared" si="59"/>
        <v>0</v>
      </c>
      <c r="I158" s="364">
        <f t="shared" si="60"/>
        <v>3025.7696542078984</v>
      </c>
      <c r="J158" s="367">
        <f t="shared" si="61"/>
        <v>1.5704658323645577</v>
      </c>
      <c r="K158" s="375">
        <f t="shared" ref="K158:K214" si="82">SQRT(1+(A158/Zero2)^2)</f>
        <v>2.0849485893431732</v>
      </c>
      <c r="L158" s="376">
        <f t="shared" ref="L158:L214" si="83">ATAN(A158/Zero2)</f>
        <v>1.0705654567715071</v>
      </c>
      <c r="M158" s="364">
        <f t="shared" si="64"/>
        <v>1.0002854606352289</v>
      </c>
      <c r="N158" s="367">
        <f t="shared" si="65"/>
        <v>2.3891117399057114E-2</v>
      </c>
      <c r="O158" s="368">
        <f t="shared" si="66"/>
        <v>1.017719554835266</v>
      </c>
      <c r="P158" s="369">
        <f t="shared" si="67"/>
        <v>0.21783841643316118</v>
      </c>
      <c r="Q158" s="370">
        <f t="shared" si="68"/>
        <v>5.5046557375131844</v>
      </c>
      <c r="R158" s="371">
        <f t="shared" si="69"/>
        <v>-121.39474211745849</v>
      </c>
      <c r="S158" s="373">
        <f t="shared" si="70"/>
        <v>58.605257882541508</v>
      </c>
      <c r="U158" s="346">
        <f t="shared" si="76"/>
        <v>1000000000</v>
      </c>
      <c r="V158" s="346">
        <f t="shared" si="77"/>
        <v>79432656.25</v>
      </c>
      <c r="X158" s="372">
        <f t="shared" si="71"/>
        <v>24.859384959341448</v>
      </c>
      <c r="Y158" s="373">
        <f t="shared" si="72"/>
        <v>-30.011041927596619</v>
      </c>
      <c r="AA158" s="372">
        <f t="shared" si="73"/>
        <v>32.125896132726112</v>
      </c>
      <c r="AB158" s="373">
        <f t="shared" si="74"/>
        <v>-91.383700189861869</v>
      </c>
      <c r="AD158">
        <f t="shared" si="78"/>
        <v>0</v>
      </c>
      <c r="AE158">
        <f t="shared" si="81"/>
        <v>0</v>
      </c>
    </row>
    <row r="159" spans="1:31" x14ac:dyDescent="0.2">
      <c r="A159" s="374">
        <v>8964.4</v>
      </c>
      <c r="B159" s="391">
        <f t="shared" si="75"/>
        <v>8.9643999999999995</v>
      </c>
      <c r="C159" s="364">
        <f t="shared" si="54"/>
        <v>11.51353556567425</v>
      </c>
      <c r="D159" s="365">
        <f t="shared" si="55"/>
        <v>1.4838324606888702</v>
      </c>
      <c r="E159" s="365">
        <f t="shared" si="56"/>
        <v>1.0057340665197647</v>
      </c>
      <c r="F159" s="366">
        <f t="shared" si="57"/>
        <v>0.10683445439584657</v>
      </c>
      <c r="G159" s="365">
        <f t="shared" si="58"/>
        <v>1</v>
      </c>
      <c r="H159" s="366">
        <f t="shared" si="59"/>
        <v>0</v>
      </c>
      <c r="I159" s="364">
        <f t="shared" si="60"/>
        <v>3043.3895619723166</v>
      </c>
      <c r="J159" s="367">
        <f t="shared" si="61"/>
        <v>1.5704677457842731</v>
      </c>
      <c r="K159" s="375">
        <f t="shared" si="82"/>
        <v>2.0943030564272243</v>
      </c>
      <c r="L159" s="376">
        <f t="shared" si="83"/>
        <v>1.0730052999559947</v>
      </c>
      <c r="M159" s="364">
        <f t="shared" si="64"/>
        <v>1.0002887944695509</v>
      </c>
      <c r="N159" s="367">
        <f t="shared" si="65"/>
        <v>2.4030188713493925E-2</v>
      </c>
      <c r="O159" s="368">
        <f t="shared" si="66"/>
        <v>1.0179249379067055</v>
      </c>
      <c r="P159" s="369">
        <f t="shared" si="67"/>
        <v>0.21908265519237011</v>
      </c>
      <c r="Q159" s="370">
        <f t="shared" si="68"/>
        <v>5.4418430718191679</v>
      </c>
      <c r="R159" s="371">
        <f t="shared" si="69"/>
        <v>-121.32801281060094</v>
      </c>
      <c r="S159" s="373">
        <f t="shared" si="70"/>
        <v>58.671987189399061</v>
      </c>
      <c r="U159" s="346">
        <f t="shared" si="76"/>
        <v>1000000000</v>
      </c>
      <c r="V159" s="346">
        <f t="shared" si="77"/>
        <v>80360467.359999999</v>
      </c>
      <c r="X159" s="372">
        <f t="shared" si="71"/>
        <v>24.84780585303071</v>
      </c>
      <c r="Y159" s="373">
        <f t="shared" si="72"/>
        <v>-29.87932704054391</v>
      </c>
      <c r="AA159" s="372">
        <f t="shared" si="73"/>
        <v>32.074662573342835</v>
      </c>
      <c r="AB159" s="373">
        <f t="shared" si="74"/>
        <v>-91.448685770057054</v>
      </c>
      <c r="AD159">
        <f t="shared" si="78"/>
        <v>0</v>
      </c>
      <c r="AE159">
        <f t="shared" si="81"/>
        <v>0</v>
      </c>
    </row>
    <row r="160" spans="1:31" x14ac:dyDescent="0.2">
      <c r="A160" s="374">
        <v>9016.2999999999993</v>
      </c>
      <c r="B160" s="391">
        <f t="shared" si="75"/>
        <v>9.0162999999999993</v>
      </c>
      <c r="C160" s="364">
        <f t="shared" si="54"/>
        <v>11.579692546009282</v>
      </c>
      <c r="D160" s="365">
        <f t="shared" si="55"/>
        <v>1.4843305472494785</v>
      </c>
      <c r="E160" s="365">
        <f t="shared" si="56"/>
        <v>1.00580046223979</v>
      </c>
      <c r="F160" s="366">
        <f t="shared" si="57"/>
        <v>0.10744824354318877</v>
      </c>
      <c r="G160" s="365">
        <f t="shared" si="58"/>
        <v>1</v>
      </c>
      <c r="H160" s="366">
        <f t="shared" si="59"/>
        <v>0</v>
      </c>
      <c r="I160" s="364">
        <f t="shared" si="60"/>
        <v>3061.0094697477493</v>
      </c>
      <c r="J160" s="367">
        <f t="shared" si="61"/>
        <v>1.5704696371757789</v>
      </c>
      <c r="K160" s="375">
        <f t="shared" si="82"/>
        <v>2.1036698796329483</v>
      </c>
      <c r="L160" s="376">
        <f t="shared" si="83"/>
        <v>1.0754234300844605</v>
      </c>
      <c r="M160" s="364">
        <f t="shared" si="64"/>
        <v>1.0002921476501596</v>
      </c>
      <c r="N160" s="367">
        <f t="shared" si="65"/>
        <v>2.4169259098230388E-2</v>
      </c>
      <c r="O160" s="368">
        <f t="shared" si="66"/>
        <v>1.0181314771371173</v>
      </c>
      <c r="P160" s="369">
        <f t="shared" si="67"/>
        <v>0.22032648222457704</v>
      </c>
      <c r="Q160" s="370">
        <f t="shared" si="68"/>
        <v>5.3794774292968963</v>
      </c>
      <c r="R160" s="371">
        <f t="shared" si="69"/>
        <v>-121.26217744419374</v>
      </c>
      <c r="S160" s="373">
        <f t="shared" si="70"/>
        <v>58.737822555806261</v>
      </c>
      <c r="U160" s="346">
        <f t="shared" si="76"/>
        <v>1000000000</v>
      </c>
      <c r="V160" s="346">
        <f t="shared" si="77"/>
        <v>81293665.689999983</v>
      </c>
      <c r="X160" s="372">
        <f t="shared" si="71"/>
        <v>24.836395452702384</v>
      </c>
      <c r="Y160" s="373">
        <f t="shared" si="72"/>
        <v>-29.748854904571655</v>
      </c>
      <c r="AA160" s="372">
        <f t="shared" si="73"/>
        <v>32.023707331148891</v>
      </c>
      <c r="AB160" s="373">
        <f t="shared" si="74"/>
        <v>-91.513322539622052</v>
      </c>
      <c r="AD160">
        <f t="shared" si="78"/>
        <v>0</v>
      </c>
      <c r="AE160">
        <f t="shared" si="81"/>
        <v>0</v>
      </c>
    </row>
    <row r="161" spans="1:31" x14ac:dyDescent="0.2">
      <c r="A161" s="374">
        <v>9068.2000000000007</v>
      </c>
      <c r="B161" s="391">
        <f t="shared" si="75"/>
        <v>9.0682000000000009</v>
      </c>
      <c r="C161" s="364">
        <f t="shared" si="54"/>
        <v>11.645852366513081</v>
      </c>
      <c r="D161" s="365">
        <f t="shared" si="55"/>
        <v>1.4848229746944186</v>
      </c>
      <c r="E161" s="365">
        <f t="shared" si="56"/>
        <v>1.0058672368320749</v>
      </c>
      <c r="F161" s="366">
        <f t="shared" si="57"/>
        <v>0.10806195142881006</v>
      </c>
      <c r="G161" s="365">
        <f t="shared" si="58"/>
        <v>1</v>
      </c>
      <c r="H161" s="366">
        <f t="shared" si="59"/>
        <v>0</v>
      </c>
      <c r="I161" s="364">
        <f t="shared" si="60"/>
        <v>3078.6293775340082</v>
      </c>
      <c r="J161" s="367">
        <f t="shared" si="61"/>
        <v>1.5704715069172972</v>
      </c>
      <c r="K161" s="375">
        <f t="shared" si="82"/>
        <v>2.1130488946419481</v>
      </c>
      <c r="L161" s="376">
        <f t="shared" si="83"/>
        <v>1.0778201078161238</v>
      </c>
      <c r="M161" s="364">
        <f t="shared" si="64"/>
        <v>1.0002955201768609</v>
      </c>
      <c r="N161" s="367">
        <f t="shared" si="65"/>
        <v>2.4308328547896472E-2</v>
      </c>
      <c r="O161" s="368">
        <f t="shared" si="66"/>
        <v>1.0183391719171488</v>
      </c>
      <c r="P161" s="369">
        <f t="shared" si="67"/>
        <v>0.22156989546866815</v>
      </c>
      <c r="Q161" s="370">
        <f t="shared" si="68"/>
        <v>5.3175524678128507</v>
      </c>
      <c r="R161" s="371">
        <f t="shared" si="69"/>
        <v>-121.19722661975364</v>
      </c>
      <c r="S161" s="373">
        <f t="shared" si="70"/>
        <v>58.802773380246364</v>
      </c>
      <c r="U161" s="346">
        <f t="shared" si="76"/>
        <v>1000000000</v>
      </c>
      <c r="V161" s="346">
        <f t="shared" si="77"/>
        <v>82232251.24000001</v>
      </c>
      <c r="X161" s="372">
        <f t="shared" si="71"/>
        <v>24.82515059996733</v>
      </c>
      <c r="Y161" s="373">
        <f t="shared" si="72"/>
        <v>-29.61961060636953</v>
      </c>
      <c r="AA161" s="372">
        <f t="shared" si="73"/>
        <v>31.973027222399896</v>
      </c>
      <c r="AB161" s="373">
        <f t="shared" si="74"/>
        <v>-91.577616013384088</v>
      </c>
      <c r="AD161">
        <f t="shared" si="78"/>
        <v>0</v>
      </c>
      <c r="AE161">
        <f t="shared" si="81"/>
        <v>0</v>
      </c>
    </row>
    <row r="162" spans="1:31" x14ac:dyDescent="0.2">
      <c r="A162" s="374">
        <v>9120.1</v>
      </c>
      <c r="B162" s="391">
        <f t="shared" si="75"/>
        <v>9.1201000000000008</v>
      </c>
      <c r="C162" s="364">
        <f t="shared" si="54"/>
        <v>11.712014979054281</v>
      </c>
      <c r="D162" s="365">
        <f t="shared" si="55"/>
        <v>1.4853098386899517</v>
      </c>
      <c r="E162" s="365">
        <f t="shared" si="56"/>
        <v>1.0059343902211697</v>
      </c>
      <c r="F162" s="366">
        <f t="shared" si="57"/>
        <v>0.10867557760664859</v>
      </c>
      <c r="G162" s="365">
        <f t="shared" si="58"/>
        <v>1</v>
      </c>
      <c r="H162" s="366">
        <f t="shared" si="59"/>
        <v>0</v>
      </c>
      <c r="I162" s="364">
        <f t="shared" si="60"/>
        <v>3096.2492853309059</v>
      </c>
      <c r="J162" s="367">
        <f t="shared" si="61"/>
        <v>1.5704733553784402</v>
      </c>
      <c r="K162" s="375">
        <f t="shared" si="82"/>
        <v>2.1224399398283045</v>
      </c>
      <c r="L162" s="376">
        <f t="shared" si="83"/>
        <v>1.0801955901917051</v>
      </c>
      <c r="M162" s="364">
        <f t="shared" si="64"/>
        <v>1.0002989120494585</v>
      </c>
      <c r="N162" s="367">
        <f t="shared" si="65"/>
        <v>2.4447397057122372E-2</v>
      </c>
      <c r="O162" s="368">
        <f t="shared" si="66"/>
        <v>1.0185480216345539</v>
      </c>
      <c r="P162" s="369">
        <f t="shared" si="67"/>
        <v>0.22281289286873213</v>
      </c>
      <c r="Q162" s="370">
        <f t="shared" si="68"/>
        <v>5.2560619692215846</v>
      </c>
      <c r="R162" s="371">
        <f t="shared" si="69"/>
        <v>-121.13315101983721</v>
      </c>
      <c r="S162" s="373">
        <f t="shared" si="70"/>
        <v>58.866848980162786</v>
      </c>
      <c r="U162" s="346">
        <f t="shared" si="76"/>
        <v>1000000000</v>
      </c>
      <c r="V162" s="346">
        <f t="shared" si="77"/>
        <v>83176224.010000005</v>
      </c>
      <c r="X162" s="372">
        <f t="shared" si="71"/>
        <v>24.814068207348306</v>
      </c>
      <c r="Y162" s="373">
        <f t="shared" si="72"/>
        <v>-29.491579439458629</v>
      </c>
      <c r="AA162" s="372">
        <f t="shared" si="73"/>
        <v>31.922619116427654</v>
      </c>
      <c r="AB162" s="373">
        <f t="shared" si="74"/>
        <v>-91.641571580378596</v>
      </c>
      <c r="AD162">
        <f t="shared" si="78"/>
        <v>0</v>
      </c>
      <c r="AE162">
        <f t="shared" si="81"/>
        <v>0</v>
      </c>
    </row>
    <row r="163" spans="1:31" x14ac:dyDescent="0.2">
      <c r="A163" s="374">
        <v>9173.2000000000007</v>
      </c>
      <c r="B163" s="391">
        <f t="shared" si="75"/>
        <v>9.1732000000000014</v>
      </c>
      <c r="C163" s="364">
        <f t="shared" si="54"/>
        <v>11.779710203535849</v>
      </c>
      <c r="D163" s="365">
        <f t="shared" si="55"/>
        <v>1.4858022992973789</v>
      </c>
      <c r="E163" s="365">
        <f t="shared" si="56"/>
        <v>1.0060034882461892</v>
      </c>
      <c r="F163" s="366">
        <f t="shared" si="57"/>
        <v>0.10930330664474636</v>
      </c>
      <c r="G163" s="365">
        <f t="shared" si="58"/>
        <v>1</v>
      </c>
      <c r="H163" s="366">
        <f t="shared" si="59"/>
        <v>0</v>
      </c>
      <c r="I163" s="364">
        <f t="shared" si="60"/>
        <v>3114.276589850695</v>
      </c>
      <c r="J163" s="367">
        <f t="shared" si="61"/>
        <v>1.5704752249311626</v>
      </c>
      <c r="K163" s="375">
        <f t="shared" si="82"/>
        <v>2.1320604038397111</v>
      </c>
      <c r="L163" s="376">
        <f t="shared" si="83"/>
        <v>1.0826043252251953</v>
      </c>
      <c r="M163" s="364">
        <f t="shared" si="64"/>
        <v>1.0003024023686746</v>
      </c>
      <c r="N163" s="367">
        <f t="shared" si="65"/>
        <v>2.4589680044300916E-2</v>
      </c>
      <c r="O163" s="368">
        <f t="shared" si="66"/>
        <v>1.0187628949073246</v>
      </c>
      <c r="P163" s="369">
        <f t="shared" si="67"/>
        <v>0.22408419757687151</v>
      </c>
      <c r="Q163" s="370">
        <f t="shared" si="68"/>
        <v>5.1935930139365549</v>
      </c>
      <c r="R163" s="371">
        <f t="shared" si="69"/>
        <v>-121.0684900845942</v>
      </c>
      <c r="S163" s="373">
        <f t="shared" si="70"/>
        <v>58.931509915405798</v>
      </c>
      <c r="U163" s="346">
        <f t="shared" si="76"/>
        <v>1000000000</v>
      </c>
      <c r="V163" s="346">
        <f t="shared" si="77"/>
        <v>84147598.24000001</v>
      </c>
      <c r="X163" s="372">
        <f t="shared" si="71"/>
        <v>24.802894564871764</v>
      </c>
      <c r="Y163" s="373">
        <f t="shared" si="72"/>
        <v>-29.36182842006848</v>
      </c>
      <c r="AA163" s="372">
        <f t="shared" si="73"/>
        <v>31.871323803619166</v>
      </c>
      <c r="AB163" s="373">
        <f t="shared" si="74"/>
        <v>-91.706661664525697</v>
      </c>
      <c r="AD163">
        <f t="shared" si="78"/>
        <v>0</v>
      </c>
      <c r="AE163">
        <f t="shared" si="81"/>
        <v>0</v>
      </c>
    </row>
    <row r="164" spans="1:31" x14ac:dyDescent="0.2">
      <c r="A164" s="374">
        <v>9226.2999999999993</v>
      </c>
      <c r="B164" s="391">
        <f t="shared" si="75"/>
        <v>9.2262999999999984</v>
      </c>
      <c r="C164" s="364">
        <f t="shared" si="54"/>
        <v>11.847408252155365</v>
      </c>
      <c r="D164" s="365">
        <f t="shared" si="55"/>
        <v>1.4862891320191629</v>
      </c>
      <c r="E164" s="365">
        <f t="shared" si="56"/>
        <v>1.0060729826260482</v>
      </c>
      <c r="F164" s="366">
        <f t="shared" si="57"/>
        <v>0.10993094920950676</v>
      </c>
      <c r="G164" s="365">
        <f t="shared" si="58"/>
        <v>1</v>
      </c>
      <c r="H164" s="366">
        <f t="shared" si="59"/>
        <v>0</v>
      </c>
      <c r="I164" s="364">
        <f t="shared" si="60"/>
        <v>3132.303894381243</v>
      </c>
      <c r="J164" s="367">
        <f t="shared" si="61"/>
        <v>1.5704770729642639</v>
      </c>
      <c r="K164" s="375">
        <f t="shared" si="82"/>
        <v>2.1416931268996007</v>
      </c>
      <c r="L164" s="376">
        <f t="shared" si="83"/>
        <v>1.0849914064026274</v>
      </c>
      <c r="M164" s="364">
        <f t="shared" si="64"/>
        <v>1.0003059129383196</v>
      </c>
      <c r="N164" s="367">
        <f t="shared" si="65"/>
        <v>2.4731962035676697E-2</v>
      </c>
      <c r="O164" s="368">
        <f t="shared" si="66"/>
        <v>1.0189789758365819</v>
      </c>
      <c r="P164" s="369">
        <f t="shared" si="67"/>
        <v>0.22535506265172919</v>
      </c>
      <c r="Q164" s="370">
        <f t="shared" si="68"/>
        <v>5.1315660606564109</v>
      </c>
      <c r="R164" s="371">
        <f t="shared" si="69"/>
        <v>-121.00472584520647</v>
      </c>
      <c r="S164" s="373">
        <f t="shared" si="70"/>
        <v>58.995274154793535</v>
      </c>
      <c r="U164" s="346">
        <f t="shared" si="76"/>
        <v>1000000000</v>
      </c>
      <c r="V164" s="346">
        <f t="shared" si="77"/>
        <v>85124611.689999983</v>
      </c>
      <c r="X164" s="372">
        <f t="shared" si="71"/>
        <v>24.791884662877766</v>
      </c>
      <c r="Y164" s="373">
        <f t="shared" si="72"/>
        <v>-29.233316785203318</v>
      </c>
      <c r="AA164" s="372">
        <f t="shared" si="73"/>
        <v>31.820306752333018</v>
      </c>
      <c r="AB164" s="373">
        <f t="shared" si="74"/>
        <v>-91.771409060003151</v>
      </c>
      <c r="AD164">
        <f t="shared" si="78"/>
        <v>0</v>
      </c>
      <c r="AE164">
        <f t="shared" si="81"/>
        <v>0</v>
      </c>
    </row>
    <row r="165" spans="1:31" x14ac:dyDescent="0.2">
      <c r="A165" s="374">
        <v>9279.4</v>
      </c>
      <c r="B165" s="391">
        <f t="shared" si="75"/>
        <v>9.279399999999999</v>
      </c>
      <c r="C165" s="364">
        <f t="shared" si="54"/>
        <v>11.915109076775142</v>
      </c>
      <c r="D165" s="365">
        <f t="shared" si="55"/>
        <v>1.4867704325543192</v>
      </c>
      <c r="E165" s="365">
        <f t="shared" si="56"/>
        <v>1.0061428732786182</v>
      </c>
      <c r="F165" s="366">
        <f t="shared" si="57"/>
        <v>0.11055850482439848</v>
      </c>
      <c r="G165" s="365">
        <f t="shared" si="58"/>
        <v>1</v>
      </c>
      <c r="H165" s="366">
        <f t="shared" si="59"/>
        <v>0</v>
      </c>
      <c r="I165" s="364">
        <f t="shared" si="60"/>
        <v>3150.3311989223666</v>
      </c>
      <c r="J165" s="367">
        <f t="shared" si="61"/>
        <v>1.5704788998471728</v>
      </c>
      <c r="K165" s="375">
        <f t="shared" si="82"/>
        <v>2.1513379443364742</v>
      </c>
      <c r="L165" s="376">
        <f t="shared" si="83"/>
        <v>1.0873570975699867</v>
      </c>
      <c r="M165" s="364">
        <f t="shared" si="64"/>
        <v>1.0003094437581801</v>
      </c>
      <c r="N165" s="367">
        <f t="shared" si="65"/>
        <v>2.4874243025499485E-2</v>
      </c>
      <c r="O165" s="368">
        <f t="shared" si="66"/>
        <v>1.0191962637572811</v>
      </c>
      <c r="P165" s="369">
        <f t="shared" si="67"/>
        <v>0.2266254859085004</v>
      </c>
      <c r="Q165" s="370">
        <f t="shared" si="68"/>
        <v>5.0699748335579606</v>
      </c>
      <c r="R165" s="371">
        <f t="shared" si="69"/>
        <v>-120.94184859052274</v>
      </c>
      <c r="S165" s="373">
        <f t="shared" si="70"/>
        <v>59.058151409477261</v>
      </c>
      <c r="U165" s="346">
        <f t="shared" si="76"/>
        <v>1000000000</v>
      </c>
      <c r="V165" s="346">
        <f t="shared" si="77"/>
        <v>86107264.359999999</v>
      </c>
      <c r="X165" s="372">
        <f t="shared" si="71"/>
        <v>24.781035413389919</v>
      </c>
      <c r="Y165" s="373">
        <f t="shared" si="72"/>
        <v>-29.106029438438945</v>
      </c>
      <c r="AA165" s="372">
        <f t="shared" si="73"/>
        <v>31.769564774722419</v>
      </c>
      <c r="AB165" s="373">
        <f t="shared" si="74"/>
        <v>-91.835819152083829</v>
      </c>
      <c r="AD165">
        <f t="shared" si="78"/>
        <v>0</v>
      </c>
      <c r="AE165">
        <f t="shared" si="81"/>
        <v>0</v>
      </c>
    </row>
    <row r="166" spans="1:31" x14ac:dyDescent="0.2">
      <c r="A166" s="374">
        <v>9332.5</v>
      </c>
      <c r="B166" s="391">
        <f t="shared" si="75"/>
        <v>9.3324999999999996</v>
      </c>
      <c r="C166" s="364">
        <f t="shared" si="54"/>
        <v>11.98281263034341</v>
      </c>
      <c r="D166" s="365">
        <f t="shared" si="55"/>
        <v>1.4872462944494296</v>
      </c>
      <c r="E166" s="365">
        <f t="shared" si="56"/>
        <v>1.0062131601213244</v>
      </c>
      <c r="F166" s="366">
        <f t="shared" si="57"/>
        <v>0.11118597301329611</v>
      </c>
      <c r="G166" s="365">
        <f t="shared" si="58"/>
        <v>1</v>
      </c>
      <c r="H166" s="366">
        <f t="shared" si="59"/>
        <v>0</v>
      </c>
      <c r="I166" s="364">
        <f t="shared" si="60"/>
        <v>3168.3585034738853</v>
      </c>
      <c r="J166" s="367">
        <f t="shared" si="61"/>
        <v>1.5704807059409098</v>
      </c>
      <c r="K166" s="375">
        <f t="shared" si="82"/>
        <v>2.160994694213719</v>
      </c>
      <c r="L166" s="376">
        <f t="shared" si="83"/>
        <v>1.0897016588236643</v>
      </c>
      <c r="M166" s="364">
        <f t="shared" si="64"/>
        <v>1.000312994828042</v>
      </c>
      <c r="N166" s="367">
        <f t="shared" si="65"/>
        <v>2.5016523008019261E-2</v>
      </c>
      <c r="O166" s="368">
        <f t="shared" si="66"/>
        <v>1.01941475800125</v>
      </c>
      <c r="P166" s="369">
        <f t="shared" si="67"/>
        <v>0.22789546516816622</v>
      </c>
      <c r="Q166" s="370">
        <f t="shared" si="68"/>
        <v>5.0088131799563591</v>
      </c>
      <c r="R166" s="371">
        <f t="shared" si="69"/>
        <v>-120.87984870072876</v>
      </c>
      <c r="S166" s="373">
        <f t="shared" si="70"/>
        <v>59.120151299271242</v>
      </c>
      <c r="U166" s="346">
        <f t="shared" si="76"/>
        <v>1000000000</v>
      </c>
      <c r="V166" s="346">
        <f t="shared" si="77"/>
        <v>87095556.25</v>
      </c>
      <c r="X166" s="372">
        <f t="shared" si="71"/>
        <v>24.770343798342385</v>
      </c>
      <c r="Y166" s="373">
        <f t="shared" si="72"/>
        <v>-28.979951497705358</v>
      </c>
      <c r="AA166" s="372">
        <f t="shared" si="73"/>
        <v>31.719094736168351</v>
      </c>
      <c r="AB166" s="373">
        <f t="shared" si="74"/>
        <v>-91.899897203023414</v>
      </c>
      <c r="AD166">
        <f t="shared" si="78"/>
        <v>0</v>
      </c>
      <c r="AE166">
        <f t="shared" si="81"/>
        <v>0</v>
      </c>
    </row>
    <row r="167" spans="1:31" x14ac:dyDescent="0.2">
      <c r="A167" s="374">
        <v>9386.85</v>
      </c>
      <c r="B167" s="391">
        <f t="shared" si="75"/>
        <v>9.3868500000000008</v>
      </c>
      <c r="C167" s="364">
        <f t="shared" si="54"/>
        <v>12.05211273677841</v>
      </c>
      <c r="D167" s="365">
        <f t="shared" si="55"/>
        <v>1.4877278216166474</v>
      </c>
      <c r="E167" s="365">
        <f t="shared" si="56"/>
        <v>1.0062855117537493</v>
      </c>
      <c r="F167" s="366">
        <f t="shared" si="57"/>
        <v>0.11182812107679108</v>
      </c>
      <c r="G167" s="365">
        <f t="shared" si="58"/>
        <v>1</v>
      </c>
      <c r="H167" s="366">
        <f t="shared" si="59"/>
        <v>0</v>
      </c>
      <c r="I167" s="364">
        <f t="shared" si="60"/>
        <v>3186.8101796120554</v>
      </c>
      <c r="J167" s="367">
        <f t="shared" si="61"/>
        <v>1.5704825333901911</v>
      </c>
      <c r="K167" s="375">
        <f t="shared" si="82"/>
        <v>2.1708909596023549</v>
      </c>
      <c r="L167" s="376">
        <f t="shared" si="83"/>
        <v>1.0920797979021175</v>
      </c>
      <c r="M167" s="364">
        <f t="shared" si="64"/>
        <v>1.0003166504622565</v>
      </c>
      <c r="N167" s="367">
        <f t="shared" si="65"/>
        <v>2.5162151281842019E-2</v>
      </c>
      <c r="O167" s="368">
        <f t="shared" si="66"/>
        <v>1.01963964425973</v>
      </c>
      <c r="P167" s="369">
        <f t="shared" si="67"/>
        <v>0.22919487829527349</v>
      </c>
      <c r="Q167" s="370">
        <f t="shared" si="68"/>
        <v>4.9466503166391602</v>
      </c>
      <c r="R167" s="371">
        <f t="shared" si="69"/>
        <v>-120.81728794753455</v>
      </c>
      <c r="S167" s="373">
        <f t="shared" si="70"/>
        <v>59.182712052465448</v>
      </c>
      <c r="U167" s="346">
        <f t="shared" si="76"/>
        <v>1000000000</v>
      </c>
      <c r="V167" s="346">
        <f t="shared" si="77"/>
        <v>88112952.922499999</v>
      </c>
      <c r="X167" s="372">
        <f t="shared" si="71"/>
        <v>24.759560663217783</v>
      </c>
      <c r="Y167" s="373">
        <f t="shared" si="72"/>
        <v>-28.852142755867728</v>
      </c>
      <c r="AA167" s="372">
        <f t="shared" si="73"/>
        <v>31.667715007975758</v>
      </c>
      <c r="AB167" s="373">
        <f t="shared" si="74"/>
        <v>-91.965145191666821</v>
      </c>
      <c r="AD167">
        <f t="shared" si="78"/>
        <v>0</v>
      </c>
      <c r="AE167">
        <f t="shared" si="81"/>
        <v>0</v>
      </c>
    </row>
    <row r="168" spans="1:31" x14ac:dyDescent="0.2">
      <c r="A168" s="374">
        <v>9441.2000000000007</v>
      </c>
      <c r="B168" s="391">
        <f t="shared" si="75"/>
        <v>9.4412000000000003</v>
      </c>
      <c r="C168" s="364">
        <f t="shared" si="54"/>
        <v>12.121415605764016</v>
      </c>
      <c r="D168" s="365">
        <f t="shared" si="55"/>
        <v>1.4882038427352848</v>
      </c>
      <c r="E168" s="365">
        <f t="shared" si="56"/>
        <v>1.0063582782724019</v>
      </c>
      <c r="F168" s="366">
        <f t="shared" si="57"/>
        <v>0.11247017654170111</v>
      </c>
      <c r="G168" s="365">
        <f t="shared" si="58"/>
        <v>1</v>
      </c>
      <c r="H168" s="366">
        <f t="shared" si="59"/>
        <v>0</v>
      </c>
      <c r="I168" s="364">
        <f t="shared" si="60"/>
        <v>3205.2618557607457</v>
      </c>
      <c r="J168" s="367">
        <f t="shared" si="61"/>
        <v>1.57048433979938</v>
      </c>
      <c r="K168" s="375">
        <f t="shared" si="82"/>
        <v>2.1807993910942742</v>
      </c>
      <c r="L168" s="376">
        <f t="shared" si="83"/>
        <v>1.0944363401242234</v>
      </c>
      <c r="M168" s="364">
        <f t="shared" si="64"/>
        <v>1.0003203273106251</v>
      </c>
      <c r="N168" s="367">
        <f t="shared" si="65"/>
        <v>2.5307778488189929E-2</v>
      </c>
      <c r="O168" s="368">
        <f t="shared" si="66"/>
        <v>1.019865792878385</v>
      </c>
      <c r="P168" s="369">
        <f t="shared" si="67"/>
        <v>0.23049382167469953</v>
      </c>
      <c r="Q168" s="370">
        <f t="shared" si="68"/>
        <v>4.8849248286867128</v>
      </c>
      <c r="R168" s="371">
        <f t="shared" si="69"/>
        <v>-120.75562625399358</v>
      </c>
      <c r="S168" s="373">
        <f t="shared" si="70"/>
        <v>59.244373746006417</v>
      </c>
      <c r="U168" s="346">
        <f t="shared" si="76"/>
        <v>1000000000</v>
      </c>
      <c r="V168" s="346">
        <f t="shared" si="77"/>
        <v>89136257.440000013</v>
      </c>
      <c r="X168" s="372">
        <f t="shared" si="71"/>
        <v>24.748936489900633</v>
      </c>
      <c r="Y168" s="373">
        <f t="shared" si="72"/>
        <v>-28.725570156080657</v>
      </c>
      <c r="AA168" s="372">
        <f t="shared" si="73"/>
        <v>31.616613693340454</v>
      </c>
      <c r="AB168" s="373">
        <f t="shared" si="74"/>
        <v>-92.030056097912933</v>
      </c>
      <c r="AD168">
        <f t="shared" si="78"/>
        <v>0</v>
      </c>
      <c r="AE168">
        <f t="shared" si="81"/>
        <v>0</v>
      </c>
    </row>
    <row r="169" spans="1:31" x14ac:dyDescent="0.2">
      <c r="A169" s="374">
        <v>9495.5499999999993</v>
      </c>
      <c r="B169" s="391">
        <f t="shared" si="75"/>
        <v>9.4955499999999997</v>
      </c>
      <c r="C169" s="364">
        <f t="shared" si="54"/>
        <v>12.19072119018586</v>
      </c>
      <c r="D169" s="365">
        <f t="shared" si="55"/>
        <v>1.4886744514952179</v>
      </c>
      <c r="E169" s="365">
        <f t="shared" si="56"/>
        <v>1.0064314595872914</v>
      </c>
      <c r="F169" s="366">
        <f t="shared" si="57"/>
        <v>0.11311213889881316</v>
      </c>
      <c r="G169" s="365">
        <f t="shared" si="58"/>
        <v>1</v>
      </c>
      <c r="H169" s="366">
        <f t="shared" si="59"/>
        <v>0</v>
      </c>
      <c r="I169" s="364">
        <f t="shared" si="60"/>
        <v>3223.7135319197746</v>
      </c>
      <c r="J169" s="367">
        <f t="shared" si="61"/>
        <v>1.5704861255297606</v>
      </c>
      <c r="K169" s="375">
        <f t="shared" si="82"/>
        <v>2.1907198236108645</v>
      </c>
      <c r="L169" s="376">
        <f t="shared" si="83"/>
        <v>1.0967715525349699</v>
      </c>
      <c r="M169" s="364">
        <f t="shared" si="64"/>
        <v>1.0003240253729142</v>
      </c>
      <c r="N169" s="367">
        <f t="shared" si="65"/>
        <v>2.5453404620898082E-2</v>
      </c>
      <c r="O169" s="368">
        <f t="shared" si="66"/>
        <v>1.0200932031306325</v>
      </c>
      <c r="P169" s="369">
        <f t="shared" si="67"/>
        <v>0.23179229298885889</v>
      </c>
      <c r="Q169" s="370">
        <f t="shared" si="68"/>
        <v>4.8236305000925821</v>
      </c>
      <c r="R169" s="371">
        <f t="shared" si="69"/>
        <v>-120.69485360432435</v>
      </c>
      <c r="S169" s="373">
        <f t="shared" si="70"/>
        <v>59.305146395675649</v>
      </c>
      <c r="U169" s="346">
        <f t="shared" si="76"/>
        <v>1000000000</v>
      </c>
      <c r="V169" s="346">
        <f t="shared" si="77"/>
        <v>90165469.80249998</v>
      </c>
      <c r="X169" s="372">
        <f t="shared" si="71"/>
        <v>24.738468257893626</v>
      </c>
      <c r="Y169" s="373">
        <f t="shared" si="72"/>
        <v>-28.600218418140226</v>
      </c>
      <c r="AA169" s="372">
        <f t="shared" si="73"/>
        <v>31.565787596753335</v>
      </c>
      <c r="AB169" s="373">
        <f t="shared" si="74"/>
        <v>-92.094635186184121</v>
      </c>
      <c r="AD169">
        <f t="shared" si="78"/>
        <v>0</v>
      </c>
      <c r="AE169">
        <f t="shared" si="81"/>
        <v>0</v>
      </c>
    </row>
    <row r="170" spans="1:31" x14ac:dyDescent="0.2">
      <c r="A170" s="374">
        <v>9549.9</v>
      </c>
      <c r="B170" s="391">
        <f t="shared" si="75"/>
        <v>9.5498999999999992</v>
      </c>
      <c r="C170" s="364">
        <f t="shared" si="54"/>
        <v>12.260029443993105</v>
      </c>
      <c r="D170" s="365">
        <f t="shared" si="55"/>
        <v>1.4891397394774522</v>
      </c>
      <c r="E170" s="365">
        <f t="shared" si="56"/>
        <v>1.0065050556079405</v>
      </c>
      <c r="F170" s="366">
        <f t="shared" si="57"/>
        <v>0.11375400763936891</v>
      </c>
      <c r="G170" s="365">
        <f t="shared" si="58"/>
        <v>1</v>
      </c>
      <c r="H170" s="366">
        <f t="shared" si="59"/>
        <v>0</v>
      </c>
      <c r="I170" s="364">
        <f t="shared" si="60"/>
        <v>3242.1652080889671</v>
      </c>
      <c r="J170" s="367">
        <f t="shared" si="61"/>
        <v>1.5704878909343918</v>
      </c>
      <c r="K170" s="375">
        <f t="shared" si="82"/>
        <v>2.2006520948520278</v>
      </c>
      <c r="L170" s="376">
        <f t="shared" si="83"/>
        <v>1.0990856982975876</v>
      </c>
      <c r="M170" s="364">
        <f t="shared" si="64"/>
        <v>1.0003277446488881</v>
      </c>
      <c r="N170" s="367">
        <f t="shared" si="65"/>
        <v>2.559902967380184E-2</v>
      </c>
      <c r="O170" s="368">
        <f t="shared" si="66"/>
        <v>1.0203218742865083</v>
      </c>
      <c r="P170" s="369">
        <f t="shared" si="67"/>
        <v>0.23309028992660905</v>
      </c>
      <c r="Q170" s="370">
        <f t="shared" si="68"/>
        <v>4.7627612372761643</v>
      </c>
      <c r="R170" s="371">
        <f t="shared" si="69"/>
        <v>-120.63496008419604</v>
      </c>
      <c r="S170" s="373">
        <f t="shared" si="70"/>
        <v>59.365039915803962</v>
      </c>
      <c r="U170" s="346">
        <f t="shared" si="76"/>
        <v>1000000000</v>
      </c>
      <c r="V170" s="346">
        <f t="shared" si="77"/>
        <v>91200590.00999999</v>
      </c>
      <c r="X170" s="372">
        <f t="shared" si="71"/>
        <v>24.7281530156665</v>
      </c>
      <c r="Y170" s="373">
        <f t="shared" si="72"/>
        <v>-28.476072483779543</v>
      </c>
      <c r="AA170" s="372">
        <f t="shared" si="73"/>
        <v>31.515233576164043</v>
      </c>
      <c r="AB170" s="373">
        <f t="shared" si="74"/>
        <v>-92.158887600416492</v>
      </c>
      <c r="AD170">
        <f t="shared" si="78"/>
        <v>0</v>
      </c>
      <c r="AE170">
        <f t="shared" si="81"/>
        <v>0</v>
      </c>
    </row>
    <row r="171" spans="1:31" x14ac:dyDescent="0.2">
      <c r="A171" s="374">
        <v>9605.5249999999996</v>
      </c>
      <c r="B171" s="391">
        <f t="shared" si="75"/>
        <v>9.6055250000000001</v>
      </c>
      <c r="C171" s="364">
        <f t="shared" si="54"/>
        <v>12.330966321478328</v>
      </c>
      <c r="D171" s="365">
        <f t="shared" si="55"/>
        <v>1.4896105266254578</v>
      </c>
      <c r="E171" s="365">
        <f t="shared" si="56"/>
        <v>1.0065808074400289</v>
      </c>
      <c r="F171" s="366">
        <f t="shared" si="57"/>
        <v>0.11441083655128086</v>
      </c>
      <c r="G171" s="365">
        <f t="shared" si="58"/>
        <v>1</v>
      </c>
      <c r="H171" s="366">
        <f t="shared" si="59"/>
        <v>0</v>
      </c>
      <c r="I171" s="364">
        <f t="shared" si="60"/>
        <v>3261.0497432770726</v>
      </c>
      <c r="J171" s="367">
        <f t="shared" si="61"/>
        <v>1.5704896770672334</v>
      </c>
      <c r="K171" s="375">
        <f t="shared" si="82"/>
        <v>2.2108294599166762</v>
      </c>
      <c r="L171" s="376">
        <f t="shared" si="83"/>
        <v>1.1014325886106617</v>
      </c>
      <c r="M171" s="364">
        <f t="shared" si="64"/>
        <v>1.0003315731413416</v>
      </c>
      <c r="N171" s="367">
        <f t="shared" si="65"/>
        <v>2.5748069829266442E-2</v>
      </c>
      <c r="O171" s="368">
        <f t="shared" si="66"/>
        <v>1.020557214707833</v>
      </c>
      <c r="P171" s="369">
        <f t="shared" si="67"/>
        <v>0.23441824304991832</v>
      </c>
      <c r="Q171" s="370">
        <f t="shared" si="68"/>
        <v>4.7008979452106994</v>
      </c>
      <c r="R171" s="371">
        <f t="shared" si="69"/>
        <v>-120.57456158543916</v>
      </c>
      <c r="S171" s="373">
        <f t="shared" si="70"/>
        <v>59.425438414560844</v>
      </c>
      <c r="U171" s="346">
        <f t="shared" si="76"/>
        <v>1000000000</v>
      </c>
      <c r="V171" s="346">
        <f t="shared" si="77"/>
        <v>92266110.52562499</v>
      </c>
      <c r="X171" s="372">
        <f t="shared" si="71"/>
        <v>24.717751193281234</v>
      </c>
      <c r="Y171" s="373">
        <f t="shared" si="72"/>
        <v>-28.350247283476062</v>
      </c>
      <c r="AA171" s="372">
        <f t="shared" si="73"/>
        <v>31.463772106483844</v>
      </c>
      <c r="AB171" s="373">
        <f t="shared" si="74"/>
        <v>-92.224314301963076</v>
      </c>
      <c r="AD171">
        <f t="shared" si="78"/>
        <v>0</v>
      </c>
      <c r="AE171">
        <f t="shared" si="81"/>
        <v>0</v>
      </c>
    </row>
    <row r="172" spans="1:31" x14ac:dyDescent="0.2">
      <c r="A172" s="374">
        <v>9661.15</v>
      </c>
      <c r="B172" s="391">
        <f t="shared" si="75"/>
        <v>9.6611499999999992</v>
      </c>
      <c r="C172" s="364">
        <f t="shared" si="54"/>
        <v>12.401905900740111</v>
      </c>
      <c r="D172" s="365">
        <f t="shared" si="55"/>
        <v>1.4900759280192233</v>
      </c>
      <c r="E172" s="365">
        <f t="shared" si="56"/>
        <v>1.0066569934699898</v>
      </c>
      <c r="F172" s="366">
        <f t="shared" si="57"/>
        <v>0.11506756632595382</v>
      </c>
      <c r="G172" s="365">
        <f t="shared" si="58"/>
        <v>1</v>
      </c>
      <c r="H172" s="366">
        <f t="shared" si="59"/>
        <v>0</v>
      </c>
      <c r="I172" s="364">
        <f t="shared" si="60"/>
        <v>3279.9342784754608</v>
      </c>
      <c r="J172" s="367">
        <f t="shared" si="61"/>
        <v>1.5704914426324137</v>
      </c>
      <c r="K172" s="375">
        <f t="shared" si="82"/>
        <v>2.2210188903596779</v>
      </c>
      <c r="L172" s="376">
        <f t="shared" si="83"/>
        <v>1.1037579578453489</v>
      </c>
      <c r="M172" s="364">
        <f t="shared" si="64"/>
        <v>1.0003354238539577</v>
      </c>
      <c r="N172" s="367">
        <f t="shared" si="65"/>
        <v>2.5897108840604883E-2</v>
      </c>
      <c r="O172" s="368">
        <f t="shared" si="66"/>
        <v>1.0207938743279668</v>
      </c>
      <c r="P172" s="369">
        <f t="shared" si="67"/>
        <v>0.23574569440118578</v>
      </c>
      <c r="Q172" s="370">
        <f t="shared" si="68"/>
        <v>4.6394673607139651</v>
      </c>
      <c r="R172" s="371">
        <f t="shared" si="69"/>
        <v>-120.51506325938932</v>
      </c>
      <c r="S172" s="373">
        <f t="shared" si="70"/>
        <v>59.484936740610678</v>
      </c>
      <c r="U172" s="346">
        <f t="shared" si="76"/>
        <v>1000000000</v>
      </c>
      <c r="V172" s="346">
        <f t="shared" si="77"/>
        <v>93337819.32249999</v>
      </c>
      <c r="X172" s="372">
        <f t="shared" si="71"/>
        <v>24.707503580547691</v>
      </c>
      <c r="Y172" s="373">
        <f t="shared" si="72"/>
        <v>-28.225653906142323</v>
      </c>
      <c r="AA172" s="372">
        <f t="shared" si="73"/>
        <v>31.412589134720651</v>
      </c>
      <c r="AB172" s="373">
        <f t="shared" si="74"/>
        <v>-92.289409353246967</v>
      </c>
      <c r="AD172">
        <f t="shared" si="78"/>
        <v>0</v>
      </c>
      <c r="AE172">
        <f t="shared" si="81"/>
        <v>0</v>
      </c>
    </row>
    <row r="173" spans="1:31" x14ac:dyDescent="0.2">
      <c r="A173" s="374">
        <v>9716.7749999999996</v>
      </c>
      <c r="B173" s="391">
        <f t="shared" si="75"/>
        <v>9.7167750000000002</v>
      </c>
      <c r="C173" s="364">
        <f t="shared" si="54"/>
        <v>12.472848135679223</v>
      </c>
      <c r="D173" s="365">
        <f t="shared" si="55"/>
        <v>1.4905360353536008</v>
      </c>
      <c r="E173" s="365">
        <f t="shared" si="56"/>
        <v>1.0067336135992475</v>
      </c>
      <c r="F173" s="366">
        <f t="shared" si="57"/>
        <v>0.11572419641947219</v>
      </c>
      <c r="G173" s="365">
        <f t="shared" si="58"/>
        <v>1</v>
      </c>
      <c r="H173" s="366">
        <f t="shared" si="59"/>
        <v>0</v>
      </c>
      <c r="I173" s="364">
        <f t="shared" si="60"/>
        <v>3298.8188136839567</v>
      </c>
      <c r="J173" s="367">
        <f t="shared" si="61"/>
        <v>1.5704931879831596</v>
      </c>
      <c r="K173" s="375">
        <f t="shared" si="82"/>
        <v>2.2312202208822502</v>
      </c>
      <c r="L173" s="376">
        <f t="shared" si="83"/>
        <v>1.1060620758686697</v>
      </c>
      <c r="M173" s="364">
        <f t="shared" si="64"/>
        <v>1.0003392967864799</v>
      </c>
      <c r="N173" s="367">
        <f t="shared" si="65"/>
        <v>2.6046146701209319E-2</v>
      </c>
      <c r="O173" s="368">
        <f t="shared" si="66"/>
        <v>1.0210318523534374</v>
      </c>
      <c r="P173" s="369">
        <f t="shared" si="67"/>
        <v>0.23707264152388582</v>
      </c>
      <c r="Q173" s="370">
        <f t="shared" si="68"/>
        <v>4.578463330296608</v>
      </c>
      <c r="R173" s="371">
        <f t="shared" si="69"/>
        <v>-120.45645480780851</v>
      </c>
      <c r="S173" s="373">
        <f t="shared" si="70"/>
        <v>59.543545192191488</v>
      </c>
      <c r="U173" s="346">
        <f t="shared" si="76"/>
        <v>1000000000</v>
      </c>
      <c r="V173" s="346">
        <f t="shared" si="77"/>
        <v>94415716.40062499</v>
      </c>
      <c r="X173" s="372">
        <f t="shared" si="71"/>
        <v>24.697407225991338</v>
      </c>
      <c r="Y173" s="373">
        <f t="shared" si="72"/>
        <v>-28.102276909396856</v>
      </c>
      <c r="AA173" s="372">
        <f t="shared" si="73"/>
        <v>31.361681458859646</v>
      </c>
      <c r="AB173" s="373">
        <f t="shared" si="74"/>
        <v>-92.354177898411663</v>
      </c>
      <c r="AD173">
        <f t="shared" si="78"/>
        <v>0</v>
      </c>
      <c r="AE173">
        <f t="shared" si="81"/>
        <v>0</v>
      </c>
    </row>
    <row r="174" spans="1:31" x14ac:dyDescent="0.2">
      <c r="A174" s="374">
        <v>9772.4</v>
      </c>
      <c r="B174" s="391">
        <f t="shared" si="75"/>
        <v>9.7723999999999993</v>
      </c>
      <c r="C174" s="364">
        <f t="shared" si="54"/>
        <v>12.543792981237599</v>
      </c>
      <c r="D174" s="365">
        <f t="shared" si="55"/>
        <v>1.4909909382581048</v>
      </c>
      <c r="E174" s="365">
        <f t="shared" si="56"/>
        <v>1.006810667728695</v>
      </c>
      <c r="F174" s="366">
        <f t="shared" si="57"/>
        <v>0.11638072628842941</v>
      </c>
      <c r="G174" s="365">
        <f t="shared" si="58"/>
        <v>1</v>
      </c>
      <c r="H174" s="366">
        <f t="shared" si="59"/>
        <v>0</v>
      </c>
      <c r="I174" s="364">
        <f t="shared" si="60"/>
        <v>3317.703348902387</v>
      </c>
      <c r="J174" s="367">
        <f t="shared" si="61"/>
        <v>1.5704949134646564</v>
      </c>
      <c r="K174" s="375">
        <f t="shared" si="82"/>
        <v>2.2414332890035715</v>
      </c>
      <c r="L174" s="376">
        <f t="shared" si="83"/>
        <v>1.1083452085402572</v>
      </c>
      <c r="M174" s="364">
        <f t="shared" si="64"/>
        <v>1.0003431919386503</v>
      </c>
      <c r="N174" s="367">
        <f t="shared" si="65"/>
        <v>2.6195183404472213E-2</v>
      </c>
      <c r="O174" s="368">
        <f t="shared" si="66"/>
        <v>1.0212711479871202</v>
      </c>
      <c r="P174" s="369">
        <f t="shared" si="67"/>
        <v>0.23839908196866239</v>
      </c>
      <c r="Q174" s="370">
        <f t="shared" si="68"/>
        <v>4.517879822080034</v>
      </c>
      <c r="R174" s="371">
        <f t="shared" si="69"/>
        <v>-120.39872604365101</v>
      </c>
      <c r="S174" s="373">
        <f t="shared" si="70"/>
        <v>59.60127395634899</v>
      </c>
      <c r="U174" s="346">
        <f t="shared" si="76"/>
        <v>1000000000</v>
      </c>
      <c r="V174" s="346">
        <f t="shared" si="77"/>
        <v>95499801.75999999</v>
      </c>
      <c r="X174" s="372">
        <f t="shared" si="71"/>
        <v>24.687459246083616</v>
      </c>
      <c r="Y174" s="373">
        <f t="shared" si="72"/>
        <v>-27.980101080003752</v>
      </c>
      <c r="AA174" s="372">
        <f t="shared" si="73"/>
        <v>31.311045930550794</v>
      </c>
      <c r="AB174" s="373">
        <f t="shared" si="74"/>
        <v>-92.418624963647261</v>
      </c>
      <c r="AD174">
        <f t="shared" si="78"/>
        <v>0</v>
      </c>
      <c r="AE174">
        <f t="shared" si="81"/>
        <v>0</v>
      </c>
    </row>
    <row r="175" spans="1:31" x14ac:dyDescent="0.2">
      <c r="A175" s="374">
        <v>9829.2999999999993</v>
      </c>
      <c r="B175" s="391">
        <f t="shared" si="75"/>
        <v>9.8292999999999999</v>
      </c>
      <c r="C175" s="364">
        <f t="shared" si="54"/>
        <v>12.616366633461242</v>
      </c>
      <c r="D175" s="365">
        <f t="shared" si="55"/>
        <v>1.4914509747531122</v>
      </c>
      <c r="E175" s="365">
        <f t="shared" si="56"/>
        <v>1.0068899369748048</v>
      </c>
      <c r="F175" s="366">
        <f t="shared" si="57"/>
        <v>0.11705220044438702</v>
      </c>
      <c r="G175" s="365">
        <f t="shared" si="58"/>
        <v>1</v>
      </c>
      <c r="H175" s="366">
        <f t="shared" si="59"/>
        <v>0</v>
      </c>
      <c r="I175" s="364">
        <f t="shared" si="60"/>
        <v>3337.020743140421</v>
      </c>
      <c r="J175" s="367">
        <f t="shared" si="61"/>
        <v>1.570496658290581</v>
      </c>
      <c r="K175" s="375">
        <f t="shared" si="82"/>
        <v>2.2518924321632854</v>
      </c>
      <c r="L175" s="376">
        <f t="shared" si="83"/>
        <v>1.110659234342978</v>
      </c>
      <c r="M175" s="364">
        <f t="shared" si="64"/>
        <v>1.0003471993621313</v>
      </c>
      <c r="N175" s="367">
        <f t="shared" si="65"/>
        <v>2.6347635025596582E-2</v>
      </c>
      <c r="O175" s="368">
        <f t="shared" si="66"/>
        <v>1.0215172910208894</v>
      </c>
      <c r="P175" s="369">
        <f t="shared" si="67"/>
        <v>0.23975539943922325</v>
      </c>
      <c r="Q175" s="370">
        <f t="shared" si="68"/>
        <v>4.4563365850741548</v>
      </c>
      <c r="R175" s="371">
        <f t="shared" si="69"/>
        <v>-120.34057371817651</v>
      </c>
      <c r="S175" s="373">
        <f t="shared" si="70"/>
        <v>59.659426281823485</v>
      </c>
      <c r="U175" s="346">
        <f t="shared" si="76"/>
        <v>1000000000</v>
      </c>
      <c r="V175" s="346">
        <f t="shared" si="77"/>
        <v>96615138.48999998</v>
      </c>
      <c r="X175" s="372">
        <f t="shared" si="71"/>
        <v>24.677433823224465</v>
      </c>
      <c r="Y175" s="373">
        <f t="shared" si="72"/>
        <v>-27.856351973313899</v>
      </c>
      <c r="AA175" s="372">
        <f t="shared" si="73"/>
        <v>31.259528116404063</v>
      </c>
      <c r="AB175" s="373">
        <f t="shared" si="74"/>
        <v>-92.484221744862651</v>
      </c>
      <c r="AD175">
        <f t="shared" si="78"/>
        <v>0</v>
      </c>
      <c r="AE175">
        <f t="shared" si="81"/>
        <v>0</v>
      </c>
    </row>
    <row r="176" spans="1:31" x14ac:dyDescent="0.2">
      <c r="A176" s="374">
        <v>9886.2000000000007</v>
      </c>
      <c r="B176" s="391">
        <f t="shared" si="75"/>
        <v>9.8862000000000005</v>
      </c>
      <c r="C176" s="364">
        <f t="shared" si="54"/>
        <v>12.688942925189011</v>
      </c>
      <c r="D176" s="365">
        <f t="shared" si="55"/>
        <v>1.4919057488494711</v>
      </c>
      <c r="E176" s="365">
        <f t="shared" si="56"/>
        <v>1.0069696601333793</v>
      </c>
      <c r="F176" s="366">
        <f t="shared" si="57"/>
        <v>0.11772356857996391</v>
      </c>
      <c r="G176" s="365">
        <f t="shared" si="58"/>
        <v>1</v>
      </c>
      <c r="H176" s="366">
        <f t="shared" si="59"/>
        <v>0</v>
      </c>
      <c r="I176" s="364">
        <f t="shared" si="60"/>
        <v>3356.3381373884986</v>
      </c>
      <c r="J176" s="367">
        <f t="shared" si="61"/>
        <v>1.5704983830318249</v>
      </c>
      <c r="K176" s="375">
        <f t="shared" si="82"/>
        <v>2.2623635220356197</v>
      </c>
      <c r="L176" s="376">
        <f t="shared" si="83"/>
        <v>1.1129518519219215</v>
      </c>
      <c r="M176" s="364">
        <f t="shared" si="64"/>
        <v>1.0003512300349922</v>
      </c>
      <c r="N176" s="367">
        <f t="shared" si="65"/>
        <v>2.6500085421730379E-2</v>
      </c>
      <c r="O176" s="368">
        <f t="shared" si="66"/>
        <v>1.0217648110589073</v>
      </c>
      <c r="P176" s="369">
        <f t="shared" si="67"/>
        <v>0.24111118157664682</v>
      </c>
      <c r="Q176" s="370">
        <f t="shared" si="68"/>
        <v>4.3952209780870728</v>
      </c>
      <c r="R176" s="371">
        <f t="shared" si="69"/>
        <v>-120.28332066157645</v>
      </c>
      <c r="S176" s="373">
        <f t="shared" si="70"/>
        <v>59.716679338423546</v>
      </c>
      <c r="U176" s="346">
        <f t="shared" si="76"/>
        <v>1000000000</v>
      </c>
      <c r="V176" s="346">
        <f t="shared" si="77"/>
        <v>97736950.440000013</v>
      </c>
      <c r="X176" s="372">
        <f t="shared" si="71"/>
        <v>24.667557761170038</v>
      </c>
      <c r="Y176" s="373">
        <f t="shared" si="72"/>
        <v>-27.733828246540511</v>
      </c>
      <c r="AA176" s="372">
        <f t="shared" si="73"/>
        <v>31.208288571471417</v>
      </c>
      <c r="AB176" s="373">
        <f t="shared" si="74"/>
        <v>-92.549492415035957</v>
      </c>
      <c r="AD176">
        <f t="shared" si="78"/>
        <v>0</v>
      </c>
      <c r="AE176">
        <f t="shared" si="81"/>
        <v>0</v>
      </c>
    </row>
    <row r="177" spans="1:31" x14ac:dyDescent="0.2">
      <c r="A177" s="374">
        <v>9943.1</v>
      </c>
      <c r="B177" s="391">
        <f t="shared" si="75"/>
        <v>9.9431000000000012</v>
      </c>
      <c r="C177" s="364">
        <f t="shared" si="54"/>
        <v>12.761521811387375</v>
      </c>
      <c r="D177" s="365">
        <f t="shared" si="55"/>
        <v>1.4923553501443163</v>
      </c>
      <c r="E177" s="365">
        <f t="shared" si="56"/>
        <v>1.0070498370966168</v>
      </c>
      <c r="F177" s="366">
        <f t="shared" si="57"/>
        <v>0.11839483011519307</v>
      </c>
      <c r="G177" s="365">
        <f t="shared" si="58"/>
        <v>1</v>
      </c>
      <c r="H177" s="366">
        <f t="shared" si="59"/>
        <v>0</v>
      </c>
      <c r="I177" s="364">
        <f t="shared" si="60"/>
        <v>3375.6555316464455</v>
      </c>
      <c r="J177" s="367">
        <f t="shared" si="61"/>
        <v>1.570500088033195</v>
      </c>
      <c r="K177" s="375">
        <f t="shared" si="82"/>
        <v>2.2728463935036993</v>
      </c>
      <c r="L177" s="376">
        <f t="shared" si="83"/>
        <v>1.1152233332273085</v>
      </c>
      <c r="M177" s="364">
        <f t="shared" si="64"/>
        <v>1.0003552839569512</v>
      </c>
      <c r="N177" s="367">
        <f t="shared" si="65"/>
        <v>2.6652534585802214E-2</v>
      </c>
      <c r="O177" s="368">
        <f t="shared" si="66"/>
        <v>1.0220137072361988</v>
      </c>
      <c r="P177" s="369">
        <f t="shared" si="67"/>
        <v>0.24246642578270611</v>
      </c>
      <c r="Q177" s="370">
        <f t="shared" si="68"/>
        <v>4.3345269206501742</v>
      </c>
      <c r="R177" s="371">
        <f t="shared" si="69"/>
        <v>-120.22695632950159</v>
      </c>
      <c r="S177" s="373">
        <f t="shared" si="70"/>
        <v>59.77304367049841</v>
      </c>
      <c r="U177" s="346">
        <f t="shared" si="76"/>
        <v>1000000000</v>
      </c>
      <c r="V177" s="346">
        <f t="shared" si="77"/>
        <v>98865237.610000014</v>
      </c>
      <c r="X177" s="372">
        <f t="shared" si="71"/>
        <v>24.657828182580811</v>
      </c>
      <c r="Y177" s="373">
        <f t="shared" si="72"/>
        <v>-27.612514337434533</v>
      </c>
      <c r="AA177" s="372">
        <f t="shared" si="73"/>
        <v>31.157324092623739</v>
      </c>
      <c r="AB177" s="373">
        <f t="shared" si="74"/>
        <v>-92.614441992067057</v>
      </c>
      <c r="AD177">
        <f t="shared" si="78"/>
        <v>0</v>
      </c>
      <c r="AE177">
        <f t="shared" si="81"/>
        <v>0</v>
      </c>
    </row>
    <row r="178" spans="1:31" x14ac:dyDescent="0.2">
      <c r="A178" s="374">
        <v>10000</v>
      </c>
      <c r="B178" s="391">
        <f t="shared" si="75"/>
        <v>10</v>
      </c>
      <c r="C178" s="364">
        <f t="shared" si="54"/>
        <v>12.834103248039916</v>
      </c>
      <c r="D178" s="365">
        <f t="shared" si="55"/>
        <v>1.4927998662164406</v>
      </c>
      <c r="E178" s="365">
        <f t="shared" si="56"/>
        <v>1.0071304677561357</v>
      </c>
      <c r="F178" s="366">
        <f t="shared" si="57"/>
        <v>0.11906598447067601</v>
      </c>
      <c r="G178" s="365">
        <f t="shared" si="58"/>
        <v>1</v>
      </c>
      <c r="H178" s="366">
        <f t="shared" si="59"/>
        <v>0</v>
      </c>
      <c r="I178" s="364">
        <f t="shared" si="60"/>
        <v>3394.9729259140931</v>
      </c>
      <c r="J178" s="367">
        <f t="shared" si="61"/>
        <v>1.5705017736316513</v>
      </c>
      <c r="K178" s="375">
        <f t="shared" si="82"/>
        <v>2.2833408842987857</v>
      </c>
      <c r="L178" s="376">
        <f t="shared" si="83"/>
        <v>1.117473946090594</v>
      </c>
      <c r="M178" s="364">
        <f t="shared" si="64"/>
        <v>1.0003593611277264</v>
      </c>
      <c r="N178" s="367">
        <f t="shared" si="65"/>
        <v>2.6804982510741045E-2</v>
      </c>
      <c r="O178" s="368">
        <f t="shared" si="66"/>
        <v>1.022263978683853</v>
      </c>
      <c r="P178" s="369">
        <f t="shared" si="67"/>
        <v>0.24382112946713233</v>
      </c>
      <c r="Q178" s="370">
        <f t="shared" si="68"/>
        <v>4.2742484527813103</v>
      </c>
      <c r="R178" s="371">
        <f t="shared" si="69"/>
        <v>-120.17147029792199</v>
      </c>
      <c r="S178" s="373">
        <f t="shared" si="70"/>
        <v>59.828529702078015</v>
      </c>
      <c r="U178" s="346">
        <f t="shared" si="76"/>
        <v>1000000000</v>
      </c>
      <c r="V178" s="346">
        <f t="shared" si="77"/>
        <v>100000000</v>
      </c>
      <c r="X178" s="372">
        <f t="shared" si="71"/>
        <v>24.648242276852486</v>
      </c>
      <c r="Y178" s="373">
        <f t="shared" si="72"/>
        <v>-27.492394919285189</v>
      </c>
      <c r="AA178" s="372">
        <f t="shared" si="73"/>
        <v>31.106631530483206</v>
      </c>
      <c r="AB178" s="373">
        <f t="shared" si="74"/>
        <v>-92.679075378636824</v>
      </c>
      <c r="AD178">
        <f t="shared" si="78"/>
        <v>0</v>
      </c>
      <c r="AE178">
        <f t="shared" si="81"/>
        <v>0</v>
      </c>
    </row>
    <row r="179" spans="1:31" x14ac:dyDescent="0.2">
      <c r="A179" s="374">
        <v>10058.25</v>
      </c>
      <c r="B179" s="391">
        <f t="shared" si="75"/>
        <v>10.058249999999999</v>
      </c>
      <c r="C179" s="364">
        <f t="shared" si="54"/>
        <v>12.908409336889598</v>
      </c>
      <c r="D179" s="365">
        <f t="shared" si="55"/>
        <v>1.4932497505501989</v>
      </c>
      <c r="E179" s="365">
        <f t="shared" si="56"/>
        <v>1.0072134813020601</v>
      </c>
      <c r="F179" s="366">
        <f t="shared" si="57"/>
        <v>0.11975295089488654</v>
      </c>
      <c r="G179" s="365">
        <f t="shared" si="58"/>
        <v>1</v>
      </c>
      <c r="H179" s="366">
        <f t="shared" si="59"/>
        <v>0</v>
      </c>
      <c r="I179" s="364">
        <f t="shared" si="60"/>
        <v>3414.7486414967389</v>
      </c>
      <c r="J179" s="367">
        <f t="shared" si="61"/>
        <v>1.5705034794672366</v>
      </c>
      <c r="K179" s="375">
        <f t="shared" si="82"/>
        <v>2.2940962352760939</v>
      </c>
      <c r="L179" s="376">
        <f t="shared" si="83"/>
        <v>1.1197566150018541</v>
      </c>
      <c r="M179" s="364">
        <f t="shared" si="64"/>
        <v>1.0003635591152409</v>
      </c>
      <c r="N179" s="367">
        <f t="shared" si="65"/>
        <v>2.6961046098999041E-2</v>
      </c>
      <c r="O179" s="368">
        <f t="shared" si="66"/>
        <v>1.0225216117208145</v>
      </c>
      <c r="P179" s="369">
        <f t="shared" si="67"/>
        <v>0.24520741202110125</v>
      </c>
      <c r="Q179" s="370">
        <f t="shared" si="68"/>
        <v>4.2129642256055604</v>
      </c>
      <c r="R179" s="371">
        <f t="shared" si="69"/>
        <v>-120.11556686171363</v>
      </c>
      <c r="S179" s="373">
        <f t="shared" si="70"/>
        <v>59.884433138286369</v>
      </c>
      <c r="U179" s="346">
        <f t="shared" si="76"/>
        <v>1000000000</v>
      </c>
      <c r="V179" s="346">
        <f t="shared" si="77"/>
        <v>101168393.0625</v>
      </c>
      <c r="X179" s="372">
        <f t="shared" si="71"/>
        <v>24.638574897696273</v>
      </c>
      <c r="Y179" s="373">
        <f t="shared" si="72"/>
        <v>-27.370647146627576</v>
      </c>
      <c r="AA179" s="372">
        <f t="shared" si="73"/>
        <v>31.055014682463661</v>
      </c>
      <c r="AB179" s="373">
        <f t="shared" si="74"/>
        <v>-92.744919715086041</v>
      </c>
      <c r="AD179">
        <f t="shared" si="78"/>
        <v>0</v>
      </c>
      <c r="AE179">
        <f t="shared" si="81"/>
        <v>0</v>
      </c>
    </row>
    <row r="180" spans="1:31" x14ac:dyDescent="0.2">
      <c r="A180" s="374">
        <v>10116.5</v>
      </c>
      <c r="B180" s="391">
        <f t="shared" si="75"/>
        <v>10.1165</v>
      </c>
      <c r="C180" s="364">
        <f t="shared" si="54"/>
        <v>12.982718008441939</v>
      </c>
      <c r="D180" s="365">
        <f t="shared" si="55"/>
        <v>1.4936944850026412</v>
      </c>
      <c r="E180" s="365">
        <f t="shared" si="56"/>
        <v>1.0072969700965828</v>
      </c>
      <c r="F180" s="366">
        <f t="shared" si="57"/>
        <v>0.12043980376615407</v>
      </c>
      <c r="G180" s="365">
        <f t="shared" si="58"/>
        <v>1</v>
      </c>
      <c r="H180" s="366">
        <f t="shared" si="59"/>
        <v>0</v>
      </c>
      <c r="I180" s="364">
        <f t="shared" si="60"/>
        <v>3434.5243570892067</v>
      </c>
      <c r="J180" s="367">
        <f t="shared" si="61"/>
        <v>1.570505165658693</v>
      </c>
      <c r="K180" s="375">
        <f t="shared" si="82"/>
        <v>2.3048634282235883</v>
      </c>
      <c r="L180" s="376">
        <f t="shared" si="83"/>
        <v>1.1220179685824769</v>
      </c>
      <c r="M180" s="364">
        <f t="shared" si="64"/>
        <v>1.0003677814672489</v>
      </c>
      <c r="N180" s="367">
        <f t="shared" si="65"/>
        <v>2.7117108373631755E-2</v>
      </c>
      <c r="O180" s="368">
        <f t="shared" si="66"/>
        <v>1.0227806842057419</v>
      </c>
      <c r="P180" s="369">
        <f t="shared" si="67"/>
        <v>0.24659312263249417</v>
      </c>
      <c r="Q180" s="370">
        <f t="shared" si="68"/>
        <v>4.1521032759836327</v>
      </c>
      <c r="R180" s="371">
        <f t="shared" si="69"/>
        <v>-120.06056217294412</v>
      </c>
      <c r="S180" s="373">
        <f t="shared" si="70"/>
        <v>59.939437827055883</v>
      </c>
      <c r="U180" s="346">
        <f t="shared" si="76"/>
        <v>1000000000</v>
      </c>
      <c r="V180" s="346">
        <f t="shared" si="77"/>
        <v>102343572.25</v>
      </c>
      <c r="X180" s="372">
        <f t="shared" si="71"/>
        <v>24.629052335394892</v>
      </c>
      <c r="Y180" s="373">
        <f t="shared" si="72"/>
        <v>-27.250119451664936</v>
      </c>
      <c r="AA180" s="372">
        <f t="shared" si="73"/>
        <v>31.003676295143116</v>
      </c>
      <c r="AB180" s="373">
        <f t="shared" si="74"/>
        <v>-92.810442721279159</v>
      </c>
      <c r="AD180">
        <f t="shared" si="78"/>
        <v>0</v>
      </c>
      <c r="AE180">
        <f t="shared" si="81"/>
        <v>0</v>
      </c>
    </row>
    <row r="181" spans="1:31" x14ac:dyDescent="0.2">
      <c r="A181" s="374">
        <v>10174.75</v>
      </c>
      <c r="B181" s="391">
        <f t="shared" si="75"/>
        <v>10.17475</v>
      </c>
      <c r="C181" s="364">
        <f t="shared" si="54"/>
        <v>13.057029218601789</v>
      </c>
      <c r="D181" s="365">
        <f t="shared" si="55"/>
        <v>1.4941341573245717</v>
      </c>
      <c r="E181" s="365">
        <f t="shared" si="56"/>
        <v>1.0073809340215423</v>
      </c>
      <c r="F181" s="366">
        <f t="shared" si="57"/>
        <v>0.12112654246472349</v>
      </c>
      <c r="G181" s="365">
        <f t="shared" si="58"/>
        <v>1</v>
      </c>
      <c r="H181" s="366">
        <f t="shared" si="59"/>
        <v>0</v>
      </c>
      <c r="I181" s="364">
        <f t="shared" si="60"/>
        <v>3454.3000726913278</v>
      </c>
      <c r="J181" s="367">
        <f t="shared" si="61"/>
        <v>1.570506832543406</v>
      </c>
      <c r="K181" s="375">
        <f t="shared" si="82"/>
        <v>2.3156422979541329</v>
      </c>
      <c r="L181" s="376">
        <f t="shared" si="83"/>
        <v>1.1242582811983852</v>
      </c>
      <c r="M181" s="364">
        <f t="shared" si="64"/>
        <v>1.0003720281834418</v>
      </c>
      <c r="N181" s="367">
        <f t="shared" si="65"/>
        <v>2.7273169327053936E-2</v>
      </c>
      <c r="O181" s="368">
        <f t="shared" si="66"/>
        <v>1.0230411951936891</v>
      </c>
      <c r="P181" s="369">
        <f t="shared" si="67"/>
        <v>0.24797825854835626</v>
      </c>
      <c r="Q181" s="370">
        <f t="shared" si="68"/>
        <v>4.0916595828003448</v>
      </c>
      <c r="R181" s="371">
        <f t="shared" si="69"/>
        <v>-120.00644543602756</v>
      </c>
      <c r="S181" s="373">
        <f t="shared" si="70"/>
        <v>59.993554563972438</v>
      </c>
      <c r="U181" s="346">
        <f t="shared" si="76"/>
        <v>1000000000</v>
      </c>
      <c r="V181" s="346">
        <f t="shared" si="77"/>
        <v>103525537.5625</v>
      </c>
      <c r="X181" s="372">
        <f t="shared" si="71"/>
        <v>24.619671780303392</v>
      </c>
      <c r="Y181" s="373">
        <f t="shared" si="72"/>
        <v>-27.130796133284004</v>
      </c>
      <c r="AA181" s="372">
        <f t="shared" si="73"/>
        <v>30.952613157051331</v>
      </c>
      <c r="AB181" s="373">
        <f t="shared" si="74"/>
        <v>-92.875649302743554</v>
      </c>
      <c r="AD181">
        <f t="shared" si="78"/>
        <v>0</v>
      </c>
      <c r="AE181">
        <f t="shared" si="81"/>
        <v>0</v>
      </c>
    </row>
    <row r="182" spans="1:31" x14ac:dyDescent="0.2">
      <c r="A182" s="374">
        <v>10233</v>
      </c>
      <c r="B182" s="391">
        <f t="shared" si="75"/>
        <v>10.233000000000001</v>
      </c>
      <c r="C182" s="364">
        <f t="shared" si="54"/>
        <v>13.131342924270671</v>
      </c>
      <c r="D182" s="365">
        <f t="shared" si="55"/>
        <v>1.4945688532883068</v>
      </c>
      <c r="E182" s="365">
        <f t="shared" si="56"/>
        <v>1.0074653729581442</v>
      </c>
      <c r="F182" s="366">
        <f t="shared" si="57"/>
        <v>0.12181316637147648</v>
      </c>
      <c r="G182" s="365">
        <f t="shared" si="58"/>
        <v>1</v>
      </c>
      <c r="H182" s="366">
        <f t="shared" si="59"/>
        <v>0</v>
      </c>
      <c r="I182" s="364">
        <f t="shared" si="60"/>
        <v>3474.0757883029373</v>
      </c>
      <c r="J182" s="367">
        <f t="shared" si="61"/>
        <v>1.5705084804510787</v>
      </c>
      <c r="K182" s="375">
        <f t="shared" si="82"/>
        <v>2.3264326821644898</v>
      </c>
      <c r="L182" s="376">
        <f t="shared" si="83"/>
        <v>1.1264778229784074</v>
      </c>
      <c r="M182" s="364">
        <f t="shared" si="64"/>
        <v>1.0003762992635095</v>
      </c>
      <c r="N182" s="367">
        <f t="shared" si="65"/>
        <v>2.7429228951680731E-2</v>
      </c>
      <c r="O182" s="368">
        <f t="shared" si="66"/>
        <v>1.0233031437354621</v>
      </c>
      <c r="P182" s="369">
        <f t="shared" si="67"/>
        <v>0.24936281702458959</v>
      </c>
      <c r="Q182" s="370">
        <f t="shared" si="68"/>
        <v>4.0316272446297345</v>
      </c>
      <c r="R182" s="371">
        <f t="shared" si="69"/>
        <v>-119.95320598481756</v>
      </c>
      <c r="S182" s="373">
        <f t="shared" si="70"/>
        <v>60.046794015182442</v>
      </c>
      <c r="U182" s="346">
        <f t="shared" si="76"/>
        <v>1000000000</v>
      </c>
      <c r="V182" s="346">
        <f t="shared" si="77"/>
        <v>104714289</v>
      </c>
      <c r="X182" s="372">
        <f t="shared" si="71"/>
        <v>24.610430488466019</v>
      </c>
      <c r="Y182" s="373">
        <f t="shared" si="72"/>
        <v>-27.01266173269897</v>
      </c>
      <c r="AA182" s="372">
        <f t="shared" si="73"/>
        <v>30.90182211071809</v>
      </c>
      <c r="AB182" s="373">
        <f t="shared" si="74"/>
        <v>-92.940544252118599</v>
      </c>
      <c r="AD182">
        <f t="shared" si="78"/>
        <v>0</v>
      </c>
      <c r="AE182">
        <f t="shared" si="81"/>
        <v>0</v>
      </c>
    </row>
    <row r="183" spans="1:31" x14ac:dyDescent="0.2">
      <c r="A183" s="374">
        <v>10292.5</v>
      </c>
      <c r="B183" s="391">
        <f t="shared" si="75"/>
        <v>10.2925</v>
      </c>
      <c r="C183" s="364">
        <f t="shared" si="54"/>
        <v>13.207253877263193</v>
      </c>
      <c r="D183" s="365">
        <f t="shared" si="55"/>
        <v>1.4950078269806237</v>
      </c>
      <c r="E183" s="365">
        <f t="shared" si="56"/>
        <v>1.0075521141759971</v>
      </c>
      <c r="F183" s="366">
        <f t="shared" si="57"/>
        <v>0.1225144055404738</v>
      </c>
      <c r="G183" s="365">
        <f t="shared" si="58"/>
        <v>1</v>
      </c>
      <c r="H183" s="366">
        <f t="shared" si="59"/>
        <v>0</v>
      </c>
      <c r="I183" s="364">
        <f t="shared" si="60"/>
        <v>3494.2758755038244</v>
      </c>
      <c r="J183" s="367">
        <f t="shared" si="61"/>
        <v>1.5705101444643428</v>
      </c>
      <c r="K183" s="375">
        <f t="shared" si="82"/>
        <v>2.3374663416427111</v>
      </c>
      <c r="L183" s="376">
        <f t="shared" si="83"/>
        <v>1.1287238267280282</v>
      </c>
      <c r="M183" s="364">
        <f t="shared" si="64"/>
        <v>1.000380687151061</v>
      </c>
      <c r="N183" s="367">
        <f t="shared" si="65"/>
        <v>2.7588636115530835E-2</v>
      </c>
      <c r="O183" s="368">
        <f t="shared" si="66"/>
        <v>1.0235721966571931</v>
      </c>
      <c r="P183" s="369">
        <f t="shared" si="67"/>
        <v>0.25077648805237562</v>
      </c>
      <c r="Q183" s="370">
        <f t="shared" si="68"/>
        <v>3.9707253353049015</v>
      </c>
      <c r="R183" s="371">
        <f t="shared" si="69"/>
        <v>-119.89971882636874</v>
      </c>
      <c r="S183" s="373">
        <f t="shared" si="70"/>
        <v>60.100281173631259</v>
      </c>
      <c r="U183" s="346">
        <f t="shared" si="76"/>
        <v>1000000000</v>
      </c>
      <c r="V183" s="346">
        <f t="shared" si="77"/>
        <v>105935556.25</v>
      </c>
      <c r="X183" s="372">
        <f t="shared" si="71"/>
        <v>24.60113187731244</v>
      </c>
      <c r="Y183" s="373">
        <f t="shared" si="72"/>
        <v>-26.893203895588492</v>
      </c>
      <c r="AA183" s="372">
        <f t="shared" si="73"/>
        <v>30.850218812546835</v>
      </c>
      <c r="AB183" s="373">
        <f t="shared" si="74"/>
        <v>-93.006514930780256</v>
      </c>
      <c r="AD183">
        <f t="shared" si="78"/>
        <v>0</v>
      </c>
      <c r="AE183">
        <f t="shared" si="81"/>
        <v>0</v>
      </c>
    </row>
    <row r="184" spans="1:31" x14ac:dyDescent="0.2">
      <c r="A184" s="374">
        <v>10352</v>
      </c>
      <c r="B184" s="391">
        <f t="shared" si="75"/>
        <v>10.352</v>
      </c>
      <c r="C184" s="364">
        <f t="shared" si="54"/>
        <v>13.283167346176988</v>
      </c>
      <c r="D184" s="365">
        <f t="shared" si="55"/>
        <v>1.4954417832753923</v>
      </c>
      <c r="E184" s="365">
        <f t="shared" si="56"/>
        <v>1.0076393507584294</v>
      </c>
      <c r="F184" s="366">
        <f t="shared" si="57"/>
        <v>0.12321552363433845</v>
      </c>
      <c r="G184" s="365">
        <f t="shared" si="58"/>
        <v>1</v>
      </c>
      <c r="H184" s="366">
        <f t="shared" si="59"/>
        <v>0</v>
      </c>
      <c r="I184" s="364">
        <f t="shared" si="60"/>
        <v>3514.4759627142748</v>
      </c>
      <c r="J184" s="367">
        <f t="shared" si="61"/>
        <v>1.5705117893491713</v>
      </c>
      <c r="K184" s="375">
        <f t="shared" si="82"/>
        <v>2.3485116817163867</v>
      </c>
      <c r="L184" s="376">
        <f t="shared" si="83"/>
        <v>1.1309487151481483</v>
      </c>
      <c r="M184" s="364">
        <f t="shared" si="64"/>
        <v>1.0003851004587063</v>
      </c>
      <c r="N184" s="367">
        <f t="shared" si="65"/>
        <v>2.7748041876947443E-2</v>
      </c>
      <c r="O184" s="368">
        <f t="shared" si="66"/>
        <v>1.023842747476865</v>
      </c>
      <c r="P184" s="369">
        <f t="shared" si="67"/>
        <v>0.25218955083247563</v>
      </c>
      <c r="Q184" s="370">
        <f t="shared" si="68"/>
        <v>3.910240547367156</v>
      </c>
      <c r="R184" s="371">
        <f t="shared" si="69"/>
        <v>-119.84712492221738</v>
      </c>
      <c r="S184" s="373">
        <f t="shared" si="70"/>
        <v>60.152875077782625</v>
      </c>
      <c r="U184" s="346">
        <f t="shared" si="76"/>
        <v>1000000000</v>
      </c>
      <c r="V184" s="346">
        <f t="shared" si="77"/>
        <v>107163904</v>
      </c>
      <c r="X184" s="372">
        <f t="shared" si="71"/>
        <v>24.591972985091225</v>
      </c>
      <c r="Y184" s="373">
        <f t="shared" si="72"/>
        <v>-26.774954701410653</v>
      </c>
      <c r="AA184" s="372">
        <f t="shared" si="73"/>
        <v>30.798892916830308</v>
      </c>
      <c r="AB184" s="373">
        <f t="shared" si="74"/>
        <v>-93.072170220806726</v>
      </c>
      <c r="AD184">
        <f t="shared" si="78"/>
        <v>0</v>
      </c>
      <c r="AE184">
        <f t="shared" si="81"/>
        <v>0</v>
      </c>
    </row>
    <row r="185" spans="1:31" x14ac:dyDescent="0.2">
      <c r="A185" s="374">
        <v>10411.5</v>
      </c>
      <c r="B185" s="391">
        <f t="shared" si="75"/>
        <v>10.4115</v>
      </c>
      <c r="C185" s="364">
        <f t="shared" si="54"/>
        <v>13.359083288121615</v>
      </c>
      <c r="D185" s="365">
        <f t="shared" si="55"/>
        <v>1.4958708075451697</v>
      </c>
      <c r="E185" s="365">
        <f t="shared" si="56"/>
        <v>1.0077270825767928</v>
      </c>
      <c r="F185" s="366">
        <f t="shared" si="57"/>
        <v>0.12391651999531146</v>
      </c>
      <c r="G185" s="365">
        <f t="shared" si="58"/>
        <v>1</v>
      </c>
      <c r="H185" s="366">
        <f t="shared" si="59"/>
        <v>0</v>
      </c>
      <c r="I185" s="364">
        <f t="shared" si="60"/>
        <v>3534.6760499341258</v>
      </c>
      <c r="J185" s="367">
        <f t="shared" si="61"/>
        <v>1.5705134154335121</v>
      </c>
      <c r="K185" s="375">
        <f t="shared" si="82"/>
        <v>2.3595685383519545</v>
      </c>
      <c r="L185" s="376">
        <f t="shared" si="83"/>
        <v>1.1331527628930678</v>
      </c>
      <c r="M185" s="364">
        <f t="shared" si="64"/>
        <v>1.0003895391861093</v>
      </c>
      <c r="N185" s="367">
        <f t="shared" si="65"/>
        <v>2.79074462278481E-2</v>
      </c>
      <c r="O185" s="368">
        <f t="shared" si="66"/>
        <v>1.0241147951692471</v>
      </c>
      <c r="P185" s="369">
        <f t="shared" si="67"/>
        <v>0.25360200246912334</v>
      </c>
      <c r="Q185" s="370">
        <f t="shared" si="68"/>
        <v>3.8501669590708376</v>
      </c>
      <c r="R185" s="371">
        <f t="shared" si="69"/>
        <v>-119.79541331741697</v>
      </c>
      <c r="S185" s="373">
        <f t="shared" si="70"/>
        <v>60.204586682583027</v>
      </c>
      <c r="U185" s="346">
        <f t="shared" si="76"/>
        <v>1000000000</v>
      </c>
      <c r="V185" s="346">
        <f t="shared" si="77"/>
        <v>108399332.25</v>
      </c>
      <c r="X185" s="372">
        <f t="shared" si="71"/>
        <v>24.582951088291843</v>
      </c>
      <c r="Y185" s="373">
        <f t="shared" si="72"/>
        <v>-26.657898431960181</v>
      </c>
      <c r="AA185" s="372">
        <f t="shared" si="73"/>
        <v>30.747841225333371</v>
      </c>
      <c r="AB185" s="373">
        <f t="shared" si="74"/>
        <v>-93.137514885456781</v>
      </c>
      <c r="AD185">
        <f t="shared" si="78"/>
        <v>0</v>
      </c>
      <c r="AE185">
        <f t="shared" si="81"/>
        <v>0</v>
      </c>
    </row>
    <row r="186" spans="1:31" x14ac:dyDescent="0.2">
      <c r="A186" s="374">
        <v>10471</v>
      </c>
      <c r="B186" s="391">
        <f t="shared" si="75"/>
        <v>10.471</v>
      </c>
      <c r="C186" s="364">
        <f t="shared" si="54"/>
        <v>13.435001661174685</v>
      </c>
      <c r="D186" s="365">
        <f t="shared" si="55"/>
        <v>1.49629498324018</v>
      </c>
      <c r="E186" s="365">
        <f t="shared" si="56"/>
        <v>1.0078153095017544</v>
      </c>
      <c r="F186" s="366">
        <f t="shared" si="57"/>
        <v>0.12461739396634081</v>
      </c>
      <c r="G186" s="365">
        <f t="shared" si="58"/>
        <v>1</v>
      </c>
      <c r="H186" s="366">
        <f t="shared" si="59"/>
        <v>0</v>
      </c>
      <c r="I186" s="364">
        <f t="shared" si="60"/>
        <v>3554.8761371632168</v>
      </c>
      <c r="J186" s="367">
        <f t="shared" si="61"/>
        <v>1.5705150230378586</v>
      </c>
      <c r="K186" s="375">
        <f t="shared" si="82"/>
        <v>2.3706367504066717</v>
      </c>
      <c r="L186" s="376">
        <f t="shared" si="83"/>
        <v>1.135336240305731</v>
      </c>
      <c r="M186" s="364">
        <f t="shared" si="64"/>
        <v>1.0003940033329315</v>
      </c>
      <c r="N186" s="367">
        <f t="shared" si="65"/>
        <v>2.8066849160150793E-2</v>
      </c>
      <c r="O186" s="368">
        <f t="shared" si="66"/>
        <v>1.0243883387045667</v>
      </c>
      <c r="P186" s="369">
        <f t="shared" si="67"/>
        <v>0.25501384007631905</v>
      </c>
      <c r="Q186" s="370">
        <f t="shared" si="68"/>
        <v>3.7904987664711061</v>
      </c>
      <c r="R186" s="371">
        <f t="shared" si="69"/>
        <v>-119.744573193994</v>
      </c>
      <c r="S186" s="373">
        <f t="shared" si="70"/>
        <v>60.255426806006</v>
      </c>
      <c r="U186" s="346">
        <f t="shared" si="76"/>
        <v>1000000000</v>
      </c>
      <c r="V186" s="346">
        <f t="shared" si="77"/>
        <v>109641841</v>
      </c>
      <c r="X186" s="372">
        <f t="shared" si="71"/>
        <v>24.574063527437101</v>
      </c>
      <c r="Y186" s="373">
        <f t="shared" si="72"/>
        <v>-26.542019615627158</v>
      </c>
      <c r="AA186" s="372">
        <f t="shared" si="73"/>
        <v>30.697060593588382</v>
      </c>
      <c r="AB186" s="373">
        <f t="shared" si="74"/>
        <v>-93.202553578366832</v>
      </c>
      <c r="AD186">
        <f t="shared" si="78"/>
        <v>0</v>
      </c>
      <c r="AE186">
        <f t="shared" si="81"/>
        <v>0</v>
      </c>
    </row>
    <row r="187" spans="1:31" x14ac:dyDescent="0.2">
      <c r="A187" s="374">
        <v>10532</v>
      </c>
      <c r="B187" s="391">
        <f t="shared" si="75"/>
        <v>10.532</v>
      </c>
      <c r="C187" s="364">
        <f t="shared" si="54"/>
        <v>13.512836423710121</v>
      </c>
      <c r="D187" s="365">
        <f t="shared" si="55"/>
        <v>1.4967249043673101</v>
      </c>
      <c r="E187" s="365">
        <f t="shared" si="56"/>
        <v>1.0079062744852432</v>
      </c>
      <c r="F187" s="366">
        <f t="shared" si="57"/>
        <v>0.12533580928495866</v>
      </c>
      <c r="G187" s="365">
        <f t="shared" si="58"/>
        <v>1</v>
      </c>
      <c r="H187" s="366">
        <f t="shared" si="59"/>
        <v>0</v>
      </c>
      <c r="I187" s="364">
        <f t="shared" si="60"/>
        <v>3575.5854702982679</v>
      </c>
      <c r="J187" s="367">
        <f t="shared" si="61"/>
        <v>1.5705166523132368</v>
      </c>
      <c r="K187" s="375">
        <f t="shared" si="82"/>
        <v>2.3819956157407454</v>
      </c>
      <c r="L187" s="376">
        <f t="shared" si="83"/>
        <v>1.1375536871748673</v>
      </c>
      <c r="M187" s="364">
        <f t="shared" si="64"/>
        <v>1.0003986064096493</v>
      </c>
      <c r="N187" s="367">
        <f t="shared" si="65"/>
        <v>2.8230269172618557E-2</v>
      </c>
      <c r="O187" s="368">
        <f t="shared" si="66"/>
        <v>1.0246703300963778</v>
      </c>
      <c r="P187" s="369">
        <f t="shared" si="67"/>
        <v>0.25646062977315076</v>
      </c>
      <c r="Q187" s="370">
        <f t="shared" si="68"/>
        <v>3.7297412334298512</v>
      </c>
      <c r="R187" s="371">
        <f t="shared" si="69"/>
        <v>-119.69334491852985</v>
      </c>
      <c r="S187" s="373">
        <f t="shared" si="70"/>
        <v>60.306655081470154</v>
      </c>
      <c r="U187" s="346">
        <f t="shared" si="76"/>
        <v>1000000000</v>
      </c>
      <c r="V187" s="346">
        <f t="shared" si="77"/>
        <v>110923024</v>
      </c>
      <c r="X187" s="372">
        <f t="shared" si="71"/>
        <v>24.565088650505725</v>
      </c>
      <c r="Y187" s="373">
        <f t="shared" si="72"/>
        <v>-26.424425896201996</v>
      </c>
      <c r="AA187" s="372">
        <f t="shared" si="73"/>
        <v>30.645277937478504</v>
      </c>
      <c r="AB187" s="373">
        <f t="shared" si="74"/>
        <v>-93.268919022327864</v>
      </c>
      <c r="AD187">
        <f t="shared" si="78"/>
        <v>0</v>
      </c>
      <c r="AE187">
        <f t="shared" si="81"/>
        <v>0</v>
      </c>
    </row>
    <row r="188" spans="1:31" x14ac:dyDescent="0.2">
      <c r="A188" s="374">
        <v>10593</v>
      </c>
      <c r="B188" s="391">
        <f t="shared" si="75"/>
        <v>10.593</v>
      </c>
      <c r="C188" s="364">
        <f t="shared" si="54"/>
        <v>13.590673655244293</v>
      </c>
      <c r="D188" s="365">
        <f t="shared" si="55"/>
        <v>1.4971499010377944</v>
      </c>
      <c r="E188" s="365">
        <f t="shared" si="56"/>
        <v>1.0079977595758467</v>
      </c>
      <c r="F188" s="366">
        <f t="shared" si="57"/>
        <v>0.12605409456861422</v>
      </c>
      <c r="G188" s="365">
        <f t="shared" si="58"/>
        <v>1</v>
      </c>
      <c r="H188" s="366">
        <f t="shared" si="59"/>
        <v>0</v>
      </c>
      <c r="I188" s="364">
        <f t="shared" si="60"/>
        <v>3596.2948034427013</v>
      </c>
      <c r="J188" s="367">
        <f t="shared" si="61"/>
        <v>1.5705182628241874</v>
      </c>
      <c r="K188" s="375">
        <f t="shared" si="82"/>
        <v>2.393366082308066</v>
      </c>
      <c r="L188" s="376">
        <f t="shared" si="83"/>
        <v>1.1397500753486076</v>
      </c>
      <c r="M188" s="364">
        <f t="shared" si="64"/>
        <v>1.0004032362028665</v>
      </c>
      <c r="N188" s="367">
        <f t="shared" si="65"/>
        <v>2.8393687676858761E-2</v>
      </c>
      <c r="O188" s="368">
        <f t="shared" si="66"/>
        <v>1.0249538914959202</v>
      </c>
      <c r="P188" s="369">
        <f t="shared" si="67"/>
        <v>0.25790676797927364</v>
      </c>
      <c r="Q188" s="370">
        <f t="shared" si="68"/>
        <v>3.6693978067415332</v>
      </c>
      <c r="R188" s="371">
        <f t="shared" si="69"/>
        <v>-119.64301002810173</v>
      </c>
      <c r="S188" s="373">
        <f t="shared" si="70"/>
        <v>60.356989971898273</v>
      </c>
      <c r="U188" s="346">
        <f t="shared" si="76"/>
        <v>1000000000</v>
      </c>
      <c r="V188" s="346">
        <f t="shared" si="77"/>
        <v>112211649</v>
      </c>
      <c r="X188" s="372">
        <f t="shared" si="71"/>
        <v>24.556249506098865</v>
      </c>
      <c r="Y188" s="373">
        <f t="shared" si="72"/>
        <v>-26.308037589608858</v>
      </c>
      <c r="AA188" s="372">
        <f t="shared" si="73"/>
        <v>30.593773655197044</v>
      </c>
      <c r="AB188" s="373">
        <f t="shared" si="74"/>
        <v>-93.334972438492841</v>
      </c>
      <c r="AD188">
        <f t="shared" si="78"/>
        <v>0</v>
      </c>
      <c r="AE188">
        <f t="shared" si="81"/>
        <v>0</v>
      </c>
    </row>
    <row r="189" spans="1:31" x14ac:dyDescent="0.2">
      <c r="A189" s="374">
        <v>10654</v>
      </c>
      <c r="B189" s="391">
        <f t="shared" si="75"/>
        <v>10.654</v>
      </c>
      <c r="C189" s="364">
        <f t="shared" si="54"/>
        <v>13.668513313597048</v>
      </c>
      <c r="D189" s="365">
        <f t="shared" si="55"/>
        <v>1.497570057228391</v>
      </c>
      <c r="E189" s="365">
        <f t="shared" si="56"/>
        <v>1.0080897646319649</v>
      </c>
      <c r="F189" s="366">
        <f t="shared" si="57"/>
        <v>0.12677224911163601</v>
      </c>
      <c r="G189" s="365">
        <f t="shared" si="58"/>
        <v>1</v>
      </c>
      <c r="H189" s="366">
        <f t="shared" si="59"/>
        <v>0</v>
      </c>
      <c r="I189" s="364">
        <f t="shared" si="60"/>
        <v>3617.0041365963557</v>
      </c>
      <c r="J189" s="367">
        <f t="shared" si="61"/>
        <v>1.5705198548930202</v>
      </c>
      <c r="K189" s="375">
        <f t="shared" si="82"/>
        <v>2.4047479855449065</v>
      </c>
      <c r="L189" s="376">
        <f t="shared" si="83"/>
        <v>1.1419256825026798</v>
      </c>
      <c r="M189" s="364">
        <f t="shared" si="64"/>
        <v>1.0004078927122124</v>
      </c>
      <c r="N189" s="367">
        <f t="shared" si="65"/>
        <v>2.8557104664164026E-2</v>
      </c>
      <c r="O189" s="368">
        <f t="shared" si="66"/>
        <v>1.0252390217788285</v>
      </c>
      <c r="P189" s="369">
        <f t="shared" si="67"/>
        <v>0.25935225161703929</v>
      </c>
      <c r="Q189" s="370">
        <f t="shared" si="68"/>
        <v>3.6094625989613345</v>
      </c>
      <c r="R189" s="371">
        <f t="shared" si="69"/>
        <v>-119.59355730663991</v>
      </c>
      <c r="S189" s="373">
        <f t="shared" si="70"/>
        <v>60.406442693360091</v>
      </c>
      <c r="U189" s="346">
        <f t="shared" si="76"/>
        <v>1000000000</v>
      </c>
      <c r="V189" s="346">
        <f t="shared" si="77"/>
        <v>113507716</v>
      </c>
      <c r="X189" s="372">
        <f t="shared" si="71"/>
        <v>24.547543426781282</v>
      </c>
      <c r="Y189" s="373">
        <f t="shared" si="72"/>
        <v>-26.19283880416857</v>
      </c>
      <c r="AA189" s="372">
        <f t="shared" si="73"/>
        <v>30.542544526734435</v>
      </c>
      <c r="AB189" s="373">
        <f t="shared" si="74"/>
        <v>-93.400718502471321</v>
      </c>
      <c r="AD189">
        <f t="shared" si="78"/>
        <v>0</v>
      </c>
      <c r="AE189">
        <f t="shared" si="81"/>
        <v>0</v>
      </c>
    </row>
    <row r="190" spans="1:31" x14ac:dyDescent="0.2">
      <c r="A190" s="374">
        <v>10715</v>
      </c>
      <c r="B190" s="391">
        <f t="shared" si="75"/>
        <v>10.715</v>
      </c>
      <c r="C190" s="364">
        <f t="shared" si="54"/>
        <v>13.74635535754231</v>
      </c>
      <c r="D190" s="365">
        <f t="shared" si="55"/>
        <v>1.4979854550206293</v>
      </c>
      <c r="E190" s="365">
        <f t="shared" si="56"/>
        <v>1.0081822895112438</v>
      </c>
      <c r="F190" s="366">
        <f t="shared" si="57"/>
        <v>0.1274902722091488</v>
      </c>
      <c r="G190" s="365">
        <f t="shared" si="58"/>
        <v>1</v>
      </c>
      <c r="H190" s="366">
        <f t="shared" si="59"/>
        <v>0</v>
      </c>
      <c r="I190" s="364">
        <f t="shared" si="60"/>
        <v>3637.7134697590736</v>
      </c>
      <c r="J190" s="367">
        <f t="shared" si="61"/>
        <v>1.570521428834706</v>
      </c>
      <c r="K190" s="375">
        <f t="shared" si="82"/>
        <v>2.416141163824459</v>
      </c>
      <c r="L190" s="376">
        <f t="shared" si="83"/>
        <v>1.144080781870163</v>
      </c>
      <c r="M190" s="364">
        <f t="shared" si="64"/>
        <v>1.0004125759373137</v>
      </c>
      <c r="N190" s="367">
        <f t="shared" si="65"/>
        <v>2.8720520125827452E-2</v>
      </c>
      <c r="O190" s="368">
        <f t="shared" si="66"/>
        <v>1.0255257198158139</v>
      </c>
      <c r="P190" s="369">
        <f t="shared" si="67"/>
        <v>0.26079707761972248</v>
      </c>
      <c r="Q190" s="370">
        <f t="shared" si="68"/>
        <v>3.5499298402462176</v>
      </c>
      <c r="R190" s="371">
        <f t="shared" si="69"/>
        <v>-119.544975684191</v>
      </c>
      <c r="S190" s="373">
        <f t="shared" si="70"/>
        <v>60.455024315808998</v>
      </c>
      <c r="U190" s="346">
        <f t="shared" si="76"/>
        <v>1000000000</v>
      </c>
      <c r="V190" s="346">
        <f t="shared" si="77"/>
        <v>114811225</v>
      </c>
      <c r="X190" s="372">
        <f t="shared" si="71"/>
        <v>24.538967808399825</v>
      </c>
      <c r="Y190" s="373">
        <f t="shared" si="72"/>
        <v>-26.07881390232647</v>
      </c>
      <c r="AA190" s="372">
        <f t="shared" si="73"/>
        <v>30.491587386400774</v>
      </c>
      <c r="AB190" s="373">
        <f t="shared" si="74"/>
        <v>-93.466161781864528</v>
      </c>
      <c r="AD190">
        <f t="shared" si="78"/>
        <v>0</v>
      </c>
      <c r="AE190">
        <f t="shared" si="81"/>
        <v>0</v>
      </c>
    </row>
    <row r="191" spans="1:31" x14ac:dyDescent="0.2">
      <c r="A191" s="374">
        <v>10777.5</v>
      </c>
      <c r="B191" s="391">
        <f t="shared" si="75"/>
        <v>10.7775</v>
      </c>
      <c r="C191" s="364">
        <f t="shared" si="54"/>
        <v>13.826113982281955</v>
      </c>
      <c r="D191" s="365">
        <f t="shared" si="55"/>
        <v>1.4984062160548421</v>
      </c>
      <c r="E191" s="365">
        <f t="shared" si="56"/>
        <v>1.0082776285969517</v>
      </c>
      <c r="F191" s="366">
        <f t="shared" si="57"/>
        <v>0.12822581454244975</v>
      </c>
      <c r="G191" s="365">
        <f t="shared" si="58"/>
        <v>1</v>
      </c>
      <c r="H191" s="366">
        <f t="shared" si="59"/>
        <v>0</v>
      </c>
      <c r="I191" s="364">
        <f t="shared" si="60"/>
        <v>3658.9320488284752</v>
      </c>
      <c r="J191" s="367">
        <f t="shared" si="61"/>
        <v>1.5705230230004823</v>
      </c>
      <c r="K191" s="375">
        <f t="shared" si="82"/>
        <v>2.4278260305737431</v>
      </c>
      <c r="L191" s="376">
        <f t="shared" si="83"/>
        <v>1.1462678861876969</v>
      </c>
      <c r="M191" s="364">
        <f t="shared" si="64"/>
        <v>1.0004174020325454</v>
      </c>
      <c r="N191" s="367">
        <f t="shared" si="65"/>
        <v>2.8887952409001643E-2</v>
      </c>
      <c r="O191" s="368">
        <f t="shared" si="66"/>
        <v>1.0258210926735516</v>
      </c>
      <c r="P191" s="369">
        <f t="shared" si="67"/>
        <v>0.26227674684441171</v>
      </c>
      <c r="Q191" s="370">
        <f t="shared" si="68"/>
        <v>3.4893446635665808</v>
      </c>
      <c r="R191" s="371">
        <f t="shared" si="69"/>
        <v>-119.49609150127924</v>
      </c>
      <c r="S191" s="373">
        <f t="shared" si="70"/>
        <v>60.503908498720762</v>
      </c>
      <c r="U191" s="346">
        <f t="shared" si="76"/>
        <v>1000000000</v>
      </c>
      <c r="V191" s="346">
        <f t="shared" si="77"/>
        <v>116154506.25</v>
      </c>
      <c r="X191" s="372">
        <f t="shared" si="71"/>
        <v>24.530313968222259</v>
      </c>
      <c r="Y191" s="373">
        <f t="shared" si="72"/>
        <v>-25.963186557595758</v>
      </c>
      <c r="AA191" s="372">
        <f t="shared" si="73"/>
        <v>30.439656049898698</v>
      </c>
      <c r="AB191" s="373">
        <f t="shared" si="74"/>
        <v>-93.532904943683477</v>
      </c>
      <c r="AD191">
        <f t="shared" si="78"/>
        <v>0</v>
      </c>
      <c r="AE191">
        <f t="shared" si="81"/>
        <v>0</v>
      </c>
    </row>
    <row r="192" spans="1:31" x14ac:dyDescent="0.2">
      <c r="A192" s="374">
        <v>10840</v>
      </c>
      <c r="B192" s="391">
        <f t="shared" si="75"/>
        <v>10.84</v>
      </c>
      <c r="C192" s="364">
        <f t="shared" si="54"/>
        <v>13.905875026715538</v>
      </c>
      <c r="D192" s="365">
        <f t="shared" si="55"/>
        <v>1.4988221503762633</v>
      </c>
      <c r="E192" s="365">
        <f t="shared" si="56"/>
        <v>1.0083735130802436</v>
      </c>
      <c r="F192" s="366">
        <f t="shared" si="57"/>
        <v>0.12896121739067534</v>
      </c>
      <c r="G192" s="365">
        <f t="shared" si="58"/>
        <v>1</v>
      </c>
      <c r="H192" s="366">
        <f t="shared" si="59"/>
        <v>0</v>
      </c>
      <c r="I192" s="364">
        <f t="shared" si="60"/>
        <v>3680.1506279070682</v>
      </c>
      <c r="J192" s="367">
        <f t="shared" si="61"/>
        <v>1.570524598783352</v>
      </c>
      <c r="K192" s="375">
        <f t="shared" si="82"/>
        <v>2.4395223993638457</v>
      </c>
      <c r="L192" s="376">
        <f t="shared" si="83"/>
        <v>1.1484340284998893</v>
      </c>
      <c r="M192" s="364">
        <f t="shared" si="64"/>
        <v>1.0004222561727767</v>
      </c>
      <c r="N192" s="367">
        <f t="shared" si="65"/>
        <v>2.9055383072075988E-2</v>
      </c>
      <c r="O192" s="368">
        <f t="shared" si="66"/>
        <v>1.0261181089200928</v>
      </c>
      <c r="P192" s="369">
        <f t="shared" si="67"/>
        <v>0.26375571921098073</v>
      </c>
      <c r="Q192" s="370">
        <f t="shared" si="68"/>
        <v>3.4291700746260254</v>
      </c>
      <c r="R192" s="371">
        <f t="shared" si="69"/>
        <v>-119.44809872132191</v>
      </c>
      <c r="S192" s="373">
        <f t="shared" si="70"/>
        <v>60.551901278678088</v>
      </c>
      <c r="U192" s="346">
        <f t="shared" si="76"/>
        <v>1000000000</v>
      </c>
      <c r="V192" s="346">
        <f t="shared" si="77"/>
        <v>117505600</v>
      </c>
      <c r="X192" s="372">
        <f t="shared" si="71"/>
        <v>24.521791745350342</v>
      </c>
      <c r="Y192" s="373">
        <f t="shared" si="72"/>
        <v>-25.848759101214775</v>
      </c>
      <c r="AA192" s="372">
        <f t="shared" si="73"/>
        <v>30.38800368383006</v>
      </c>
      <c r="AB192" s="373">
        <f t="shared" si="74"/>
        <v>-93.599339620107116</v>
      </c>
      <c r="AD192">
        <f t="shared" si="78"/>
        <v>0</v>
      </c>
      <c r="AE192">
        <f t="shared" si="81"/>
        <v>0</v>
      </c>
    </row>
    <row r="193" spans="1:31" x14ac:dyDescent="0.2">
      <c r="A193" s="374">
        <v>10902.5</v>
      </c>
      <c r="B193" s="391">
        <f t="shared" si="75"/>
        <v>10.9025</v>
      </c>
      <c r="C193" s="364">
        <f t="shared" si="54"/>
        <v>13.985638449444027</v>
      </c>
      <c r="D193" s="365">
        <f t="shared" si="55"/>
        <v>1.4992333404234062</v>
      </c>
      <c r="E193" s="365">
        <f t="shared" si="56"/>
        <v>1.0084699428055521</v>
      </c>
      <c r="F193" s="366">
        <f t="shared" si="57"/>
        <v>0.12969647999828862</v>
      </c>
      <c r="G193" s="365">
        <f t="shared" si="58"/>
        <v>1</v>
      </c>
      <c r="H193" s="366">
        <f t="shared" si="59"/>
        <v>0</v>
      </c>
      <c r="I193" s="364">
        <f t="shared" si="60"/>
        <v>3701.3692069946947</v>
      </c>
      <c r="J193" s="367">
        <f t="shared" si="61"/>
        <v>1.5705261564994624</v>
      </c>
      <c r="K193" s="375">
        <f t="shared" si="82"/>
        <v>2.4512301055442411</v>
      </c>
      <c r="L193" s="376">
        <f t="shared" si="83"/>
        <v>1.1505794886920648</v>
      </c>
      <c r="M193" s="364">
        <f t="shared" si="64"/>
        <v>1.0004271383575996</v>
      </c>
      <c r="N193" s="367">
        <f t="shared" si="65"/>
        <v>2.9222812105686967E-2</v>
      </c>
      <c r="O193" s="368">
        <f t="shared" si="66"/>
        <v>1.0264167673248508</v>
      </c>
      <c r="P193" s="369">
        <f t="shared" si="67"/>
        <v>0.2652339914567558</v>
      </c>
      <c r="Q193" s="370">
        <f t="shared" si="68"/>
        <v>3.3694002324964263</v>
      </c>
      <c r="R193" s="371">
        <f t="shared" si="69"/>
        <v>-119.40098590537903</v>
      </c>
      <c r="S193" s="373">
        <f t="shared" si="70"/>
        <v>60.599014094620969</v>
      </c>
      <c r="U193" s="346">
        <f t="shared" si="76"/>
        <v>1000000000</v>
      </c>
      <c r="V193" s="346">
        <f t="shared" si="77"/>
        <v>118864506.25</v>
      </c>
      <c r="X193" s="372">
        <f t="shared" si="71"/>
        <v>24.513398534203326</v>
      </c>
      <c r="Y193" s="373">
        <f t="shared" si="72"/>
        <v>-25.735515514513065</v>
      </c>
      <c r="AA193" s="372">
        <f t="shared" si="73"/>
        <v>30.336627052847479</v>
      </c>
      <c r="AB193" s="373">
        <f t="shared" si="74"/>
        <v>-93.665470390865977</v>
      </c>
      <c r="AD193">
        <f t="shared" si="78"/>
        <v>0</v>
      </c>
      <c r="AE193">
        <f t="shared" si="81"/>
        <v>0</v>
      </c>
    </row>
    <row r="194" spans="1:31" x14ac:dyDescent="0.2">
      <c r="A194" s="374">
        <v>10965</v>
      </c>
      <c r="B194" s="391">
        <f t="shared" si="75"/>
        <v>10.965</v>
      </c>
      <c r="C194" s="364">
        <f t="shared" si="54"/>
        <v>14.065404210006243</v>
      </c>
      <c r="D194" s="365">
        <f t="shared" si="55"/>
        <v>1.4996398667712303</v>
      </c>
      <c r="E194" s="365">
        <f t="shared" si="56"/>
        <v>1.0085669176164838</v>
      </c>
      <c r="F194" s="366">
        <f t="shared" si="57"/>
        <v>0.13043160161064737</v>
      </c>
      <c r="G194" s="365">
        <f t="shared" si="58"/>
        <v>1</v>
      </c>
      <c r="H194" s="366">
        <f t="shared" si="59"/>
        <v>0</v>
      </c>
      <c r="I194" s="364">
        <f t="shared" si="60"/>
        <v>3722.5877860911996</v>
      </c>
      <c r="J194" s="367">
        <f t="shared" si="61"/>
        <v>1.5705276964577524</v>
      </c>
      <c r="K194" s="375">
        <f t="shared" si="82"/>
        <v>2.4629489874370019</v>
      </c>
      <c r="L194" s="376">
        <f t="shared" si="83"/>
        <v>1.152704542092047</v>
      </c>
      <c r="M194" s="364">
        <f t="shared" si="64"/>
        <v>1.0004320485866032</v>
      </c>
      <c r="N194" s="367">
        <f t="shared" si="65"/>
        <v>2.93902395004716E-2</v>
      </c>
      <c r="O194" s="368">
        <f t="shared" si="66"/>
        <v>1.0267170666519208</v>
      </c>
      <c r="P194" s="369">
        <f t="shared" si="67"/>
        <v>0.26671156033124421</v>
      </c>
      <c r="Q194" s="370">
        <f t="shared" si="68"/>
        <v>3.3100294133015824</v>
      </c>
      <c r="R194" s="371">
        <f t="shared" si="69"/>
        <v>-119.35474176909621</v>
      </c>
      <c r="S194" s="373">
        <f t="shared" si="70"/>
        <v>60.645258230903792</v>
      </c>
      <c r="U194" s="346">
        <f t="shared" si="76"/>
        <v>1000000000</v>
      </c>
      <c r="V194" s="346">
        <f t="shared" si="77"/>
        <v>120231225</v>
      </c>
      <c r="X194" s="372">
        <f t="shared" si="71"/>
        <v>24.505131791521613</v>
      </c>
      <c r="Y194" s="373">
        <f t="shared" si="72"/>
        <v>-25.62344003953277</v>
      </c>
      <c r="AA194" s="372">
        <f t="shared" si="73"/>
        <v>30.285522976334342</v>
      </c>
      <c r="AB194" s="373">
        <f t="shared" si="74"/>
        <v>-93.731301729563469</v>
      </c>
      <c r="AD194">
        <f t="shared" si="78"/>
        <v>0</v>
      </c>
      <c r="AE194">
        <f t="shared" si="81"/>
        <v>0</v>
      </c>
    </row>
    <row r="195" spans="1:31" x14ac:dyDescent="0.2">
      <c r="A195" s="374">
        <v>11028.75</v>
      </c>
      <c r="B195" s="391">
        <f t="shared" si="75"/>
        <v>11.02875</v>
      </c>
      <c r="C195" s="364">
        <f t="shared" si="54"/>
        <v>14.146767653204899</v>
      </c>
      <c r="D195" s="365">
        <f t="shared" si="55"/>
        <v>1.5000498007770833</v>
      </c>
      <c r="E195" s="365">
        <f t="shared" si="56"/>
        <v>1.0086663933077948</v>
      </c>
      <c r="F195" s="366">
        <f t="shared" si="57"/>
        <v>0.13118127962026374</v>
      </c>
      <c r="G195" s="365">
        <f t="shared" si="58"/>
        <v>1</v>
      </c>
      <c r="H195" s="366">
        <f t="shared" si="59"/>
        <v>0</v>
      </c>
      <c r="I195" s="364">
        <f t="shared" si="60"/>
        <v>3744.2307367786257</v>
      </c>
      <c r="J195" s="367">
        <f t="shared" si="61"/>
        <v>1.5705292492341936</v>
      </c>
      <c r="K195" s="375">
        <f t="shared" si="82"/>
        <v>2.4749135955478088</v>
      </c>
      <c r="L195" s="376">
        <f t="shared" si="83"/>
        <v>1.1548513543521568</v>
      </c>
      <c r="M195" s="364">
        <f t="shared" si="64"/>
        <v>1.0004370859108738</v>
      </c>
      <c r="N195" s="367">
        <f t="shared" si="65"/>
        <v>2.956101374512355E-2</v>
      </c>
      <c r="O195" s="368">
        <f t="shared" si="66"/>
        <v>1.0270250611564666</v>
      </c>
      <c r="P195" s="369">
        <f t="shared" si="67"/>
        <v>0.2682179526118737</v>
      </c>
      <c r="Q195" s="370">
        <f t="shared" si="68"/>
        <v>3.2498764340192254</v>
      </c>
      <c r="R195" s="371">
        <f t="shared" si="69"/>
        <v>-119.30845612057745</v>
      </c>
      <c r="S195" s="373">
        <f t="shared" si="70"/>
        <v>60.691543879422554</v>
      </c>
      <c r="U195" s="346">
        <f t="shared" si="76"/>
        <v>1000000000</v>
      </c>
      <c r="V195" s="346">
        <f t="shared" si="77"/>
        <v>121633326.5625</v>
      </c>
      <c r="X195" s="372">
        <f t="shared" si="71"/>
        <v>24.496827427407691</v>
      </c>
      <c r="Y195" s="373">
        <f t="shared" si="72"/>
        <v>-25.510310368496967</v>
      </c>
      <c r="AA195" s="372">
        <f t="shared" si="73"/>
        <v>30.23367436116591</v>
      </c>
      <c r="AB195" s="373">
        <f t="shared" si="74"/>
        <v>-93.798145752080472</v>
      </c>
      <c r="AD195">
        <f t="shared" si="78"/>
        <v>0</v>
      </c>
      <c r="AE195">
        <f t="shared" si="81"/>
        <v>0</v>
      </c>
    </row>
    <row r="196" spans="1:31" x14ac:dyDescent="0.2">
      <c r="A196" s="374">
        <v>11092.5</v>
      </c>
      <c r="B196" s="391">
        <f t="shared" si="75"/>
        <v>11.092499999999999</v>
      </c>
      <c r="C196" s="364">
        <f t="shared" si="54"/>
        <v>14.228133446520269</v>
      </c>
      <c r="D196" s="365">
        <f t="shared" si="55"/>
        <v>1.5004550463076896</v>
      </c>
      <c r="E196" s="365">
        <f t="shared" si="56"/>
        <v>1.0087664357748967</v>
      </c>
      <c r="F196" s="366">
        <f t="shared" si="57"/>
        <v>0.13193080935531565</v>
      </c>
      <c r="G196" s="365">
        <f t="shared" si="58"/>
        <v>1</v>
      </c>
      <c r="H196" s="366">
        <f t="shared" si="59"/>
        <v>0</v>
      </c>
      <c r="I196" s="364">
        <f t="shared" si="60"/>
        <v>3765.8736874749757</v>
      </c>
      <c r="J196" s="367">
        <f t="shared" si="61"/>
        <v>1.570530784162631</v>
      </c>
      <c r="K196" s="375">
        <f t="shared" si="82"/>
        <v>2.4868895002630782</v>
      </c>
      <c r="L196" s="376">
        <f t="shared" si="83"/>
        <v>1.1569774998861158</v>
      </c>
      <c r="M196" s="364">
        <f t="shared" si="64"/>
        <v>1.00044215241144</v>
      </c>
      <c r="N196" s="367">
        <f t="shared" si="65"/>
        <v>2.9731786265065015E-2</v>
      </c>
      <c r="O196" s="368">
        <f t="shared" si="66"/>
        <v>1.0273347602624199</v>
      </c>
      <c r="P196" s="369">
        <f t="shared" si="67"/>
        <v>0.26972360631260295</v>
      </c>
      <c r="Q196" s="370">
        <f t="shared" si="68"/>
        <v>3.1901269282674849</v>
      </c>
      <c r="R196" s="371">
        <f t="shared" si="69"/>
        <v>-119.26305101496216</v>
      </c>
      <c r="S196" s="373">
        <f t="shared" si="70"/>
        <v>60.736948985037841</v>
      </c>
      <c r="U196" s="346">
        <f t="shared" si="76"/>
        <v>1000000000</v>
      </c>
      <c r="V196" s="346">
        <f t="shared" si="77"/>
        <v>123043556.25</v>
      </c>
      <c r="X196" s="372">
        <f t="shared" si="71"/>
        <v>24.488649486813951</v>
      </c>
      <c r="Y196" s="373">
        <f t="shared" si="72"/>
        <v>-25.398363692213387</v>
      </c>
      <c r="AA196" s="372">
        <f t="shared" si="73"/>
        <v>30.182102796007918</v>
      </c>
      <c r="AB196" s="373">
        <f t="shared" si="74"/>
        <v>-93.864687322748793</v>
      </c>
      <c r="AD196">
        <f t="shared" si="78"/>
        <v>0</v>
      </c>
      <c r="AE196">
        <f t="shared" si="81"/>
        <v>0</v>
      </c>
    </row>
    <row r="197" spans="1:31" x14ac:dyDescent="0.2">
      <c r="A197" s="374">
        <v>11156.25</v>
      </c>
      <c r="B197" s="391">
        <f t="shared" si="75"/>
        <v>11.15625</v>
      </c>
      <c r="C197" s="364">
        <f t="shared" si="54"/>
        <v>14.309501549863095</v>
      </c>
      <c r="D197" s="365">
        <f t="shared" si="55"/>
        <v>1.5008556832090145</v>
      </c>
      <c r="E197" s="365">
        <f t="shared" si="56"/>
        <v>1.0088670448491792</v>
      </c>
      <c r="F197" s="366">
        <f t="shared" si="57"/>
        <v>0.13268019001787523</v>
      </c>
      <c r="G197" s="365">
        <f t="shared" si="58"/>
        <v>1</v>
      </c>
      <c r="H197" s="366">
        <f t="shared" si="59"/>
        <v>0</v>
      </c>
      <c r="I197" s="364">
        <f t="shared" si="60"/>
        <v>3787.5166381800964</v>
      </c>
      <c r="J197" s="367">
        <f t="shared" si="61"/>
        <v>1.5705323015490302</v>
      </c>
      <c r="K197" s="375">
        <f t="shared" si="82"/>
        <v>2.4988765391653569</v>
      </c>
      <c r="L197" s="376">
        <f t="shared" si="83"/>
        <v>1.1590832567452343</v>
      </c>
      <c r="M197" s="364">
        <f t="shared" si="64"/>
        <v>1.0004472480878581</v>
      </c>
      <c r="N197" s="367">
        <f t="shared" si="65"/>
        <v>2.9902557050361708E-2</v>
      </c>
      <c r="O197" s="368">
        <f t="shared" si="66"/>
        <v>1.0276461626413065</v>
      </c>
      <c r="P197" s="369">
        <f t="shared" si="67"/>
        <v>0.27122851802337661</v>
      </c>
      <c r="Q197" s="370">
        <f t="shared" si="68"/>
        <v>3.1307751794932441</v>
      </c>
      <c r="R197" s="371">
        <f t="shared" si="69"/>
        <v>-119.21851496321813</v>
      </c>
      <c r="S197" s="373">
        <f t="shared" si="70"/>
        <v>60.781485036781874</v>
      </c>
      <c r="U197" s="346">
        <f t="shared" si="76"/>
        <v>1000000000</v>
      </c>
      <c r="V197" s="346">
        <f t="shared" si="77"/>
        <v>124461914.0625</v>
      </c>
      <c r="X197" s="372">
        <f t="shared" si="71"/>
        <v>24.48059546020658</v>
      </c>
      <c r="Y197" s="373">
        <f t="shared" si="72"/>
        <v>-25.287584096476788</v>
      </c>
      <c r="AA197" s="372">
        <f t="shared" si="73"/>
        <v>30.130805073841039</v>
      </c>
      <c r="AB197" s="373">
        <f t="shared" si="74"/>
        <v>-93.930930866741363</v>
      </c>
      <c r="AD197">
        <f t="shared" si="78"/>
        <v>0</v>
      </c>
      <c r="AE197">
        <f t="shared" si="81"/>
        <v>0</v>
      </c>
    </row>
    <row r="198" spans="1:31" x14ac:dyDescent="0.2">
      <c r="A198" s="374">
        <v>11220</v>
      </c>
      <c r="B198" s="391">
        <f t="shared" si="75"/>
        <v>11.22</v>
      </c>
      <c r="C198" s="364">
        <f t="shared" si="54"/>
        <v>14.390871924049668</v>
      </c>
      <c r="D198" s="365">
        <f t="shared" si="55"/>
        <v>1.501251789527124</v>
      </c>
      <c r="E198" s="365">
        <f t="shared" si="56"/>
        <v>1.0089682203611452</v>
      </c>
      <c r="F198" s="366">
        <f t="shared" si="57"/>
        <v>0.13342942081100165</v>
      </c>
      <c r="G198" s="365">
        <f t="shared" si="58"/>
        <v>1</v>
      </c>
      <c r="H198" s="366">
        <f t="shared" si="59"/>
        <v>0</v>
      </c>
      <c r="I198" s="364">
        <f t="shared" si="60"/>
        <v>3809.1595888938391</v>
      </c>
      <c r="J198" s="367">
        <f t="shared" si="61"/>
        <v>1.5705338016924035</v>
      </c>
      <c r="K198" s="375">
        <f t="shared" si="82"/>
        <v>2.5108745527891769</v>
      </c>
      <c r="L198" s="376">
        <f t="shared" si="83"/>
        <v>1.1611688983969228</v>
      </c>
      <c r="M198" s="364">
        <f t="shared" si="64"/>
        <v>1.0004523729396828</v>
      </c>
      <c r="N198" s="367">
        <f t="shared" si="65"/>
        <v>3.007332609107995E-2</v>
      </c>
      <c r="O198" s="368">
        <f t="shared" si="66"/>
        <v>1.0279592669590165</v>
      </c>
      <c r="P198" s="369">
        <f t="shared" si="67"/>
        <v>0.27273268434747489</v>
      </c>
      <c r="Q198" s="370">
        <f t="shared" si="68"/>
        <v>3.0718155855411693</v>
      </c>
      <c r="R198" s="371">
        <f t="shared" si="69"/>
        <v>-119.17483663613373</v>
      </c>
      <c r="S198" s="373">
        <f t="shared" si="70"/>
        <v>60.825163363866267</v>
      </c>
      <c r="U198" s="346">
        <f t="shared" si="76"/>
        <v>1000000000</v>
      </c>
      <c r="V198" s="346">
        <f t="shared" si="77"/>
        <v>125888400</v>
      </c>
      <c r="X198" s="372">
        <f t="shared" si="71"/>
        <v>24.472662898287322</v>
      </c>
      <c r="Y198" s="373">
        <f t="shared" si="72"/>
        <v>-25.17795592932168</v>
      </c>
      <c r="AA198" s="372">
        <f t="shared" si="73"/>
        <v>30.079778041808222</v>
      </c>
      <c r="AB198" s="373">
        <f t="shared" si="74"/>
        <v>-93.996880706812036</v>
      </c>
      <c r="AD198">
        <f t="shared" si="78"/>
        <v>0</v>
      </c>
      <c r="AE198">
        <f t="shared" si="81"/>
        <v>0</v>
      </c>
    </row>
    <row r="199" spans="1:31" x14ac:dyDescent="0.2">
      <c r="A199" s="374">
        <v>11285.5</v>
      </c>
      <c r="B199" s="391">
        <f t="shared" si="75"/>
        <v>11.285500000000001</v>
      </c>
      <c r="C199" s="364">
        <f t="shared" si="54"/>
        <v>14.474478319733199</v>
      </c>
      <c r="D199" s="365">
        <f t="shared" si="55"/>
        <v>1.5016541306900379</v>
      </c>
      <c r="E199" s="365">
        <f t="shared" si="56"/>
        <v>1.0090727630360221</v>
      </c>
      <c r="F199" s="366">
        <f t="shared" si="57"/>
        <v>0.13419906179034249</v>
      </c>
      <c r="G199" s="365">
        <f t="shared" si="58"/>
        <v>1</v>
      </c>
      <c r="H199" s="366">
        <f t="shared" si="59"/>
        <v>0</v>
      </c>
      <c r="I199" s="364">
        <f t="shared" si="60"/>
        <v>3831.396659832079</v>
      </c>
      <c r="J199" s="367">
        <f t="shared" si="61"/>
        <v>1.5705353253637899</v>
      </c>
      <c r="K199" s="375">
        <f t="shared" si="82"/>
        <v>2.5232131898519312</v>
      </c>
      <c r="L199" s="376">
        <f t="shared" si="83"/>
        <v>1.1632911245727575</v>
      </c>
      <c r="M199" s="364">
        <f t="shared" si="64"/>
        <v>1.0004576688609823</v>
      </c>
      <c r="N199" s="367">
        <f t="shared" si="65"/>
        <v>3.02487810818747E-2</v>
      </c>
      <c r="O199" s="368">
        <f t="shared" si="66"/>
        <v>1.0282827375489296</v>
      </c>
      <c r="P199" s="369">
        <f t="shared" si="67"/>
        <v>0.27427736159584382</v>
      </c>
      <c r="Q199" s="370">
        <f t="shared" si="68"/>
        <v>3.0116401727305799</v>
      </c>
      <c r="R199" s="371">
        <f t="shared" si="69"/>
        <v>-119.13084092118699</v>
      </c>
      <c r="S199" s="373">
        <f t="shared" si="70"/>
        <v>60.869159078813013</v>
      </c>
      <c r="U199" s="346">
        <f t="shared" si="76"/>
        <v>1000000000</v>
      </c>
      <c r="V199" s="346">
        <f t="shared" si="77"/>
        <v>127362510.25</v>
      </c>
      <c r="X199" s="372">
        <f t="shared" si="71"/>
        <v>24.464636579246623</v>
      </c>
      <c r="Y199" s="373">
        <f t="shared" si="72"/>
        <v>-25.066501456553663</v>
      </c>
      <c r="AA199" s="372">
        <f t="shared" si="73"/>
        <v>30.027628948038334</v>
      </c>
      <c r="AB199" s="373">
        <f t="shared" si="74"/>
        <v>-94.064339464633335</v>
      </c>
      <c r="AD199">
        <f t="shared" si="78"/>
        <v>0</v>
      </c>
      <c r="AE199">
        <f t="shared" si="81"/>
        <v>0</v>
      </c>
    </row>
    <row r="200" spans="1:31" x14ac:dyDescent="0.2">
      <c r="A200" s="374">
        <v>11351</v>
      </c>
      <c r="B200" s="391">
        <f t="shared" si="75"/>
        <v>11.351000000000001</v>
      </c>
      <c r="C200" s="364">
        <f t="shared" si="54"/>
        <v>14.558087031609379</v>
      </c>
      <c r="D200" s="365">
        <f t="shared" si="55"/>
        <v>1.5020518505366858</v>
      </c>
      <c r="E200" s="365">
        <f t="shared" si="56"/>
        <v>1.0091779033083172</v>
      </c>
      <c r="F200" s="366">
        <f t="shared" si="57"/>
        <v>0.13496854285672827</v>
      </c>
      <c r="G200" s="365">
        <f t="shared" si="58"/>
        <v>1</v>
      </c>
      <c r="H200" s="366">
        <f t="shared" si="59"/>
        <v>0</v>
      </c>
      <c r="I200" s="364">
        <f t="shared" si="60"/>
        <v>3853.6337307791114</v>
      </c>
      <c r="J200" s="367">
        <f t="shared" si="61"/>
        <v>1.5705368314507397</v>
      </c>
      <c r="K200" s="375">
        <f t="shared" si="82"/>
        <v>2.5355630804421825</v>
      </c>
      <c r="L200" s="376">
        <f t="shared" si="83"/>
        <v>1.1653926868110445</v>
      </c>
      <c r="M200" s="364">
        <f t="shared" si="64"/>
        <v>1.000462995580498</v>
      </c>
      <c r="N200" s="367">
        <f t="shared" si="65"/>
        <v>3.0424234209736615E-2</v>
      </c>
      <c r="O200" s="368">
        <f t="shared" si="66"/>
        <v>1.0286080019264152</v>
      </c>
      <c r="P200" s="369">
        <f t="shared" si="67"/>
        <v>0.27582124474612035</v>
      </c>
      <c r="Q200" s="370">
        <f t="shared" si="68"/>
        <v>2.951867108809334</v>
      </c>
      <c r="R200" s="371">
        <f t="shared" si="69"/>
        <v>-119.08772693034906</v>
      </c>
      <c r="S200" s="373">
        <f t="shared" si="70"/>
        <v>60.912273069650936</v>
      </c>
      <c r="U200" s="346">
        <f t="shared" si="76"/>
        <v>1000000000</v>
      </c>
      <c r="V200" s="346">
        <f t="shared" si="77"/>
        <v>128845201</v>
      </c>
      <c r="X200" s="372">
        <f t="shared" si="71"/>
        <v>24.456733431031921</v>
      </c>
      <c r="Y200" s="373">
        <f t="shared" si="72"/>
        <v>-24.956229825944416</v>
      </c>
      <c r="AA200" s="372">
        <f t="shared" si="73"/>
        <v>29.975759032331784</v>
      </c>
      <c r="AB200" s="373">
        <f t="shared" si="74"/>
        <v>-94.131497104404673</v>
      </c>
      <c r="AD200">
        <f t="shared" si="78"/>
        <v>0</v>
      </c>
      <c r="AE200">
        <f t="shared" si="81"/>
        <v>0</v>
      </c>
    </row>
    <row r="201" spans="1:31" x14ac:dyDescent="0.2">
      <c r="A201" s="374">
        <v>11416.5</v>
      </c>
      <c r="B201" s="391">
        <f t="shared" si="75"/>
        <v>11.416499999999999</v>
      </c>
      <c r="C201" s="364">
        <f t="shared" si="54"/>
        <v>14.641698019999639</v>
      </c>
      <c r="D201" s="365">
        <f t="shared" si="55"/>
        <v>1.5024450281098281</v>
      </c>
      <c r="E201" s="365">
        <f t="shared" si="56"/>
        <v>1.00928364099127</v>
      </c>
      <c r="F201" s="366">
        <f t="shared" si="57"/>
        <v>0.13573786314905681</v>
      </c>
      <c r="G201" s="365">
        <f t="shared" si="58"/>
        <v>1</v>
      </c>
      <c r="H201" s="366">
        <f t="shared" si="59"/>
        <v>0</v>
      </c>
      <c r="I201" s="364">
        <f t="shared" si="60"/>
        <v>3875.870801734784</v>
      </c>
      <c r="J201" s="367">
        <f t="shared" si="61"/>
        <v>1.5705383202559153</v>
      </c>
      <c r="K201" s="375">
        <f t="shared" si="82"/>
        <v>2.5479240609210323</v>
      </c>
      <c r="L201" s="376">
        <f t="shared" si="83"/>
        <v>1.1674738671589702</v>
      </c>
      <c r="M201" s="364">
        <f t="shared" si="64"/>
        <v>1.0004683530977383</v>
      </c>
      <c r="N201" s="367">
        <f t="shared" si="65"/>
        <v>3.0599685463893304E-2</v>
      </c>
      <c r="O201" s="368">
        <f t="shared" si="66"/>
        <v>1.0289350586260655</v>
      </c>
      <c r="P201" s="369">
        <f t="shared" si="67"/>
        <v>0.27736433015833495</v>
      </c>
      <c r="Q201" s="370">
        <f t="shared" si="68"/>
        <v>2.8924906760191971</v>
      </c>
      <c r="R201" s="371">
        <f t="shared" si="69"/>
        <v>-119.04548288982976</v>
      </c>
      <c r="S201" s="373">
        <f t="shared" si="70"/>
        <v>60.954517110170244</v>
      </c>
      <c r="U201" s="346">
        <f t="shared" si="76"/>
        <v>1000000000</v>
      </c>
      <c r="V201" s="346">
        <f t="shared" si="77"/>
        <v>130336472.25</v>
      </c>
      <c r="X201" s="372">
        <f t="shared" si="71"/>
        <v>24.44895098475741</v>
      </c>
      <c r="Y201" s="373">
        <f t="shared" si="72"/>
        <v>-24.847124894104557</v>
      </c>
      <c r="AA201" s="372">
        <f t="shared" si="73"/>
        <v>29.92416504581616</v>
      </c>
      <c r="AB201" s="373">
        <f t="shared" si="74"/>
        <v>-94.198357995725203</v>
      </c>
      <c r="AD201">
        <f t="shared" si="78"/>
        <v>0</v>
      </c>
      <c r="AE201">
        <f t="shared" si="81"/>
        <v>0</v>
      </c>
    </row>
    <row r="202" spans="1:31" x14ac:dyDescent="0.2">
      <c r="A202" s="374">
        <v>11482</v>
      </c>
      <c r="B202" s="391">
        <f t="shared" si="75"/>
        <v>11.481999999999999</v>
      </c>
      <c r="C202" s="364">
        <f t="shared" si="54"/>
        <v>14.725311246125527</v>
      </c>
      <c r="D202" s="365">
        <f t="shared" si="55"/>
        <v>1.5028337406626344</v>
      </c>
      <c r="E202" s="365">
        <f t="shared" si="56"/>
        <v>1.009389975897137</v>
      </c>
      <c r="F202" s="366">
        <f t="shared" si="57"/>
        <v>0.13650702180734683</v>
      </c>
      <c r="G202" s="365">
        <f t="shared" si="58"/>
        <v>1</v>
      </c>
      <c r="H202" s="366">
        <f t="shared" si="59"/>
        <v>0</v>
      </c>
      <c r="I202" s="364">
        <f t="shared" si="60"/>
        <v>3898.1078726989504</v>
      </c>
      <c r="J202" s="367">
        <f t="shared" si="61"/>
        <v>1.5705397920750721</v>
      </c>
      <c r="K202" s="375">
        <f t="shared" si="82"/>
        <v>2.5602959706642094</v>
      </c>
      <c r="L202" s="376">
        <f t="shared" si="83"/>
        <v>1.1695349429256638</v>
      </c>
      <c r="M202" s="364">
        <f t="shared" si="64"/>
        <v>1.0004737414122078</v>
      </c>
      <c r="N202" s="367">
        <f t="shared" si="65"/>
        <v>3.0775134833573081E-2</v>
      </c>
      <c r="O202" s="368">
        <f t="shared" si="66"/>
        <v>1.0292639061763311</v>
      </c>
      <c r="P202" s="369">
        <f t="shared" si="67"/>
        <v>0.27890661420754065</v>
      </c>
      <c r="Q202" s="370">
        <f t="shared" si="68"/>
        <v>2.833505271661517</v>
      </c>
      <c r="R202" s="371">
        <f t="shared" si="69"/>
        <v>-119.00409719517442</v>
      </c>
      <c r="S202" s="373">
        <f t="shared" si="70"/>
        <v>60.995902804825576</v>
      </c>
      <c r="U202" s="346">
        <f t="shared" si="76"/>
        <v>1000000000</v>
      </c>
      <c r="V202" s="346">
        <f t="shared" si="77"/>
        <v>131836324</v>
      </c>
      <c r="X202" s="372">
        <f t="shared" si="71"/>
        <v>24.441286831421934</v>
      </c>
      <c r="Y202" s="373">
        <f t="shared" si="72"/>
        <v>-24.739170788719743</v>
      </c>
      <c r="AA202" s="372">
        <f t="shared" si="73"/>
        <v>29.872843794793962</v>
      </c>
      <c r="AB202" s="373">
        <f t="shared" si="74"/>
        <v>-94.26492640645472</v>
      </c>
      <c r="AD202">
        <f t="shared" si="78"/>
        <v>0</v>
      </c>
      <c r="AE202">
        <f t="shared" si="81"/>
        <v>0</v>
      </c>
    </row>
    <row r="203" spans="1:31" x14ac:dyDescent="0.2">
      <c r="A203" s="374">
        <v>11548.75</v>
      </c>
      <c r="B203" s="391">
        <f t="shared" si="75"/>
        <v>11.54875</v>
      </c>
      <c r="C203" s="364">
        <f t="shared" si="54"/>
        <v>14.810522407466705</v>
      </c>
      <c r="D203" s="365">
        <f t="shared" si="55"/>
        <v>1.5032253559201307</v>
      </c>
      <c r="E203" s="365">
        <f t="shared" si="56"/>
        <v>1.0094989543274429</v>
      </c>
      <c r="F203" s="366">
        <f t="shared" si="57"/>
        <v>0.13729069188637341</v>
      </c>
      <c r="G203" s="365">
        <f t="shared" si="58"/>
        <v>1</v>
      </c>
      <c r="H203" s="366">
        <f t="shared" si="59"/>
        <v>0</v>
      </c>
      <c r="I203" s="364">
        <f t="shared" si="60"/>
        <v>3920.7693152549905</v>
      </c>
      <c r="J203" s="367">
        <f t="shared" si="61"/>
        <v>1.5705412748062597</v>
      </c>
      <c r="K203" s="375">
        <f t="shared" si="82"/>
        <v>2.5729150664351979</v>
      </c>
      <c r="L203" s="376">
        <f t="shared" si="83"/>
        <v>1.1716149507214764</v>
      </c>
      <c r="M203" s="364">
        <f t="shared" si="64"/>
        <v>1.0004792642410292</v>
      </c>
      <c r="N203" s="367">
        <f t="shared" si="65"/>
        <v>3.0953930523749791E-2</v>
      </c>
      <c r="O203" s="368">
        <f t="shared" si="66"/>
        <v>1.0296008703548141</v>
      </c>
      <c r="P203" s="369">
        <f t="shared" si="67"/>
        <v>0.28047750297230239</v>
      </c>
      <c r="Q203" s="370">
        <f t="shared" si="68"/>
        <v>2.7737908007303691</v>
      </c>
      <c r="R203" s="371">
        <f t="shared" si="69"/>
        <v>-118.96279292944826</v>
      </c>
      <c r="S203" s="373">
        <f t="shared" si="70"/>
        <v>61.037207070551744</v>
      </c>
      <c r="U203" s="346">
        <f t="shared" si="76"/>
        <v>1000000000</v>
      </c>
      <c r="V203" s="346">
        <f t="shared" si="77"/>
        <v>133373626.5625</v>
      </c>
      <c r="X203" s="372">
        <f t="shared" si="71"/>
        <v>24.433595682712273</v>
      </c>
      <c r="Y203" s="373">
        <f t="shared" si="72"/>
        <v>-24.630324313222456</v>
      </c>
      <c r="AA203" s="372">
        <f t="shared" si="73"/>
        <v>29.820820472572475</v>
      </c>
      <c r="AB203" s="373">
        <f t="shared" si="74"/>
        <v>-94.33246861622581</v>
      </c>
      <c r="AD203">
        <f t="shared" si="78"/>
        <v>0</v>
      </c>
      <c r="AE203">
        <f t="shared" si="81"/>
        <v>0</v>
      </c>
    </row>
    <row r="204" spans="1:31" x14ac:dyDescent="0.2">
      <c r="A204" s="374">
        <v>11615.5</v>
      </c>
      <c r="B204" s="391">
        <f t="shared" si="75"/>
        <v>11.615500000000001</v>
      </c>
      <c r="C204" s="364">
        <f t="shared" si="54"/>
        <v>14.895735814199689</v>
      </c>
      <c r="D204" s="365">
        <f t="shared" si="55"/>
        <v>1.5036124906427077</v>
      </c>
      <c r="E204" s="365">
        <f t="shared" si="56"/>
        <v>1.0096085525961545</v>
      </c>
      <c r="F204" s="366">
        <f t="shared" si="57"/>
        <v>0.1380741923035507</v>
      </c>
      <c r="G204" s="365">
        <f t="shared" si="58"/>
        <v>1</v>
      </c>
      <c r="H204" s="366">
        <f t="shared" si="59"/>
        <v>0</v>
      </c>
      <c r="I204" s="364">
        <f t="shared" si="60"/>
        <v>3943.4307578195508</v>
      </c>
      <c r="J204" s="367">
        <f t="shared" si="61"/>
        <v>1.5705427404960286</v>
      </c>
      <c r="K204" s="375">
        <f t="shared" si="82"/>
        <v>2.585545185063495</v>
      </c>
      <c r="L204" s="376">
        <f t="shared" si="83"/>
        <v>1.1736746461136511</v>
      </c>
      <c r="M204" s="364">
        <f t="shared" si="64"/>
        <v>1.0004848190527162</v>
      </c>
      <c r="N204" s="367">
        <f t="shared" si="65"/>
        <v>3.1132724234251882E-2</v>
      </c>
      <c r="O204" s="368">
        <f t="shared" si="66"/>
        <v>1.0299396912842331</v>
      </c>
      <c r="P204" s="369">
        <f t="shared" si="67"/>
        <v>0.28204755194250219</v>
      </c>
      <c r="Q204" s="370">
        <f t="shared" si="68"/>
        <v>2.7144710294718566</v>
      </c>
      <c r="R204" s="371">
        <f t="shared" si="69"/>
        <v>-118.92235627737797</v>
      </c>
      <c r="S204" s="373">
        <f t="shared" si="70"/>
        <v>61.077643722622028</v>
      </c>
      <c r="U204" s="346">
        <f t="shared" si="76"/>
        <v>1000000000</v>
      </c>
      <c r="V204" s="346">
        <f t="shared" si="77"/>
        <v>134919840.25</v>
      </c>
      <c r="X204" s="372">
        <f t="shared" si="71"/>
        <v>24.426022516250391</v>
      </c>
      <c r="Y204" s="373">
        <f t="shared" si="72"/>
        <v>-24.522640562898331</v>
      </c>
      <c r="AA204" s="372">
        <f t="shared" si="73"/>
        <v>29.769073867775845</v>
      </c>
      <c r="AB204" s="373">
        <f t="shared" si="74"/>
        <v>-94.399715714479612</v>
      </c>
      <c r="AD204">
        <f t="shared" si="78"/>
        <v>0</v>
      </c>
      <c r="AE204">
        <f t="shared" si="81"/>
        <v>0</v>
      </c>
    </row>
    <row r="205" spans="1:31" x14ac:dyDescent="0.2">
      <c r="A205" s="374">
        <v>11682.25</v>
      </c>
      <c r="B205" s="391">
        <f t="shared" si="75"/>
        <v>11.68225</v>
      </c>
      <c r="C205" s="364">
        <f t="shared" ref="C205:C268" si="84">SQRT(1+(A205/pole1)^2)</f>
        <v>14.98095142800833</v>
      </c>
      <c r="D205" s="365">
        <f t="shared" ref="D205:D268" si="85">ATAN(A205/pole1)</f>
        <v>1.5039952211727243</v>
      </c>
      <c r="E205" s="365">
        <f t="shared" ref="E205:E268" si="86">SQRT(1+(A205/Zero1)^2)</f>
        <v>1.0097187705014337</v>
      </c>
      <c r="F205" s="366">
        <f t="shared" ref="F205:F268" si="87">ATAN(A205/Zero1)</f>
        <v>0.13885752215234376</v>
      </c>
      <c r="G205" s="365">
        <f t="shared" ref="G205:G268" si="88">IF(VIN_nom&gt;Vout, 1, SQRT(1+(A205/z_RHP)^2))</f>
        <v>1</v>
      </c>
      <c r="H205" s="366">
        <f t="shared" ref="H205:H268" si="89">IF(VIN_nom&gt;Vout, 0, -ATAN(A205/z_RHP))</f>
        <v>0</v>
      </c>
      <c r="I205" s="364">
        <f t="shared" ref="I205:I268" si="90">SQRT(1+(A205/Pole2)^2)</f>
        <v>3966.0922003924857</v>
      </c>
      <c r="J205" s="367">
        <f t="shared" ref="J205:J268" si="91">ATAN(A205/Pole2)</f>
        <v>1.5705441894364922</v>
      </c>
      <c r="K205" s="375">
        <f t="shared" si="82"/>
        <v>2.5981861657985048</v>
      </c>
      <c r="L205" s="376">
        <f t="shared" si="83"/>
        <v>1.1757143079762298</v>
      </c>
      <c r="M205" s="364">
        <f t="shared" ref="M205:M268" si="92">SQRT(1+(A205/pole4)^2)</f>
        <v>1.0004904058467372</v>
      </c>
      <c r="N205" s="367">
        <f t="shared" ref="N205:N268" si="93">ATAN(A205/pole4)</f>
        <v>3.1311515953681361E-2</v>
      </c>
      <c r="O205" s="368">
        <f t="shared" ref="O205:O268" si="94">SQRT((1-(V205/pterm2))^2+(A205/pterm1)^2)</f>
        <v>1.0302803673877128</v>
      </c>
      <c r="P205" s="369">
        <f t="shared" ref="P205:P268" si="95">IF((ATAN((A205/pterm1)/(1-A205^2/pterm2))&gt;0),ATAN((A205/pterm1)/(1-A205^2/pterm2)),PI()+ATAN((A205/pterm1)/(1-A205^2/pterm2)))</f>
        <v>0.28361675733007591</v>
      </c>
      <c r="Q205" s="370">
        <f t="shared" ref="Q205:Q268" si="96">20*LOG10(((E205*K205*G205)/(C205*I205*O205*M205))*Adc)</f>
        <v>2.6555403786060525</v>
      </c>
      <c r="R205" s="371">
        <f t="shared" ref="R205:R268" si="97">((F205+L205+H205)-(D205+J205+P205+N205))*radconv</f>
        <v>-118.88277548573714</v>
      </c>
      <c r="S205" s="373">
        <f t="shared" ref="S205:S268" si="98">IF(R205&gt;0,R205,R205+180)</f>
        <v>61.117224514262858</v>
      </c>
      <c r="U205" s="346">
        <f t="shared" si="76"/>
        <v>1000000000</v>
      </c>
      <c r="V205" s="346">
        <f t="shared" si="77"/>
        <v>136474965.0625</v>
      </c>
      <c r="X205" s="372">
        <f t="shared" ref="X205:X268" si="99">20*LOG10((K205/(I205*M205))*AEA)</f>
        <v>24.418564963723274</v>
      </c>
      <c r="Y205" s="373">
        <f t="shared" ref="Y205:Y268" si="100">(L205-(J205+N205))*radconv</f>
        <v>-24.416103575525582</v>
      </c>
      <c r="AA205" s="372">
        <f t="shared" ref="AA205:AA268" si="101">20*LOG10((E205*G205/(C205*O205))*Acs*Am)</f>
        <v>29.717600769437162</v>
      </c>
      <c r="AB205" s="373">
        <f t="shared" ref="AB205:AB268" si="102">(F205+H205-(D205+P205))*radconv</f>
        <v>-94.466671910211559</v>
      </c>
      <c r="AD205">
        <f t="shared" si="78"/>
        <v>0</v>
      </c>
      <c r="AE205">
        <f t="shared" si="81"/>
        <v>0</v>
      </c>
    </row>
    <row r="206" spans="1:31" x14ac:dyDescent="0.2">
      <c r="A206" s="374">
        <v>11749</v>
      </c>
      <c r="B206" s="391">
        <f t="shared" ref="B206:B269" si="103">A206/1000</f>
        <v>11.749000000000001</v>
      </c>
      <c r="C206" s="364">
        <f t="shared" si="84"/>
        <v>15.06616921144237</v>
      </c>
      <c r="D206" s="365">
        <f t="shared" si="85"/>
        <v>1.5043736221305271</v>
      </c>
      <c r="E206" s="365">
        <f t="shared" si="86"/>
        <v>1.0098296078403901</v>
      </c>
      <c r="F206" s="366">
        <f t="shared" si="87"/>
        <v>0.13964068052744943</v>
      </c>
      <c r="G206" s="365">
        <f t="shared" si="88"/>
        <v>1</v>
      </c>
      <c r="H206" s="366">
        <f t="shared" si="89"/>
        <v>0</v>
      </c>
      <c r="I206" s="364">
        <f t="shared" si="90"/>
        <v>3988.7536429736529</v>
      </c>
      <c r="J206" s="367">
        <f t="shared" si="91"/>
        <v>1.5705456219131255</v>
      </c>
      <c r="K206" s="375">
        <f t="shared" si="82"/>
        <v>2.6108378508659587</v>
      </c>
      <c r="L206" s="376">
        <f t="shared" si="83"/>
        <v>1.177734210451481</v>
      </c>
      <c r="M206" s="364">
        <f t="shared" si="92"/>
        <v>1.0004960246225556</v>
      </c>
      <c r="N206" s="367">
        <f t="shared" si="93"/>
        <v>3.149030567064099E-2</v>
      </c>
      <c r="O206" s="368">
        <f t="shared" si="94"/>
        <v>1.030622897081908</v>
      </c>
      <c r="P206" s="369">
        <f t="shared" si="95"/>
        <v>0.28518511536332813</v>
      </c>
      <c r="Q206" s="370">
        <f t="shared" si="96"/>
        <v>2.5969933808172989</v>
      </c>
      <c r="R206" s="371">
        <f t="shared" si="97"/>
        <v>-118.84403897423314</v>
      </c>
      <c r="S206" s="373">
        <f t="shared" si="98"/>
        <v>61.155961025766857</v>
      </c>
      <c r="U206" s="346">
        <f t="shared" ref="U206:U269" si="104">IF(Q206&lt;0,A206,1000000000)</f>
        <v>1000000000</v>
      </c>
      <c r="V206" s="346">
        <f t="shared" ref="V206:V269" si="105">A206^2</f>
        <v>138039001</v>
      </c>
      <c r="X206" s="372">
        <f t="shared" si="99"/>
        <v>24.411220714389501</v>
      </c>
      <c r="Y206" s="373">
        <f t="shared" si="100"/>
        <v>-24.310697659612678</v>
      </c>
      <c r="AA206" s="372">
        <f t="shared" si="101"/>
        <v>29.666398020982179</v>
      </c>
      <c r="AB206" s="373">
        <f t="shared" si="102"/>
        <v>-94.533341314620472</v>
      </c>
      <c r="AD206">
        <f t="shared" ref="AD206:AD269" si="106">SUM((Q207&lt;0)*(Q206&gt;0))*A206</f>
        <v>0</v>
      </c>
      <c r="AE206">
        <f t="shared" si="81"/>
        <v>0</v>
      </c>
    </row>
    <row r="207" spans="1:31" x14ac:dyDescent="0.2">
      <c r="A207" s="374">
        <v>11817.5</v>
      </c>
      <c r="B207" s="391">
        <f t="shared" si="103"/>
        <v>11.817500000000001</v>
      </c>
      <c r="C207" s="364">
        <f t="shared" si="84"/>
        <v>15.153623386279445</v>
      </c>
      <c r="D207" s="365">
        <f t="shared" si="85"/>
        <v>1.5047575188802762</v>
      </c>
      <c r="E207" s="365">
        <f t="shared" si="86"/>
        <v>1.0099439948196018</v>
      </c>
      <c r="F207" s="366">
        <f t="shared" si="87"/>
        <v>0.14044419192049906</v>
      </c>
      <c r="G207" s="365">
        <f t="shared" si="88"/>
        <v>1</v>
      </c>
      <c r="H207" s="366">
        <f t="shared" si="89"/>
        <v>0</v>
      </c>
      <c r="I207" s="364">
        <f t="shared" si="90"/>
        <v>4012.009205780716</v>
      </c>
      <c r="J207" s="367">
        <f t="shared" si="91"/>
        <v>1.5705470751209689</v>
      </c>
      <c r="K207" s="375">
        <f t="shared" si="82"/>
        <v>2.6238321946255003</v>
      </c>
      <c r="L207" s="376">
        <f t="shared" si="83"/>
        <v>1.1797868085483809</v>
      </c>
      <c r="M207" s="364">
        <f t="shared" si="92"/>
        <v>1.0005018239570385</v>
      </c>
      <c r="N207" s="367">
        <f t="shared" si="93"/>
        <v>3.1673780664598292E-2</v>
      </c>
      <c r="O207" s="368">
        <f t="shared" si="94"/>
        <v>1.0309763324097809</v>
      </c>
      <c r="P207" s="369">
        <f t="shared" si="95"/>
        <v>0.28679370649073421</v>
      </c>
      <c r="Q207" s="370">
        <f t="shared" si="96"/>
        <v>2.537304696728631</v>
      </c>
      <c r="R207" s="371">
        <f t="shared" si="97"/>
        <v>-118.80515270615545</v>
      </c>
      <c r="S207" s="373">
        <f t="shared" si="98"/>
        <v>61.194847293844546</v>
      </c>
      <c r="U207" s="346">
        <f t="shared" si="104"/>
        <v>1000000000</v>
      </c>
      <c r="V207" s="346">
        <f t="shared" si="105"/>
        <v>139653306.25</v>
      </c>
      <c r="X207" s="372">
        <f t="shared" si="99"/>
        <v>24.403799352710394</v>
      </c>
      <c r="Y207" s="373">
        <f t="shared" si="100"/>
        <v>-24.203688056977576</v>
      </c>
      <c r="AA207" s="372">
        <f t="shared" si="101"/>
        <v>29.614130698572616</v>
      </c>
      <c r="AB207" s="373">
        <f t="shared" si="102"/>
        <v>-94.601464649177871</v>
      </c>
      <c r="AD207">
        <f t="shared" si="106"/>
        <v>0</v>
      </c>
      <c r="AE207">
        <f t="shared" si="81"/>
        <v>0</v>
      </c>
    </row>
    <row r="208" spans="1:31" x14ac:dyDescent="0.2">
      <c r="A208" s="374">
        <v>11886</v>
      </c>
      <c r="B208" s="391">
        <f t="shared" si="103"/>
        <v>11.885999999999999</v>
      </c>
      <c r="C208" s="364">
        <f t="shared" si="84"/>
        <v>15.241079768778057</v>
      </c>
      <c r="D208" s="365">
        <f t="shared" si="85"/>
        <v>1.5051370099318255</v>
      </c>
      <c r="E208" s="365">
        <f t="shared" si="86"/>
        <v>1.0100590337015876</v>
      </c>
      <c r="F208" s="366">
        <f t="shared" si="87"/>
        <v>0.1412475208030945</v>
      </c>
      <c r="G208" s="365">
        <f t="shared" si="88"/>
        <v>1</v>
      </c>
      <c r="H208" s="366">
        <f t="shared" si="89"/>
        <v>0</v>
      </c>
      <c r="I208" s="364">
        <f t="shared" si="90"/>
        <v>4035.2647685961538</v>
      </c>
      <c r="J208" s="367">
        <f t="shared" si="91"/>
        <v>1.5705485115788995</v>
      </c>
      <c r="K208" s="375">
        <f t="shared" si="82"/>
        <v>2.6368374840256874</v>
      </c>
      <c r="L208" s="376">
        <f t="shared" si="83"/>
        <v>1.1818191676765502</v>
      </c>
      <c r="M208" s="364">
        <f t="shared" si="92"/>
        <v>1.0005076569710964</v>
      </c>
      <c r="N208" s="367">
        <f t="shared" si="93"/>
        <v>3.1857253525393411E-2</v>
      </c>
      <c r="O208" s="368">
        <f t="shared" si="94"/>
        <v>1.0313317163950682</v>
      </c>
      <c r="P208" s="369">
        <f t="shared" si="95"/>
        <v>0.28840139725569031</v>
      </c>
      <c r="Q208" s="370">
        <f t="shared" si="96"/>
        <v>2.478008729406906</v>
      </c>
      <c r="R208" s="371">
        <f t="shared" si="97"/>
        <v>-118.76713140584589</v>
      </c>
      <c r="S208" s="373">
        <f t="shared" si="98"/>
        <v>61.232868594154112</v>
      </c>
      <c r="U208" s="346">
        <f t="shared" si="104"/>
        <v>1000000000</v>
      </c>
      <c r="V208" s="346">
        <f t="shared" si="105"/>
        <v>141276996</v>
      </c>
      <c r="X208" s="372">
        <f t="shared" si="99"/>
        <v>24.396492561431174</v>
      </c>
      <c r="Y208" s="373">
        <f t="shared" si="100"/>
        <v>-24.097836979913257</v>
      </c>
      <c r="AA208" s="372">
        <f t="shared" si="101"/>
        <v>29.562141522530109</v>
      </c>
      <c r="AB208" s="373">
        <f t="shared" si="102"/>
        <v>-94.669294425932591</v>
      </c>
      <c r="AD208">
        <f t="shared" si="106"/>
        <v>0</v>
      </c>
      <c r="AE208">
        <f t="shared" si="81"/>
        <v>0</v>
      </c>
    </row>
    <row r="209" spans="1:31" x14ac:dyDescent="0.2">
      <c r="A209" s="374">
        <v>11954.5</v>
      </c>
      <c r="B209" s="391">
        <f t="shared" si="103"/>
        <v>11.954499999999999</v>
      </c>
      <c r="C209" s="364">
        <f t="shared" si="84"/>
        <v>15.328538321151019</v>
      </c>
      <c r="D209" s="365">
        <f t="shared" si="85"/>
        <v>1.5055121705864181</v>
      </c>
      <c r="E209" s="365">
        <f t="shared" si="86"/>
        <v>1.0101747242636299</v>
      </c>
      <c r="F209" s="366">
        <f t="shared" si="87"/>
        <v>0.14205066620093049</v>
      </c>
      <c r="G209" s="365">
        <f t="shared" si="88"/>
        <v>1</v>
      </c>
      <c r="H209" s="366">
        <f t="shared" si="89"/>
        <v>0</v>
      </c>
      <c r="I209" s="364">
        <f t="shared" si="90"/>
        <v>4058.5203314198229</v>
      </c>
      <c r="J209" s="367">
        <f t="shared" si="91"/>
        <v>1.5705499315748512</v>
      </c>
      <c r="K209" s="375">
        <f t="shared" si="82"/>
        <v>2.6498535579052902</v>
      </c>
      <c r="L209" s="376">
        <f t="shared" si="83"/>
        <v>1.1838315691633714</v>
      </c>
      <c r="M209" s="364">
        <f t="shared" si="92"/>
        <v>1.0005135236641407</v>
      </c>
      <c r="N209" s="367">
        <f t="shared" si="93"/>
        <v>3.204072424071152E-2</v>
      </c>
      <c r="O209" s="368">
        <f t="shared" si="94"/>
        <v>1.0316890473056068</v>
      </c>
      <c r="P209" s="369">
        <f t="shared" si="95"/>
        <v>0.2900081836360382</v>
      </c>
      <c r="Q209" s="370">
        <f t="shared" si="96"/>
        <v>2.4190999194755007</v>
      </c>
      <c r="R209" s="371">
        <f t="shared" si="97"/>
        <v>-118.7299631100388</v>
      </c>
      <c r="S209" s="373">
        <f t="shared" si="98"/>
        <v>61.270036889961204</v>
      </c>
      <c r="U209" s="346">
        <f t="shared" si="104"/>
        <v>1000000000</v>
      </c>
      <c r="V209" s="346">
        <f t="shared" si="105"/>
        <v>142910070.25</v>
      </c>
      <c r="X209" s="372">
        <f t="shared" si="99"/>
        <v>24.389298021768049</v>
      </c>
      <c r="Y209" s="373">
        <f t="shared" si="100"/>
        <v>-23.993128325339832</v>
      </c>
      <c r="AA209" s="372">
        <f t="shared" si="101"/>
        <v>29.510427252261824</v>
      </c>
      <c r="AB209" s="373">
        <f t="shared" si="102"/>
        <v>-94.736834784698971</v>
      </c>
      <c r="AD209">
        <f t="shared" si="106"/>
        <v>0</v>
      </c>
      <c r="AE209">
        <f t="shared" si="81"/>
        <v>0</v>
      </c>
    </row>
    <row r="210" spans="1:31" x14ac:dyDescent="0.2">
      <c r="A210" s="374">
        <v>12023</v>
      </c>
      <c r="B210" s="391">
        <f t="shared" si="103"/>
        <v>12.023</v>
      </c>
      <c r="C210" s="364">
        <f t="shared" si="84"/>
        <v>15.415999006467725</v>
      </c>
      <c r="D210" s="365">
        <f t="shared" si="85"/>
        <v>1.5058830744413887</v>
      </c>
      <c r="E210" s="365">
        <f t="shared" si="86"/>
        <v>1.0102910662818538</v>
      </c>
      <c r="F210" s="366">
        <f t="shared" si="87"/>
        <v>0.14285362714109351</v>
      </c>
      <c r="G210" s="365">
        <f t="shared" si="88"/>
        <v>1</v>
      </c>
      <c r="H210" s="366">
        <f t="shared" si="89"/>
        <v>0</v>
      </c>
      <c r="I210" s="364">
        <f t="shared" si="90"/>
        <v>4081.775894251582</v>
      </c>
      <c r="J210" s="367">
        <f t="shared" si="91"/>
        <v>1.5705513353901965</v>
      </c>
      <c r="K210" s="375">
        <f t="shared" si="82"/>
        <v>2.6628802581217386</v>
      </c>
      <c r="L210" s="376">
        <f t="shared" si="83"/>
        <v>1.1858242894847084</v>
      </c>
      <c r="M210" s="364">
        <f t="shared" si="92"/>
        <v>1.0005194240355786</v>
      </c>
      <c r="N210" s="367">
        <f t="shared" si="93"/>
        <v>3.2224192798238682E-2</v>
      </c>
      <c r="O210" s="368">
        <f t="shared" si="94"/>
        <v>1.0320483234022353</v>
      </c>
      <c r="P210" s="369">
        <f t="shared" si="95"/>
        <v>0.29161406162795034</v>
      </c>
      <c r="Q210" s="370">
        <f t="shared" si="96"/>
        <v>2.3605728195648652</v>
      </c>
      <c r="R210" s="371">
        <f t="shared" si="97"/>
        <v>-118.69363603640817</v>
      </c>
      <c r="S210" s="373">
        <f t="shared" si="98"/>
        <v>61.306363963591835</v>
      </c>
      <c r="U210" s="346">
        <f t="shared" si="104"/>
        <v>1000000000</v>
      </c>
      <c r="V210" s="346">
        <f t="shared" si="105"/>
        <v>144552529</v>
      </c>
      <c r="X210" s="372">
        <f t="shared" si="99"/>
        <v>24.382213471808033</v>
      </c>
      <c r="Y210" s="373">
        <f t="shared" si="100"/>
        <v>-23.889546267773074</v>
      </c>
      <c r="AA210" s="372">
        <f t="shared" si="101"/>
        <v>29.458984702311213</v>
      </c>
      <c r="AB210" s="373">
        <f t="shared" si="102"/>
        <v>-94.804089768635066</v>
      </c>
      <c r="AD210">
        <f t="shared" si="106"/>
        <v>0</v>
      </c>
      <c r="AE210">
        <f t="shared" si="81"/>
        <v>0</v>
      </c>
    </row>
    <row r="211" spans="1:31" x14ac:dyDescent="0.2">
      <c r="A211" s="374">
        <v>12093</v>
      </c>
      <c r="B211" s="391">
        <f t="shared" si="103"/>
        <v>12.093</v>
      </c>
      <c r="C211" s="364">
        <f t="shared" si="84"/>
        <v>15.505377055228374</v>
      </c>
      <c r="D211" s="365">
        <f t="shared" si="85"/>
        <v>1.5062577774913193</v>
      </c>
      <c r="E211" s="365">
        <f t="shared" si="86"/>
        <v>1.0104106287118995</v>
      </c>
      <c r="F211" s="366">
        <f t="shared" si="87"/>
        <v>0.14367397959583378</v>
      </c>
      <c r="G211" s="365">
        <f t="shared" si="88"/>
        <v>1</v>
      </c>
      <c r="H211" s="366">
        <f t="shared" si="89"/>
        <v>0</v>
      </c>
      <c r="I211" s="364">
        <f t="shared" si="90"/>
        <v>4105.540702992982</v>
      </c>
      <c r="J211" s="367">
        <f t="shared" si="91"/>
        <v>1.5705527535161909</v>
      </c>
      <c r="K211" s="375">
        <f t="shared" si="82"/>
        <v>2.6762030309926819</v>
      </c>
      <c r="L211" s="376">
        <f t="shared" si="83"/>
        <v>1.1878405964038883</v>
      </c>
      <c r="M211" s="364">
        <f t="shared" si="92"/>
        <v>1.0005254884043036</v>
      </c>
      <c r="N211" s="367">
        <f t="shared" si="93"/>
        <v>3.2411676673421756E-2</v>
      </c>
      <c r="O211" s="368">
        <f t="shared" si="94"/>
        <v>1.0324174745869839</v>
      </c>
      <c r="P211" s="369">
        <f t="shared" si="95"/>
        <v>0.29325416224029177</v>
      </c>
      <c r="Q211" s="370">
        <f t="shared" si="96"/>
        <v>2.3011528893042206</v>
      </c>
      <c r="R211" s="371">
        <f t="shared" si="97"/>
        <v>-118.65737046012958</v>
      </c>
      <c r="S211" s="373">
        <f t="shared" si="98"/>
        <v>61.342629539870416</v>
      </c>
      <c r="U211" s="346">
        <f t="shared" si="104"/>
        <v>1000000000</v>
      </c>
      <c r="V211" s="346">
        <f t="shared" si="105"/>
        <v>146240649</v>
      </c>
      <c r="X211" s="372">
        <f t="shared" si="99"/>
        <v>24.375085118579236</v>
      </c>
      <c r="Y211" s="373">
        <f t="shared" si="100"/>
        <v>-23.784843678390441</v>
      </c>
      <c r="AA211" s="372">
        <f t="shared" si="101"/>
        <v>29.406693125279361</v>
      </c>
      <c r="AB211" s="373">
        <f t="shared" si="102"/>
        <v>-94.872526781739154</v>
      </c>
      <c r="AD211">
        <f t="shared" si="106"/>
        <v>0</v>
      </c>
      <c r="AE211">
        <f t="shared" si="81"/>
        <v>0</v>
      </c>
    </row>
    <row r="212" spans="1:31" x14ac:dyDescent="0.2">
      <c r="A212" s="374">
        <v>12163</v>
      </c>
      <c r="B212" s="391">
        <f t="shared" si="103"/>
        <v>12.163</v>
      </c>
      <c r="C212" s="364">
        <f t="shared" si="84"/>
        <v>15.594757256026682</v>
      </c>
      <c r="D212" s="365">
        <f t="shared" si="85"/>
        <v>1.5066281854269818</v>
      </c>
      <c r="E212" s="365">
        <f t="shared" si="86"/>
        <v>1.0105308709650471</v>
      </c>
      <c r="F212" s="366">
        <f t="shared" si="87"/>
        <v>0.14449413737625946</v>
      </c>
      <c r="G212" s="365">
        <f t="shared" si="88"/>
        <v>1</v>
      </c>
      <c r="H212" s="366">
        <f t="shared" si="89"/>
        <v>0</v>
      </c>
      <c r="I212" s="364">
        <f t="shared" si="90"/>
        <v>4129.305511742542</v>
      </c>
      <c r="J212" s="367">
        <f t="shared" si="91"/>
        <v>1.5705541553191047</v>
      </c>
      <c r="K212" s="375">
        <f t="shared" si="82"/>
        <v>2.6895365761339884</v>
      </c>
      <c r="L212" s="376">
        <f t="shared" si="83"/>
        <v>1.1898369194378584</v>
      </c>
      <c r="M212" s="364">
        <f t="shared" si="92"/>
        <v>1.0005315879412757</v>
      </c>
      <c r="N212" s="367">
        <f t="shared" si="93"/>
        <v>3.2599158269280282E-2</v>
      </c>
      <c r="O212" s="368">
        <f t="shared" si="94"/>
        <v>1.0327886533869379</v>
      </c>
      <c r="P212" s="369">
        <f t="shared" si="95"/>
        <v>0.294893305850156</v>
      </c>
      <c r="Q212" s="370">
        <f t="shared" si="96"/>
        <v>2.242120413280821</v>
      </c>
      <c r="R212" s="371">
        <f t="shared" si="97"/>
        <v>-118.62195904018711</v>
      </c>
      <c r="S212" s="373">
        <f t="shared" si="98"/>
        <v>61.378040959812893</v>
      </c>
      <c r="U212" s="346">
        <f t="shared" si="104"/>
        <v>1000000000</v>
      </c>
      <c r="V212" s="346">
        <f t="shared" si="105"/>
        <v>147938569</v>
      </c>
      <c r="X212" s="372">
        <f t="shared" si="99"/>
        <v>24.36806702375106</v>
      </c>
      <c r="Y212" s="373">
        <f t="shared" si="100"/>
        <v>-23.681285015450605</v>
      </c>
      <c r="AA212" s="372">
        <f t="shared" si="101"/>
        <v>29.354678744084136</v>
      </c>
      <c r="AB212" s="373">
        <f t="shared" si="102"/>
        <v>-94.940674024736495</v>
      </c>
      <c r="AD212">
        <f t="shared" si="106"/>
        <v>0</v>
      </c>
      <c r="AE212">
        <f t="shared" si="81"/>
        <v>0</v>
      </c>
    </row>
    <row r="213" spans="1:31" x14ac:dyDescent="0.2">
      <c r="A213" s="374">
        <v>12233</v>
      </c>
      <c r="B213" s="391">
        <f t="shared" si="103"/>
        <v>12.233000000000001</v>
      </c>
      <c r="C213" s="364">
        <f t="shared" si="84"/>
        <v>15.684139572070793</v>
      </c>
      <c r="D213" s="365">
        <f t="shared" si="85"/>
        <v>1.5069943715781144</v>
      </c>
      <c r="E213" s="365">
        <f t="shared" si="86"/>
        <v>1.0106517927986511</v>
      </c>
      <c r="F213" s="366">
        <f t="shared" si="87"/>
        <v>0.14531409944867985</v>
      </c>
      <c r="G213" s="365">
        <f t="shared" si="88"/>
        <v>1</v>
      </c>
      <c r="H213" s="366">
        <f t="shared" si="89"/>
        <v>0</v>
      </c>
      <c r="I213" s="364">
        <f t="shared" si="90"/>
        <v>4153.0703205001255</v>
      </c>
      <c r="J213" s="367">
        <f t="shared" si="91"/>
        <v>1.5705555410791512</v>
      </c>
      <c r="K213" s="375">
        <f t="shared" si="82"/>
        <v>2.7028807341240317</v>
      </c>
      <c r="L213" s="376">
        <f t="shared" si="83"/>
        <v>1.1918135385380637</v>
      </c>
      <c r="M213" s="364">
        <f t="shared" si="92"/>
        <v>1.0005377226458523</v>
      </c>
      <c r="N213" s="367">
        <f t="shared" si="93"/>
        <v>3.2786637572676365E-2</v>
      </c>
      <c r="O213" s="368">
        <f t="shared" si="94"/>
        <v>1.0331618579238047</v>
      </c>
      <c r="P213" s="369">
        <f t="shared" si="95"/>
        <v>0.29653148824448888</v>
      </c>
      <c r="Q213" s="370">
        <f t="shared" si="96"/>
        <v>2.1834699226351342</v>
      </c>
      <c r="R213" s="371">
        <f t="shared" si="97"/>
        <v>-118.58738977116705</v>
      </c>
      <c r="S213" s="373">
        <f t="shared" si="98"/>
        <v>61.412610228832946</v>
      </c>
      <c r="U213" s="346">
        <f t="shared" si="104"/>
        <v>1000000000</v>
      </c>
      <c r="V213" s="346">
        <f t="shared" si="105"/>
        <v>149646289</v>
      </c>
      <c r="X213" s="372">
        <f t="shared" si="99"/>
        <v>24.361156947205753</v>
      </c>
      <c r="Y213" s="373">
        <f t="shared" si="100"/>
        <v>-23.578854254219589</v>
      </c>
      <c r="AA213" s="372">
        <f t="shared" si="101"/>
        <v>29.30293832998376</v>
      </c>
      <c r="AB213" s="373">
        <f t="shared" si="102"/>
        <v>-95.008535516947489</v>
      </c>
      <c r="AD213">
        <f t="shared" si="106"/>
        <v>0</v>
      </c>
      <c r="AE213">
        <f t="shared" si="81"/>
        <v>0</v>
      </c>
    </row>
    <row r="214" spans="1:31" x14ac:dyDescent="0.2">
      <c r="A214" s="374">
        <v>12303</v>
      </c>
      <c r="B214" s="391">
        <f t="shared" si="103"/>
        <v>12.303000000000001</v>
      </c>
      <c r="C214" s="364">
        <f t="shared" si="84"/>
        <v>15.773523967401921</v>
      </c>
      <c r="D214" s="365">
        <f t="shared" si="85"/>
        <v>1.5073564076168815</v>
      </c>
      <c r="E214" s="365">
        <f t="shared" si="86"/>
        <v>1.0107733939688108</v>
      </c>
      <c r="F214" s="366">
        <f t="shared" si="87"/>
        <v>0.14613386478095003</v>
      </c>
      <c r="G214" s="365">
        <f t="shared" si="88"/>
        <v>1</v>
      </c>
      <c r="H214" s="366">
        <f t="shared" si="89"/>
        <v>0</v>
      </c>
      <c r="I214" s="364">
        <f t="shared" si="90"/>
        <v>4176.8351292655925</v>
      </c>
      <c r="J214" s="367">
        <f t="shared" si="91"/>
        <v>1.570556911070166</v>
      </c>
      <c r="K214" s="375">
        <f t="shared" si="82"/>
        <v>2.7162353485483166</v>
      </c>
      <c r="L214" s="376">
        <f t="shared" si="83"/>
        <v>1.193770728772779</v>
      </c>
      <c r="M214" s="364">
        <f t="shared" si="92"/>
        <v>1.0005438925173862</v>
      </c>
      <c r="N214" s="367">
        <f t="shared" si="93"/>
        <v>3.2974114570473063E-2</v>
      </c>
      <c r="O214" s="368">
        <f t="shared" si="94"/>
        <v>1.033537086311858</v>
      </c>
      <c r="P214" s="369">
        <f t="shared" si="95"/>
        <v>0.29816870523040762</v>
      </c>
      <c r="Q214" s="370">
        <f t="shared" si="96"/>
        <v>2.1251960586432181</v>
      </c>
      <c r="R214" s="371">
        <f t="shared" si="97"/>
        <v>-118.55365083317079</v>
      </c>
      <c r="S214" s="373">
        <f t="shared" si="98"/>
        <v>61.446349166829208</v>
      </c>
      <c r="U214" s="346">
        <f t="shared" si="104"/>
        <v>1000000000</v>
      </c>
      <c r="V214" s="346">
        <f t="shared" si="105"/>
        <v>151363809</v>
      </c>
      <c r="X214" s="372">
        <f t="shared" si="99"/>
        <v>24.354352704015024</v>
      </c>
      <c r="Y214" s="373">
        <f t="shared" si="100"/>
        <v>-23.477535649383068</v>
      </c>
      <c r="AA214" s="372">
        <f t="shared" si="101"/>
        <v>29.251468709182568</v>
      </c>
      <c r="AB214" s="373">
        <f t="shared" si="102"/>
        <v>-95.076115183787749</v>
      </c>
      <c r="AD214">
        <f t="shared" si="106"/>
        <v>0</v>
      </c>
      <c r="AE214">
        <f t="shared" si="81"/>
        <v>0</v>
      </c>
    </row>
    <row r="215" spans="1:31" x14ac:dyDescent="0.2">
      <c r="A215" s="374">
        <v>12374.5</v>
      </c>
      <c r="B215" s="391">
        <f t="shared" si="103"/>
        <v>12.374499999999999</v>
      </c>
      <c r="C215" s="364">
        <f t="shared" si="84"/>
        <v>15.864825852689863</v>
      </c>
      <c r="D215" s="365">
        <f t="shared" si="85"/>
        <v>1.5077219899461152</v>
      </c>
      <c r="E215" s="365">
        <f t="shared" si="86"/>
        <v>1.0108983019517703</v>
      </c>
      <c r="F215" s="366">
        <f t="shared" si="87"/>
        <v>0.1469709923325411</v>
      </c>
      <c r="G215" s="365">
        <f t="shared" si="88"/>
        <v>1</v>
      </c>
      <c r="H215" s="366">
        <f t="shared" si="89"/>
        <v>0</v>
      </c>
      <c r="I215" s="364">
        <f t="shared" si="90"/>
        <v>4201.1091839411765</v>
      </c>
      <c r="J215" s="367">
        <f t="shared" si="91"/>
        <v>1.5705582944168603</v>
      </c>
      <c r="K215" s="375">
        <f t="shared" ref="K215:K278" si="107">SQRT(1+(A215/Zero2)^2)</f>
        <v>2.7298867686574764</v>
      </c>
      <c r="L215" s="376">
        <f t="shared" ref="L215:L278" si="108">ATAN(A215/Zero2)</f>
        <v>1.195750081972125</v>
      </c>
      <c r="M215" s="364">
        <f t="shared" si="92"/>
        <v>1.0005502309051744</v>
      </c>
      <c r="N215" s="367">
        <f t="shared" si="93"/>
        <v>3.3165606538612898E-2</v>
      </c>
      <c r="O215" s="368">
        <f t="shared" si="94"/>
        <v>1.0339224427080367</v>
      </c>
      <c r="P215" s="369">
        <f t="shared" si="95"/>
        <v>0.29984000443800002</v>
      </c>
      <c r="Q215" s="370">
        <f t="shared" si="96"/>
        <v>2.0660568284399226</v>
      </c>
      <c r="R215" s="371">
        <f t="shared" si="97"/>
        <v>-118.52003402996436</v>
      </c>
      <c r="S215" s="373">
        <f t="shared" si="98"/>
        <v>61.479965970035636</v>
      </c>
      <c r="U215" s="346">
        <f t="shared" si="104"/>
        <v>1000000000</v>
      </c>
      <c r="V215" s="346">
        <f t="shared" si="105"/>
        <v>153128250.25</v>
      </c>
      <c r="X215" s="372">
        <f t="shared" si="99"/>
        <v>24.347509699305078</v>
      </c>
      <c r="Y215" s="373">
        <f t="shared" si="100"/>
        <v>-23.37517800629012</v>
      </c>
      <c r="AA215" s="372">
        <f t="shared" si="101"/>
        <v>29.199172483689221</v>
      </c>
      <c r="AB215" s="373">
        <f t="shared" si="102"/>
        <v>-95.144856023674265</v>
      </c>
      <c r="AD215">
        <f t="shared" si="106"/>
        <v>0</v>
      </c>
      <c r="AE215">
        <f t="shared" si="81"/>
        <v>0</v>
      </c>
    </row>
    <row r="216" spans="1:31" x14ac:dyDescent="0.2">
      <c r="A216" s="374">
        <v>12446</v>
      </c>
      <c r="B216" s="391">
        <f t="shared" si="103"/>
        <v>12.446</v>
      </c>
      <c r="C216" s="364">
        <f t="shared" si="84"/>
        <v>15.956129834053163</v>
      </c>
      <c r="D216" s="365">
        <f t="shared" si="85"/>
        <v>1.5080833884612483</v>
      </c>
      <c r="E216" s="365">
        <f t="shared" si="86"/>
        <v>1.0110239181792728</v>
      </c>
      <c r="F216" s="366">
        <f t="shared" si="87"/>
        <v>0.14780791245010005</v>
      </c>
      <c r="G216" s="365">
        <f t="shared" si="88"/>
        <v>1</v>
      </c>
      <c r="H216" s="366">
        <f t="shared" si="89"/>
        <v>0</v>
      </c>
      <c r="I216" s="364">
        <f t="shared" si="90"/>
        <v>4225.3832386247086</v>
      </c>
      <c r="J216" s="367">
        <f t="shared" si="91"/>
        <v>1.5705596618694069</v>
      </c>
      <c r="K216" s="375">
        <f t="shared" si="107"/>
        <v>2.7435487775639542</v>
      </c>
      <c r="L216" s="376">
        <f t="shared" si="108"/>
        <v>1.1977097296743051</v>
      </c>
      <c r="M216" s="364">
        <f t="shared" si="92"/>
        <v>1.0005566059818474</v>
      </c>
      <c r="N216" s="367">
        <f t="shared" si="93"/>
        <v>3.3357096073580693E-2</v>
      </c>
      <c r="O216" s="368">
        <f t="shared" si="94"/>
        <v>1.0343099066207253</v>
      </c>
      <c r="P216" s="369">
        <f t="shared" si="95"/>
        <v>0.30151028764101523</v>
      </c>
      <c r="Q216" s="370">
        <f t="shared" si="96"/>
        <v>2.0072995768676809</v>
      </c>
      <c r="R216" s="371">
        <f t="shared" si="97"/>
        <v>-118.48725917593175</v>
      </c>
      <c r="S216" s="373">
        <f t="shared" si="98"/>
        <v>61.512740824068246</v>
      </c>
      <c r="U216" s="346">
        <f t="shared" si="104"/>
        <v>1000000000</v>
      </c>
      <c r="V216" s="346">
        <f t="shared" si="105"/>
        <v>154902916</v>
      </c>
      <c r="X216" s="372">
        <f t="shared" si="99"/>
        <v>24.340772673576481</v>
      </c>
      <c r="Y216" s="373">
        <f t="shared" si="100"/>
        <v>-23.27394835494119</v>
      </c>
      <c r="AA216" s="372">
        <f t="shared" si="101"/>
        <v>29.147152257845576</v>
      </c>
      <c r="AB216" s="373">
        <f t="shared" si="102"/>
        <v>-95.213310820990543</v>
      </c>
      <c r="AD216">
        <f t="shared" si="106"/>
        <v>0</v>
      </c>
      <c r="AE216">
        <f t="shared" si="81"/>
        <v>0</v>
      </c>
    </row>
    <row r="217" spans="1:31" x14ac:dyDescent="0.2">
      <c r="A217" s="374">
        <v>12517.5</v>
      </c>
      <c r="B217" s="391">
        <f t="shared" si="103"/>
        <v>12.5175</v>
      </c>
      <c r="C217" s="364">
        <f t="shared" si="84"/>
        <v>16.04743587571414</v>
      </c>
      <c r="D217" s="365">
        <f t="shared" si="85"/>
        <v>1.5084406744817436</v>
      </c>
      <c r="E217" s="365">
        <f t="shared" si="86"/>
        <v>1.0111502423873604</v>
      </c>
      <c r="F217" s="366">
        <f t="shared" si="87"/>
        <v>0.14864462403873885</v>
      </c>
      <c r="G217" s="365">
        <f t="shared" si="88"/>
        <v>1</v>
      </c>
      <c r="H217" s="366">
        <f t="shared" si="89"/>
        <v>0</v>
      </c>
      <c r="I217" s="364">
        <f t="shared" si="90"/>
        <v>4249.6572933160514</v>
      </c>
      <c r="J217" s="367">
        <f t="shared" si="91"/>
        <v>1.5705610137001673</v>
      </c>
      <c r="K217" s="375">
        <f t="shared" si="107"/>
        <v>2.7572212178655398</v>
      </c>
      <c r="L217" s="376">
        <f t="shared" si="108"/>
        <v>1.1996499498609179</v>
      </c>
      <c r="M217" s="364">
        <f t="shared" si="92"/>
        <v>1.0005630177467038</v>
      </c>
      <c r="N217" s="367">
        <f t="shared" si="93"/>
        <v>3.3548583161379923E-2</v>
      </c>
      <c r="O217" s="368">
        <f t="shared" si="94"/>
        <v>1.0346994760166628</v>
      </c>
      <c r="P217" s="369">
        <f t="shared" si="95"/>
        <v>0.30317955043666939</v>
      </c>
      <c r="Q217" s="370">
        <f t="shared" si="96"/>
        <v>1.948918931224441</v>
      </c>
      <c r="R217" s="371">
        <f t="shared" si="97"/>
        <v>-118.45531425547946</v>
      </c>
      <c r="S217" s="373">
        <f t="shared" si="98"/>
        <v>61.544685744520535</v>
      </c>
      <c r="U217" s="346">
        <f t="shared" si="104"/>
        <v>1000000000</v>
      </c>
      <c r="V217" s="346">
        <f t="shared" si="105"/>
        <v>156687806.25</v>
      </c>
      <c r="X217" s="372">
        <f t="shared" si="99"/>
        <v>24.33413946661932</v>
      </c>
      <c r="Y217" s="373">
        <f t="shared" si="100"/>
        <v>-23.173830782967134</v>
      </c>
      <c r="AA217" s="372">
        <f t="shared" si="101"/>
        <v>29.095404819159501</v>
      </c>
      <c r="AB217" s="373">
        <f t="shared" si="102"/>
        <v>-95.281483472512363</v>
      </c>
      <c r="AD217">
        <f t="shared" si="106"/>
        <v>0</v>
      </c>
      <c r="AE217">
        <f t="shared" si="81"/>
        <v>0</v>
      </c>
    </row>
    <row r="218" spans="1:31" x14ac:dyDescent="0.2">
      <c r="A218" s="374">
        <v>12589</v>
      </c>
      <c r="B218" s="391">
        <f t="shared" si="103"/>
        <v>12.589</v>
      </c>
      <c r="C218" s="364">
        <f t="shared" si="84"/>
        <v>16.138743942703968</v>
      </c>
      <c r="D218" s="365">
        <f t="shared" si="85"/>
        <v>1.5087939177173029</v>
      </c>
      <c r="E218" s="365">
        <f t="shared" si="86"/>
        <v>1.0112772743107197</v>
      </c>
      <c r="F218" s="366">
        <f t="shared" si="87"/>
        <v>0.14948112600528282</v>
      </c>
      <c r="G218" s="365">
        <f t="shared" si="88"/>
        <v>1</v>
      </c>
      <c r="H218" s="366">
        <f t="shared" si="89"/>
        <v>0</v>
      </c>
      <c r="I218" s="364">
        <f t="shared" si="90"/>
        <v>4273.9313480150731</v>
      </c>
      <c r="J218" s="367">
        <f t="shared" si="91"/>
        <v>1.570562350175317</v>
      </c>
      <c r="K218" s="375">
        <f t="shared" si="107"/>
        <v>2.7709039351476874</v>
      </c>
      <c r="L218" s="376">
        <f t="shared" si="108"/>
        <v>1.2015710156142443</v>
      </c>
      <c r="M218" s="364">
        <f t="shared" si="92"/>
        <v>1.0005694661990383</v>
      </c>
      <c r="N218" s="367">
        <f t="shared" si="93"/>
        <v>3.3740067788015131E-2</v>
      </c>
      <c r="O218" s="368">
        <f t="shared" si="94"/>
        <v>1.0350911488547183</v>
      </c>
      <c r="P218" s="369">
        <f t="shared" si="95"/>
        <v>0.30484778844432009</v>
      </c>
      <c r="Q218" s="370">
        <f t="shared" si="96"/>
        <v>1.8909096268945647</v>
      </c>
      <c r="R218" s="371">
        <f t="shared" si="97"/>
        <v>-118.42418744230797</v>
      </c>
      <c r="S218" s="373">
        <f t="shared" si="98"/>
        <v>61.575812557692032</v>
      </c>
      <c r="U218" s="346">
        <f t="shared" si="104"/>
        <v>1000000000</v>
      </c>
      <c r="V218" s="346">
        <f t="shared" si="105"/>
        <v>158482921</v>
      </c>
      <c r="X218" s="372">
        <f t="shared" si="99"/>
        <v>24.327607971651076</v>
      </c>
      <c r="Y218" s="373">
        <f t="shared" si="100"/>
        <v>-23.074809658354589</v>
      </c>
      <c r="AA218" s="372">
        <f t="shared" si="101"/>
        <v>29.043927009797869</v>
      </c>
      <c r="AB218" s="373">
        <f t="shared" si="102"/>
        <v>-95.349377783953372</v>
      </c>
      <c r="AD218">
        <f t="shared" si="106"/>
        <v>0</v>
      </c>
      <c r="AE218">
        <f t="shared" ref="AE218:AE281" si="109">IF(AD218&gt;0,S218,0)</f>
        <v>0</v>
      </c>
    </row>
    <row r="219" spans="1:31" x14ac:dyDescent="0.2">
      <c r="A219" s="374">
        <v>12662.25</v>
      </c>
      <c r="B219" s="391">
        <f t="shared" si="103"/>
        <v>12.66225</v>
      </c>
      <c r="C219" s="364">
        <f t="shared" si="84"/>
        <v>16.232288887082035</v>
      </c>
      <c r="D219" s="365">
        <f t="shared" si="85"/>
        <v>1.5091516855805869</v>
      </c>
      <c r="E219" s="365">
        <f t="shared" si="86"/>
        <v>1.0114081490380318</v>
      </c>
      <c r="F219" s="366">
        <f t="shared" si="87"/>
        <v>0.15033788327431025</v>
      </c>
      <c r="G219" s="365">
        <f t="shared" si="88"/>
        <v>1</v>
      </c>
      <c r="H219" s="366">
        <f t="shared" si="89"/>
        <v>0</v>
      </c>
      <c r="I219" s="364">
        <f t="shared" si="90"/>
        <v>4298.7995229418248</v>
      </c>
      <c r="J219" s="367">
        <f t="shared" si="91"/>
        <v>1.5705637037093858</v>
      </c>
      <c r="K219" s="375">
        <f t="shared" si="107"/>
        <v>2.7849320431069864</v>
      </c>
      <c r="L219" s="376">
        <f t="shared" si="108"/>
        <v>1.203519517518687</v>
      </c>
      <c r="M219" s="364">
        <f t="shared" si="92"/>
        <v>1.0005761105252691</v>
      </c>
      <c r="N219" s="367">
        <f t="shared" si="93"/>
        <v>3.3936236534426886E-2</v>
      </c>
      <c r="O219" s="368">
        <f t="shared" si="94"/>
        <v>1.0354945872451671</v>
      </c>
      <c r="P219" s="369">
        <f t="shared" si="95"/>
        <v>0.30655579017736101</v>
      </c>
      <c r="Q219" s="370">
        <f t="shared" si="96"/>
        <v>1.8318602068805836</v>
      </c>
      <c r="R219" s="371">
        <f t="shared" si="97"/>
        <v>-118.39313500353951</v>
      </c>
      <c r="S219" s="373">
        <f t="shared" si="98"/>
        <v>61.606864996460487</v>
      </c>
      <c r="U219" s="346">
        <f t="shared" si="104"/>
        <v>1000000000</v>
      </c>
      <c r="V219" s="346">
        <f t="shared" si="105"/>
        <v>160332575.0625</v>
      </c>
      <c r="X219" s="372">
        <f t="shared" si="99"/>
        <v>24.321019943535699</v>
      </c>
      <c r="Y219" s="373">
        <f t="shared" si="100"/>
        <v>-22.974485915773521</v>
      </c>
      <c r="AA219" s="372">
        <f t="shared" si="101"/>
        <v>28.991465617899252</v>
      </c>
      <c r="AB219" s="373">
        <f t="shared" si="102"/>
        <v>-95.418649087765957</v>
      </c>
      <c r="AD219">
        <f t="shared" si="106"/>
        <v>0</v>
      </c>
      <c r="AE219">
        <f t="shared" si="109"/>
        <v>0</v>
      </c>
    </row>
    <row r="220" spans="1:31" x14ac:dyDescent="0.2">
      <c r="A220" s="374">
        <v>12735.5</v>
      </c>
      <c r="B220" s="391">
        <f t="shared" si="103"/>
        <v>12.7355</v>
      </c>
      <c r="C220" s="364">
        <f t="shared" si="84"/>
        <v>16.325835885348045</v>
      </c>
      <c r="D220" s="365">
        <f t="shared" si="85"/>
        <v>1.5095053534708074</v>
      </c>
      <c r="E220" s="365">
        <f t="shared" si="86"/>
        <v>1.0115397659798944</v>
      </c>
      <c r="F220" s="366">
        <f t="shared" si="87"/>
        <v>0.15119441821722829</v>
      </c>
      <c r="G220" s="365">
        <f t="shared" si="88"/>
        <v>1</v>
      </c>
      <c r="H220" s="366">
        <f t="shared" si="89"/>
        <v>0</v>
      </c>
      <c r="I220" s="364">
        <f t="shared" si="90"/>
        <v>4323.6676978763635</v>
      </c>
      <c r="J220" s="367">
        <f t="shared" si="91"/>
        <v>1.5705650416733765</v>
      </c>
      <c r="K220" s="375">
        <f t="shared" si="107"/>
        <v>2.7989706184965408</v>
      </c>
      <c r="L220" s="376">
        <f t="shared" si="108"/>
        <v>1.2054484807921173</v>
      </c>
      <c r="M220" s="364">
        <f t="shared" si="92"/>
        <v>1.0005827933553348</v>
      </c>
      <c r="N220" s="367">
        <f t="shared" si="93"/>
        <v>3.4132402667989815E-2</v>
      </c>
      <c r="O220" s="368">
        <f t="shared" si="94"/>
        <v>1.035900228941451</v>
      </c>
      <c r="P220" s="369">
        <f t="shared" si="95"/>
        <v>0.30826270710754289</v>
      </c>
      <c r="Q220" s="370">
        <f t="shared" si="96"/>
        <v>1.7731896779286238</v>
      </c>
      <c r="R220" s="371">
        <f t="shared" si="97"/>
        <v>-118.36291667663112</v>
      </c>
      <c r="S220" s="373">
        <f t="shared" si="98"/>
        <v>61.637083323368884</v>
      </c>
      <c r="U220" s="346">
        <f t="shared" si="104"/>
        <v>1000000000</v>
      </c>
      <c r="V220" s="346">
        <f t="shared" si="105"/>
        <v>162192960.25</v>
      </c>
      <c r="X220" s="372">
        <f t="shared" si="99"/>
        <v>24.314534356066257</v>
      </c>
      <c r="Y220" s="373">
        <f t="shared" si="100"/>
        <v>-22.875280612483234</v>
      </c>
      <c r="AA220" s="372">
        <f t="shared" si="101"/>
        <v>28.939280676416743</v>
      </c>
      <c r="AB220" s="373">
        <f t="shared" si="102"/>
        <v>-95.487636064147893</v>
      </c>
      <c r="AD220">
        <f t="shared" si="106"/>
        <v>0</v>
      </c>
      <c r="AE220">
        <f t="shared" si="109"/>
        <v>0</v>
      </c>
    </row>
    <row r="221" spans="1:31" x14ac:dyDescent="0.2">
      <c r="A221" s="374">
        <v>12808.75</v>
      </c>
      <c r="B221" s="391">
        <f t="shared" si="103"/>
        <v>12.80875</v>
      </c>
      <c r="C221" s="364">
        <f t="shared" si="84"/>
        <v>16.419384902396832</v>
      </c>
      <c r="D221" s="365">
        <f t="shared" si="85"/>
        <v>1.5098549913771944</v>
      </c>
      <c r="E221" s="365">
        <f t="shared" si="86"/>
        <v>1.0116721248466247</v>
      </c>
      <c r="F221" s="366">
        <f t="shared" si="87"/>
        <v>0.15205072966425881</v>
      </c>
      <c r="G221" s="365">
        <f t="shared" si="88"/>
        <v>1</v>
      </c>
      <c r="H221" s="366">
        <f t="shared" si="89"/>
        <v>0</v>
      </c>
      <c r="I221" s="364">
        <f t="shared" si="90"/>
        <v>4348.535872818552</v>
      </c>
      <c r="J221" s="367">
        <f t="shared" si="91"/>
        <v>1.5705663643344132</v>
      </c>
      <c r="K221" s="375">
        <f t="shared" si="107"/>
        <v>2.8130195046009727</v>
      </c>
      <c r="L221" s="376">
        <f t="shared" si="108"/>
        <v>1.2073581837128295</v>
      </c>
      <c r="M221" s="364">
        <f t="shared" si="92"/>
        <v>1.0005895146884638</v>
      </c>
      <c r="N221" s="367">
        <f t="shared" si="93"/>
        <v>3.4328566173659016E-2</v>
      </c>
      <c r="O221" s="368">
        <f t="shared" si="94"/>
        <v>1.0363080717235413</v>
      </c>
      <c r="P221" s="369">
        <f t="shared" si="95"/>
        <v>0.30996853459721369</v>
      </c>
      <c r="Q221" s="370">
        <f t="shared" si="96"/>
        <v>1.7148927144311905</v>
      </c>
      <c r="R221" s="371">
        <f t="shared" si="97"/>
        <v>-118.33352034324707</v>
      </c>
      <c r="S221" s="373">
        <f t="shared" si="98"/>
        <v>61.666479656752927</v>
      </c>
      <c r="U221" s="346">
        <f t="shared" si="104"/>
        <v>1000000000</v>
      </c>
      <c r="V221" s="346">
        <f t="shared" si="105"/>
        <v>164064076.5625</v>
      </c>
      <c r="X221" s="372">
        <f t="shared" si="99"/>
        <v>24.308149108440219</v>
      </c>
      <c r="Y221" s="373">
        <f t="shared" si="100"/>
        <v>-22.777177818754978</v>
      </c>
      <c r="AA221" s="372">
        <f t="shared" si="101"/>
        <v>28.887368960545352</v>
      </c>
      <c r="AB221" s="373">
        <f t="shared" si="102"/>
        <v>-95.556342524492095</v>
      </c>
      <c r="AD221">
        <f t="shared" si="106"/>
        <v>0</v>
      </c>
      <c r="AE221">
        <f t="shared" si="109"/>
        <v>0</v>
      </c>
    </row>
    <row r="222" spans="1:31" x14ac:dyDescent="0.2">
      <c r="A222" s="374">
        <v>12882</v>
      </c>
      <c r="B222" s="391">
        <f t="shared" si="103"/>
        <v>12.882</v>
      </c>
      <c r="C222" s="364">
        <f t="shared" si="84"/>
        <v>16.512935903918002</v>
      </c>
      <c r="D222" s="365">
        <f t="shared" si="85"/>
        <v>1.5102006677069253</v>
      </c>
      <c r="E222" s="365">
        <f t="shared" si="86"/>
        <v>1.0118052253470591</v>
      </c>
      <c r="F222" s="366">
        <f t="shared" si="87"/>
        <v>0.15290681644754511</v>
      </c>
      <c r="G222" s="365">
        <f t="shared" si="88"/>
        <v>1</v>
      </c>
      <c r="H222" s="366">
        <f t="shared" si="89"/>
        <v>0</v>
      </c>
      <c r="I222" s="364">
        <f t="shared" si="90"/>
        <v>4373.4040477682629</v>
      </c>
      <c r="J222" s="367">
        <f t="shared" si="91"/>
        <v>1.570567671953544</v>
      </c>
      <c r="K222" s="375">
        <f t="shared" si="107"/>
        <v>2.8270785477060656</v>
      </c>
      <c r="L222" s="376">
        <f t="shared" si="108"/>
        <v>1.209248899591659</v>
      </c>
      <c r="M222" s="364">
        <f t="shared" si="92"/>
        <v>1.0005962745238801</v>
      </c>
      <c r="N222" s="367">
        <f t="shared" si="93"/>
        <v>3.4524727036390826E-2</v>
      </c>
      <c r="O222" s="368">
        <f t="shared" si="94"/>
        <v>1.0367181133629926</v>
      </c>
      <c r="P222" s="369">
        <f t="shared" si="95"/>
        <v>0.31167326803330109</v>
      </c>
      <c r="Q222" s="370">
        <f t="shared" si="96"/>
        <v>1.6569640981058784</v>
      </c>
      <c r="R222" s="371">
        <f t="shared" si="97"/>
        <v>-118.30493407997129</v>
      </c>
      <c r="S222" s="373">
        <f t="shared" si="98"/>
        <v>61.695065920028711</v>
      </c>
      <c r="U222" s="346">
        <f t="shared" si="104"/>
        <v>1000000000</v>
      </c>
      <c r="V222" s="346">
        <f t="shared" si="105"/>
        <v>165945924</v>
      </c>
      <c r="X222" s="372">
        <f t="shared" si="99"/>
        <v>24.301862152158556</v>
      </c>
      <c r="Y222" s="373">
        <f t="shared" si="100"/>
        <v>-22.680161889126406</v>
      </c>
      <c r="AA222" s="372">
        <f t="shared" si="101"/>
        <v>28.835727300501702</v>
      </c>
      <c r="AB222" s="373">
        <f t="shared" si="102"/>
        <v>-95.624772190844851</v>
      </c>
      <c r="AD222">
        <f t="shared" si="106"/>
        <v>0</v>
      </c>
      <c r="AE222">
        <f t="shared" si="109"/>
        <v>0</v>
      </c>
    </row>
    <row r="223" spans="1:31" x14ac:dyDescent="0.2">
      <c r="A223" s="374">
        <v>12957.25</v>
      </c>
      <c r="B223" s="391">
        <f t="shared" si="103"/>
        <v>12.95725</v>
      </c>
      <c r="C223" s="364">
        <f t="shared" si="84"/>
        <v>16.609043230246979</v>
      </c>
      <c r="D223" s="365">
        <f t="shared" si="85"/>
        <v>1.5105517272521214</v>
      </c>
      <c r="E223" s="365">
        <f t="shared" si="86"/>
        <v>1.0119427319675527</v>
      </c>
      <c r="F223" s="366">
        <f t="shared" si="87"/>
        <v>0.15378604244011154</v>
      </c>
      <c r="G223" s="365">
        <f t="shared" si="88"/>
        <v>1</v>
      </c>
      <c r="H223" s="366">
        <f t="shared" si="89"/>
        <v>0</v>
      </c>
      <c r="I223" s="364">
        <f t="shared" si="90"/>
        <v>4398.9512172635459</v>
      </c>
      <c r="J223" s="367">
        <f t="shared" si="91"/>
        <v>1.5705689998800882</v>
      </c>
      <c r="K223" s="375">
        <f t="shared" si="107"/>
        <v>2.8415318738206956</v>
      </c>
      <c r="L223" s="376">
        <f t="shared" si="108"/>
        <v>1.2111717494170862</v>
      </c>
      <c r="M223" s="364">
        <f t="shared" si="92"/>
        <v>1.0006032590208862</v>
      </c>
      <c r="N223" s="367">
        <f t="shared" si="93"/>
        <v>3.4726241059142904E-2</v>
      </c>
      <c r="O223" s="368">
        <f t="shared" si="94"/>
        <v>1.0371416380606751</v>
      </c>
      <c r="P223" s="369">
        <f t="shared" si="95"/>
        <v>0.31342340300178145</v>
      </c>
      <c r="Q223" s="370">
        <f t="shared" si="96"/>
        <v>1.597832010664427</v>
      </c>
      <c r="R223" s="371">
        <f t="shared" si="97"/>
        <v>-118.27639852686457</v>
      </c>
      <c r="S223" s="373">
        <f t="shared" si="98"/>
        <v>61.723601473135432</v>
      </c>
      <c r="U223" s="346">
        <f t="shared" si="104"/>
        <v>1000000000</v>
      </c>
      <c r="V223" s="346">
        <f t="shared" si="105"/>
        <v>167890327.5625</v>
      </c>
      <c r="X223" s="372">
        <f t="shared" si="99"/>
        <v>24.295503793075618</v>
      </c>
      <c r="Y223" s="373">
        <f t="shared" si="100"/>
        <v>-22.581612696982241</v>
      </c>
      <c r="AA223" s="372">
        <f t="shared" si="101"/>
        <v>28.782953572143185</v>
      </c>
      <c r="AB223" s="373">
        <f t="shared" si="102"/>
        <v>-95.694785829882306</v>
      </c>
      <c r="AD223">
        <f t="shared" si="106"/>
        <v>0</v>
      </c>
      <c r="AE223">
        <f t="shared" si="109"/>
        <v>0</v>
      </c>
    </row>
    <row r="224" spans="1:31" x14ac:dyDescent="0.2">
      <c r="A224" s="374">
        <v>13032.5</v>
      </c>
      <c r="B224" s="391">
        <f t="shared" si="103"/>
        <v>13.032500000000001</v>
      </c>
      <c r="C224" s="364">
        <f t="shared" si="84"/>
        <v>16.70515257996809</v>
      </c>
      <c r="D224" s="365">
        <f t="shared" si="85"/>
        <v>1.5108987473549194</v>
      </c>
      <c r="E224" s="365">
        <f t="shared" si="86"/>
        <v>1.0120810206456625</v>
      </c>
      <c r="F224" s="366">
        <f t="shared" si="87"/>
        <v>0.15466502884073552</v>
      </c>
      <c r="G224" s="365">
        <f t="shared" si="88"/>
        <v>1</v>
      </c>
      <c r="H224" s="366">
        <f t="shared" si="89"/>
        <v>0</v>
      </c>
      <c r="I224" s="364">
        <f t="shared" si="90"/>
        <v>4424.4983867664978</v>
      </c>
      <c r="J224" s="367">
        <f t="shared" si="91"/>
        <v>1.5705703124716675</v>
      </c>
      <c r="K224" s="375">
        <f t="shared" si="107"/>
        <v>2.8559955997180104</v>
      </c>
      <c r="L224" s="376">
        <f t="shared" si="108"/>
        <v>1.2130751302993854</v>
      </c>
      <c r="M224" s="364">
        <f t="shared" si="92"/>
        <v>1.0006102841497224</v>
      </c>
      <c r="N224" s="367">
        <f t="shared" si="93"/>
        <v>3.4927752260480734E-2</v>
      </c>
      <c r="O224" s="368">
        <f t="shared" si="94"/>
        <v>1.0375674785342468</v>
      </c>
      <c r="P224" s="369">
        <f t="shared" si="95"/>
        <v>0.31517237356767491</v>
      </c>
      <c r="Q224" s="370">
        <f t="shared" si="96"/>
        <v>1.5390778311007638</v>
      </c>
      <c r="R224" s="371">
        <f t="shared" si="97"/>
        <v>-118.2486929909999</v>
      </c>
      <c r="S224" s="373">
        <f t="shared" si="98"/>
        <v>61.751307009000101</v>
      </c>
      <c r="U224" s="346">
        <f t="shared" si="104"/>
        <v>1000000000</v>
      </c>
      <c r="V224" s="346">
        <f t="shared" si="105"/>
        <v>169846056.25</v>
      </c>
      <c r="X224" s="372">
        <f t="shared" si="99"/>
        <v>24.289244946304787</v>
      </c>
      <c r="Y224" s="373">
        <f t="shared" si="100"/>
        <v>-22.484177952828254</v>
      </c>
      <c r="AA224" s="372">
        <f t="shared" si="101"/>
        <v>28.730458239350352</v>
      </c>
      <c r="AB224" s="373">
        <f t="shared" si="102"/>
        <v>-95.764515038171652</v>
      </c>
      <c r="AD224">
        <f t="shared" si="106"/>
        <v>0</v>
      </c>
      <c r="AE224">
        <f t="shared" si="109"/>
        <v>0</v>
      </c>
    </row>
    <row r="225" spans="1:31" x14ac:dyDescent="0.2">
      <c r="A225" s="374">
        <v>13107.75</v>
      </c>
      <c r="B225" s="391">
        <f t="shared" si="103"/>
        <v>13.107749999999999</v>
      </c>
      <c r="C225" s="364">
        <f t="shared" si="84"/>
        <v>16.801263918357716</v>
      </c>
      <c r="D225" s="365">
        <f t="shared" si="85"/>
        <v>1.5112417972536956</v>
      </c>
      <c r="E225" s="365">
        <f t="shared" si="86"/>
        <v>1.0122200910608565</v>
      </c>
      <c r="F225" s="366">
        <f t="shared" si="87"/>
        <v>0.15554377438965541</v>
      </c>
      <c r="G225" s="365">
        <f t="shared" si="88"/>
        <v>1</v>
      </c>
      <c r="H225" s="366">
        <f t="shared" si="89"/>
        <v>0</v>
      </c>
      <c r="I225" s="364">
        <f t="shared" si="90"/>
        <v>4450.0455562769848</v>
      </c>
      <c r="J225" s="367">
        <f t="shared" si="91"/>
        <v>1.5705716099923899</v>
      </c>
      <c r="K225" s="375">
        <f t="shared" si="107"/>
        <v>2.8704695681906975</v>
      </c>
      <c r="L225" s="376">
        <f t="shared" si="108"/>
        <v>1.21495932285084</v>
      </c>
      <c r="M225" s="364">
        <f t="shared" si="92"/>
        <v>1.000617349909533</v>
      </c>
      <c r="N225" s="367">
        <f t="shared" si="93"/>
        <v>3.5129260624098498E-2</v>
      </c>
      <c r="O225" s="368">
        <f t="shared" si="94"/>
        <v>1.0379956323403707</v>
      </c>
      <c r="P225" s="369">
        <f t="shared" si="95"/>
        <v>0.31692017481096479</v>
      </c>
      <c r="Q225" s="370">
        <f t="shared" si="96"/>
        <v>1.4806962378248547</v>
      </c>
      <c r="R225" s="371">
        <f t="shared" si="97"/>
        <v>-118.22180516602545</v>
      </c>
      <c r="S225" s="373">
        <f t="shared" si="98"/>
        <v>61.778194833974553</v>
      </c>
      <c r="U225" s="346">
        <f t="shared" si="104"/>
        <v>1000000000</v>
      </c>
      <c r="V225" s="346">
        <f t="shared" si="105"/>
        <v>171813110.0625</v>
      </c>
      <c r="X225" s="372">
        <f t="shared" si="99"/>
        <v>24.283083553440985</v>
      </c>
      <c r="Y225" s="373">
        <f t="shared" si="100"/>
        <v>-22.387841592962953</v>
      </c>
      <c r="AA225" s="372">
        <f t="shared" si="101"/>
        <v>28.678238038938243</v>
      </c>
      <c r="AB225" s="373">
        <f t="shared" si="102"/>
        <v>-95.833963573062491</v>
      </c>
      <c r="AD225">
        <f t="shared" si="106"/>
        <v>0</v>
      </c>
      <c r="AE225">
        <f t="shared" si="109"/>
        <v>0</v>
      </c>
    </row>
    <row r="226" spans="1:31" x14ac:dyDescent="0.2">
      <c r="A226" s="374">
        <v>13183</v>
      </c>
      <c r="B226" s="391">
        <f t="shared" si="103"/>
        <v>13.183</v>
      </c>
      <c r="C226" s="364">
        <f t="shared" si="84"/>
        <v>16.897377211481547</v>
      </c>
      <c r="D226" s="365">
        <f t="shared" si="85"/>
        <v>1.511580944615285</v>
      </c>
      <c r="E226" s="365">
        <f t="shared" si="86"/>
        <v>1.0123599428909671</v>
      </c>
      <c r="F226" s="366">
        <f t="shared" si="87"/>
        <v>0.15642227782928766</v>
      </c>
      <c r="G226" s="365">
        <f t="shared" si="88"/>
        <v>1</v>
      </c>
      <c r="H226" s="366">
        <f t="shared" si="89"/>
        <v>0</v>
      </c>
      <c r="I226" s="364">
        <f t="shared" si="90"/>
        <v>4475.5927257948779</v>
      </c>
      <c r="J226" s="367">
        <f t="shared" si="91"/>
        <v>1.5705728927003337</v>
      </c>
      <c r="K226" s="375">
        <f t="shared" si="107"/>
        <v>2.8849536250760965</v>
      </c>
      <c r="L226" s="376">
        <f t="shared" si="108"/>
        <v>1.2168246025993954</v>
      </c>
      <c r="M226" s="364">
        <f t="shared" si="92"/>
        <v>1.0006244562994575</v>
      </c>
      <c r="N226" s="367">
        <f t="shared" si="93"/>
        <v>3.5330766133691731E-2</v>
      </c>
      <c r="O226" s="368">
        <f t="shared" si="94"/>
        <v>1.038426097026623</v>
      </c>
      <c r="P226" s="369">
        <f t="shared" si="95"/>
        <v>0.31866680183920398</v>
      </c>
      <c r="Q226" s="370">
        <f t="shared" si="96"/>
        <v>1.4226820169466559</v>
      </c>
      <c r="R226" s="371">
        <f t="shared" si="97"/>
        <v>-118.19572294796701</v>
      </c>
      <c r="S226" s="373">
        <f t="shared" si="98"/>
        <v>61.804277052032987</v>
      </c>
      <c r="U226" s="346">
        <f t="shared" si="104"/>
        <v>1000000000</v>
      </c>
      <c r="V226" s="346">
        <f t="shared" si="105"/>
        <v>173791489</v>
      </c>
      <c r="X226" s="372">
        <f t="shared" si="99"/>
        <v>24.27701760779604</v>
      </c>
      <c r="Y226" s="373">
        <f t="shared" si="100"/>
        <v>-22.292587844650512</v>
      </c>
      <c r="AA226" s="372">
        <f t="shared" si="101"/>
        <v>28.626289763704989</v>
      </c>
      <c r="AB226" s="373">
        <f t="shared" si="102"/>
        <v>-95.903135103316529</v>
      </c>
      <c r="AD226">
        <f t="shared" si="106"/>
        <v>0</v>
      </c>
      <c r="AE226">
        <f t="shared" si="109"/>
        <v>0</v>
      </c>
    </row>
    <row r="227" spans="1:31" x14ac:dyDescent="0.2">
      <c r="A227" s="374">
        <v>13259.75</v>
      </c>
      <c r="B227" s="391">
        <f t="shared" si="103"/>
        <v>13.25975</v>
      </c>
      <c r="C227" s="364">
        <f t="shared" si="84"/>
        <v>16.995408363383586</v>
      </c>
      <c r="D227" s="365">
        <f t="shared" si="85"/>
        <v>1.5119229009650161</v>
      </c>
      <c r="E227" s="365">
        <f t="shared" si="86"/>
        <v>1.012503387064158</v>
      </c>
      <c r="F227" s="366">
        <f t="shared" si="87"/>
        <v>0.15731804226709131</v>
      </c>
      <c r="G227" s="365">
        <f t="shared" si="88"/>
        <v>1</v>
      </c>
      <c r="H227" s="366">
        <f t="shared" si="89"/>
        <v>0</v>
      </c>
      <c r="I227" s="364">
        <f t="shared" si="90"/>
        <v>4501.6491412242813</v>
      </c>
      <c r="J227" s="367">
        <f t="shared" si="91"/>
        <v>1.5705741859800857</v>
      </c>
      <c r="K227" s="375">
        <f t="shared" si="107"/>
        <v>2.8997366360083436</v>
      </c>
      <c r="L227" s="376">
        <f t="shared" si="108"/>
        <v>1.2187078624652401</v>
      </c>
      <c r="M227" s="364">
        <f t="shared" si="92"/>
        <v>1.000631746197137</v>
      </c>
      <c r="N227" s="367">
        <f t="shared" si="93"/>
        <v>3.5536285407573254E-2</v>
      </c>
      <c r="O227" s="368">
        <f t="shared" si="94"/>
        <v>1.0388675202872002</v>
      </c>
      <c r="P227" s="369">
        <f t="shared" si="95"/>
        <v>0.32044703075088699</v>
      </c>
      <c r="Q227" s="370">
        <f t="shared" si="96"/>
        <v>1.3638844991843442</v>
      </c>
      <c r="R227" s="371">
        <f t="shared" si="97"/>
        <v>-118.16993832947165</v>
      </c>
      <c r="S227" s="373">
        <f t="shared" si="98"/>
        <v>61.830061670528352</v>
      </c>
      <c r="U227" s="346">
        <f t="shared" si="104"/>
        <v>1000000000</v>
      </c>
      <c r="V227" s="346">
        <f t="shared" si="105"/>
        <v>175820970.0625</v>
      </c>
      <c r="X227" s="372">
        <f t="shared" si="99"/>
        <v>24.270927037857973</v>
      </c>
      <c r="Y227" s="373">
        <f t="shared" si="100"/>
        <v>-22.196534488975001</v>
      </c>
      <c r="AA227" s="372">
        <f t="shared" si="101"/>
        <v>28.573582815880748</v>
      </c>
      <c r="AB227" s="373">
        <f t="shared" si="102"/>
        <v>-95.973403840496658</v>
      </c>
      <c r="AD227">
        <f t="shared" si="106"/>
        <v>0</v>
      </c>
      <c r="AE227">
        <f t="shared" si="109"/>
        <v>0</v>
      </c>
    </row>
    <row r="228" spans="1:31" x14ac:dyDescent="0.2">
      <c r="A228" s="374">
        <v>13336.5</v>
      </c>
      <c r="B228" s="391">
        <f t="shared" si="103"/>
        <v>13.336499999999999</v>
      </c>
      <c r="C228" s="364">
        <f t="shared" si="84"/>
        <v>17.093441479834141</v>
      </c>
      <c r="D228" s="365">
        <f t="shared" si="85"/>
        <v>1.5122609350253615</v>
      </c>
      <c r="E228" s="365">
        <f t="shared" si="86"/>
        <v>1.012647643433374</v>
      </c>
      <c r="F228" s="366">
        <f t="shared" si="87"/>
        <v>0.1582135522116512</v>
      </c>
      <c r="G228" s="365">
        <f t="shared" si="88"/>
        <v>1</v>
      </c>
      <c r="H228" s="366">
        <f t="shared" si="89"/>
        <v>0</v>
      </c>
      <c r="I228" s="364">
        <f t="shared" si="90"/>
        <v>4527.705556661127</v>
      </c>
      <c r="J228" s="367">
        <f t="shared" si="91"/>
        <v>1.5705754643744907</v>
      </c>
      <c r="K228" s="375">
        <f t="shared" si="107"/>
        <v>2.9145298269931534</v>
      </c>
      <c r="L228" s="376">
        <f t="shared" si="108"/>
        <v>1.2205720112763998</v>
      </c>
      <c r="M228" s="364">
        <f t="shared" si="92"/>
        <v>1.0006390783590553</v>
      </c>
      <c r="N228" s="367">
        <f t="shared" si="93"/>
        <v>3.5741801678258939E-2</v>
      </c>
      <c r="O228" s="368">
        <f t="shared" si="94"/>
        <v>1.0393113422924947</v>
      </c>
      <c r="P228" s="369">
        <f t="shared" si="95"/>
        <v>0.32222602797582317</v>
      </c>
      <c r="Q228" s="370">
        <f t="shared" si="96"/>
        <v>1.3054585204762841</v>
      </c>
      <c r="R228" s="371">
        <f t="shared" si="97"/>
        <v>-118.14496694912339</v>
      </c>
      <c r="S228" s="373">
        <f t="shared" si="98"/>
        <v>61.855033050876614</v>
      </c>
      <c r="U228" s="346">
        <f t="shared" si="104"/>
        <v>1000000000</v>
      </c>
      <c r="V228" s="346">
        <f t="shared" si="105"/>
        <v>177862232.25</v>
      </c>
      <c r="X228" s="372">
        <f t="shared" si="99"/>
        <v>24.264931699530081</v>
      </c>
      <c r="Y228" s="373">
        <f t="shared" si="100"/>
        <v>-22.101575091138233</v>
      </c>
      <c r="AA228" s="372">
        <f t="shared" si="101"/>
        <v>28.521152175500582</v>
      </c>
      <c r="AB228" s="373">
        <f t="shared" si="102"/>
        <v>-96.043391857985142</v>
      </c>
      <c r="AD228">
        <f t="shared" si="106"/>
        <v>0</v>
      </c>
      <c r="AE228">
        <f t="shared" si="109"/>
        <v>0</v>
      </c>
    </row>
    <row r="229" spans="1:31" x14ac:dyDescent="0.2">
      <c r="A229" s="374">
        <v>13413.25</v>
      </c>
      <c r="B229" s="391">
        <f t="shared" si="103"/>
        <v>13.41325</v>
      </c>
      <c r="C229" s="364">
        <f t="shared" si="84"/>
        <v>17.191476527225138</v>
      </c>
      <c r="D229" s="365">
        <f t="shared" si="85"/>
        <v>1.512595113819412</v>
      </c>
      <c r="E229" s="365">
        <f t="shared" si="86"/>
        <v>1.0127927116515614</v>
      </c>
      <c r="F229" s="366">
        <f t="shared" si="87"/>
        <v>0.15910880633573427</v>
      </c>
      <c r="G229" s="365">
        <f t="shared" si="88"/>
        <v>1</v>
      </c>
      <c r="H229" s="366">
        <f t="shared" si="89"/>
        <v>0</v>
      </c>
      <c r="I229" s="364">
        <f t="shared" si="90"/>
        <v>4553.761972105287</v>
      </c>
      <c r="J229" s="367">
        <f t="shared" si="91"/>
        <v>1.5705767281390681</v>
      </c>
      <c r="K229" s="375">
        <f t="shared" si="107"/>
        <v>2.9293330438021155</v>
      </c>
      <c r="L229" s="376">
        <f t="shared" si="108"/>
        <v>1.2224173257076778</v>
      </c>
      <c r="M229" s="364">
        <f t="shared" si="92"/>
        <v>1.0006464527842838</v>
      </c>
      <c r="N229" s="367">
        <f t="shared" si="93"/>
        <v>3.5947314928454231E-2</v>
      </c>
      <c r="O229" s="368">
        <f t="shared" si="94"/>
        <v>1.0397575604117477</v>
      </c>
      <c r="P229" s="369">
        <f t="shared" si="95"/>
        <v>0.32400378841204031</v>
      </c>
      <c r="Q229" s="370">
        <f t="shared" si="96"/>
        <v>1.2473988775127767</v>
      </c>
      <c r="R229" s="371">
        <f t="shared" si="97"/>
        <v>-118.12079659213653</v>
      </c>
      <c r="S229" s="373">
        <f t="shared" si="98"/>
        <v>61.879203407863471</v>
      </c>
      <c r="U229" s="346">
        <f t="shared" si="104"/>
        <v>1000000000</v>
      </c>
      <c r="V229" s="346">
        <f t="shared" si="105"/>
        <v>179915275.5625</v>
      </c>
      <c r="X229" s="372">
        <f t="shared" si="99"/>
        <v>24.259029620334367</v>
      </c>
      <c r="Y229" s="373">
        <f t="shared" si="100"/>
        <v>-22.007693812490935</v>
      </c>
      <c r="AA229" s="372">
        <f t="shared" si="101"/>
        <v>28.468994611732789</v>
      </c>
      <c r="AB229" s="373">
        <f t="shared" si="102"/>
        <v>-96.113102779645615</v>
      </c>
      <c r="AD229">
        <f t="shared" si="106"/>
        <v>0</v>
      </c>
      <c r="AE229">
        <f t="shared" si="109"/>
        <v>0</v>
      </c>
    </row>
    <row r="230" spans="1:31" x14ac:dyDescent="0.2">
      <c r="A230" s="374">
        <v>13490</v>
      </c>
      <c r="B230" s="391">
        <f t="shared" si="103"/>
        <v>13.49</v>
      </c>
      <c r="C230" s="364">
        <f t="shared" si="84"/>
        <v>17.289513472710116</v>
      </c>
      <c r="D230" s="365">
        <f t="shared" si="85"/>
        <v>1.5129255028535815</v>
      </c>
      <c r="E230" s="365">
        <f t="shared" si="86"/>
        <v>1.0129385913699127</v>
      </c>
      <c r="F230" s="366">
        <f t="shared" si="87"/>
        <v>0.16000380331450578</v>
      </c>
      <c r="G230" s="365">
        <f t="shared" si="88"/>
        <v>1</v>
      </c>
      <c r="H230" s="366">
        <f t="shared" si="89"/>
        <v>0</v>
      </c>
      <c r="I230" s="364">
        <f t="shared" si="90"/>
        <v>4579.8183875566383</v>
      </c>
      <c r="J230" s="367">
        <f t="shared" si="91"/>
        <v>1.5705779775235231</v>
      </c>
      <c r="K230" s="375">
        <f t="shared" si="107"/>
        <v>2.9441461352051923</v>
      </c>
      <c r="L230" s="376">
        <f t="shared" si="108"/>
        <v>1.2242440773844134</v>
      </c>
      <c r="M230" s="364">
        <f t="shared" si="92"/>
        <v>1.0006538694718874</v>
      </c>
      <c r="N230" s="367">
        <f t="shared" si="93"/>
        <v>3.6152825140866131E-2</v>
      </c>
      <c r="O230" s="368">
        <f t="shared" si="94"/>
        <v>1.0402061720046867</v>
      </c>
      <c r="P230" s="369">
        <f t="shared" si="95"/>
        <v>0.32578030698758997</v>
      </c>
      <c r="Q230" s="370">
        <f t="shared" si="96"/>
        <v>1.1897004719700413</v>
      </c>
      <c r="R230" s="371">
        <f t="shared" si="97"/>
        <v>-118.09741524738907</v>
      </c>
      <c r="S230" s="373">
        <f t="shared" si="98"/>
        <v>61.902584752610935</v>
      </c>
      <c r="U230" s="346">
        <f t="shared" si="104"/>
        <v>1000000000</v>
      </c>
      <c r="V230" s="346">
        <f t="shared" si="105"/>
        <v>181980100</v>
      </c>
      <c r="X230" s="372">
        <f t="shared" si="99"/>
        <v>24.253218877440478</v>
      </c>
      <c r="Y230" s="373">
        <f t="shared" si="100"/>
        <v>-21.914875103363773</v>
      </c>
      <c r="AA230" s="372">
        <f t="shared" si="101"/>
        <v>28.417106949083937</v>
      </c>
      <c r="AB230" s="373">
        <f t="shared" si="102"/>
        <v>-96.182540144025296</v>
      </c>
      <c r="AD230">
        <f t="shared" si="106"/>
        <v>0</v>
      </c>
      <c r="AE230">
        <f t="shared" si="109"/>
        <v>0</v>
      </c>
    </row>
    <row r="231" spans="1:31" x14ac:dyDescent="0.2">
      <c r="A231" s="374">
        <v>13568.5</v>
      </c>
      <c r="B231" s="391">
        <f t="shared" si="103"/>
        <v>13.5685</v>
      </c>
      <c r="C231" s="364">
        <f t="shared" si="84"/>
        <v>17.38978771833261</v>
      </c>
      <c r="D231" s="365">
        <f t="shared" si="85"/>
        <v>1.5132595715598911</v>
      </c>
      <c r="E231" s="365">
        <f t="shared" si="86"/>
        <v>1.0130886364365141</v>
      </c>
      <c r="F231" s="366">
        <f t="shared" si="87"/>
        <v>0.16091894000510232</v>
      </c>
      <c r="G231" s="365">
        <f t="shared" si="88"/>
        <v>1</v>
      </c>
      <c r="H231" s="366">
        <f t="shared" si="89"/>
        <v>0</v>
      </c>
      <c r="I231" s="364">
        <f t="shared" si="90"/>
        <v>4606.4689232373166</v>
      </c>
      <c r="J231" s="367">
        <f t="shared" si="91"/>
        <v>1.5705792407742334</v>
      </c>
      <c r="K231" s="375">
        <f t="shared" si="107"/>
        <v>2.9593070447228662</v>
      </c>
      <c r="L231" s="376">
        <f t="shared" si="108"/>
        <v>1.2260935568590046</v>
      </c>
      <c r="M231" s="364">
        <f t="shared" si="92"/>
        <v>1.0006614989874696</v>
      </c>
      <c r="N231" s="367">
        <f t="shared" si="93"/>
        <v>3.6363018093392242E-2</v>
      </c>
      <c r="O231" s="368">
        <f t="shared" si="94"/>
        <v>1.0406674857218965</v>
      </c>
      <c r="P231" s="369">
        <f t="shared" si="95"/>
        <v>0.32759604258869762</v>
      </c>
      <c r="Q231" s="370">
        <f t="shared" si="96"/>
        <v>1.1310549470606275</v>
      </c>
      <c r="R231" s="371">
        <f t="shared" si="97"/>
        <v>-118.07430467071514</v>
      </c>
      <c r="S231" s="373">
        <f t="shared" si="98"/>
        <v>61.925695329284864</v>
      </c>
      <c r="U231" s="346">
        <f t="shared" si="104"/>
        <v>1000000000</v>
      </c>
      <c r="V231" s="346">
        <f t="shared" si="105"/>
        <v>184104192.25</v>
      </c>
      <c r="X231" s="372">
        <f t="shared" si="99"/>
        <v>24.247368172252479</v>
      </c>
      <c r="Y231" s="373">
        <f t="shared" si="100"/>
        <v>-21.821023283063699</v>
      </c>
      <c r="AA231" s="372">
        <f t="shared" si="101"/>
        <v>28.364312129362528</v>
      </c>
      <c r="AB231" s="373">
        <f t="shared" si="102"/>
        <v>-96.253281387651427</v>
      </c>
      <c r="AD231">
        <f t="shared" si="106"/>
        <v>0</v>
      </c>
      <c r="AE231">
        <f t="shared" si="109"/>
        <v>0</v>
      </c>
    </row>
    <row r="232" spans="1:31" x14ac:dyDescent="0.2">
      <c r="A232" s="374">
        <v>13647</v>
      </c>
      <c r="B232" s="391">
        <f t="shared" si="103"/>
        <v>13.647</v>
      </c>
      <c r="C232" s="364">
        <f t="shared" si="84"/>
        <v>17.490063882435066</v>
      </c>
      <c r="D232" s="365">
        <f t="shared" si="85"/>
        <v>1.5135898096559279</v>
      </c>
      <c r="E232" s="365">
        <f t="shared" si="86"/>
        <v>1.0132395296879912</v>
      </c>
      <c r="F232" s="366">
        <f t="shared" si="87"/>
        <v>0.16183380489444629</v>
      </c>
      <c r="G232" s="365">
        <f t="shared" si="88"/>
        <v>1</v>
      </c>
      <c r="H232" s="366">
        <f t="shared" si="89"/>
        <v>0</v>
      </c>
      <c r="I232" s="364">
        <f t="shared" si="90"/>
        <v>4633.1194589252618</v>
      </c>
      <c r="J232" s="367">
        <f t="shared" si="91"/>
        <v>1.5705804894920534</v>
      </c>
      <c r="K232" s="375">
        <f t="shared" si="107"/>
        <v>2.9744779735611298</v>
      </c>
      <c r="L232" s="376">
        <f t="shared" si="108"/>
        <v>1.2279241764946753</v>
      </c>
      <c r="M232" s="364">
        <f t="shared" si="92"/>
        <v>1.0006691727126795</v>
      </c>
      <c r="N232" s="367">
        <f t="shared" si="93"/>
        <v>3.6573207831435993E-2</v>
      </c>
      <c r="O232" s="368">
        <f t="shared" si="94"/>
        <v>1.0411312976886087</v>
      </c>
      <c r="P232" s="369">
        <f t="shared" si="95"/>
        <v>0.32941046841500393</v>
      </c>
      <c r="Q232" s="370">
        <f t="shared" si="96"/>
        <v>1.0727768568819509</v>
      </c>
      <c r="R232" s="371">
        <f t="shared" si="97"/>
        <v>-118.05199471705977</v>
      </c>
      <c r="S232" s="373">
        <f t="shared" si="98"/>
        <v>61.94800528294023</v>
      </c>
      <c r="U232" s="346">
        <f t="shared" si="104"/>
        <v>1000000000</v>
      </c>
      <c r="V232" s="346">
        <f t="shared" si="105"/>
        <v>186240609</v>
      </c>
      <c r="X232" s="372">
        <f t="shared" si="99"/>
        <v>24.241609099874108</v>
      </c>
      <c r="Y232" s="373">
        <f t="shared" si="100"/>
        <v>-21.728251035087737</v>
      </c>
      <c r="AA232" s="372">
        <f t="shared" si="101"/>
        <v>28.311793111562213</v>
      </c>
      <c r="AB232" s="373">
        <f t="shared" si="102"/>
        <v>-96.323743681972061</v>
      </c>
      <c r="AD232">
        <f t="shared" si="106"/>
        <v>0</v>
      </c>
      <c r="AE232">
        <f t="shared" si="109"/>
        <v>0</v>
      </c>
    </row>
    <row r="233" spans="1:31" x14ac:dyDescent="0.2">
      <c r="A233" s="374">
        <v>13725.5</v>
      </c>
      <c r="B233" s="391">
        <f t="shared" si="103"/>
        <v>13.7255</v>
      </c>
      <c r="C233" s="364">
        <f t="shared" si="84"/>
        <v>17.590341932207803</v>
      </c>
      <c r="D233" s="365">
        <f t="shared" si="85"/>
        <v>1.5139162825810339</v>
      </c>
      <c r="E233" s="365">
        <f t="shared" si="86"/>
        <v>1.0133912707454609</v>
      </c>
      <c r="F233" s="366">
        <f t="shared" si="87"/>
        <v>0.16274839657285112</v>
      </c>
      <c r="G233" s="365">
        <f t="shared" si="88"/>
        <v>1</v>
      </c>
      <c r="H233" s="366">
        <f t="shared" si="89"/>
        <v>0</v>
      </c>
      <c r="I233" s="364">
        <f t="shared" si="90"/>
        <v>4659.7699946203502</v>
      </c>
      <c r="J233" s="367">
        <f t="shared" si="91"/>
        <v>1.5705817239263364</v>
      </c>
      <c r="K233" s="375">
        <f t="shared" si="107"/>
        <v>2.9896587691918093</v>
      </c>
      <c r="L233" s="376">
        <f t="shared" si="108"/>
        <v>1.2297362112254444</v>
      </c>
      <c r="M233" s="364">
        <f t="shared" si="92"/>
        <v>1.0006768906465002</v>
      </c>
      <c r="N233" s="367">
        <f t="shared" si="93"/>
        <v>3.6783394336499284E-2</v>
      </c>
      <c r="O233" s="368">
        <f t="shared" si="94"/>
        <v>1.0415976050494471</v>
      </c>
      <c r="P233" s="369">
        <f t="shared" si="95"/>
        <v>0.33122357913740075</v>
      </c>
      <c r="Q233" s="370">
        <f t="shared" si="96"/>
        <v>1.0148610698798395</v>
      </c>
      <c r="R233" s="371">
        <f t="shared" si="97"/>
        <v>-118.03047317192298</v>
      </c>
      <c r="S233" s="373">
        <f t="shared" si="98"/>
        <v>61.969526828077022</v>
      </c>
      <c r="U233" s="346">
        <f t="shared" si="104"/>
        <v>1000000000</v>
      </c>
      <c r="V233" s="346">
        <f t="shared" si="105"/>
        <v>188389350.25</v>
      </c>
      <c r="X233" s="372">
        <f t="shared" si="99"/>
        <v>24.235939754729902</v>
      </c>
      <c r="Y233" s="373">
        <f t="shared" si="100"/>
        <v>-21.636542620103985</v>
      </c>
      <c r="AA233" s="372">
        <f t="shared" si="101"/>
        <v>28.259546669704314</v>
      </c>
      <c r="AB233" s="373">
        <f t="shared" si="102"/>
        <v>-96.393930551818997</v>
      </c>
      <c r="AD233">
        <f t="shared" si="106"/>
        <v>0</v>
      </c>
      <c r="AE233">
        <f t="shared" si="109"/>
        <v>0</v>
      </c>
    </row>
    <row r="234" spans="1:31" x14ac:dyDescent="0.2">
      <c r="A234" s="374">
        <v>13804</v>
      </c>
      <c r="B234" s="391">
        <f t="shared" si="103"/>
        <v>13.804</v>
      </c>
      <c r="C234" s="364">
        <f t="shared" si="84"/>
        <v>17.690621835584459</v>
      </c>
      <c r="D234" s="365">
        <f t="shared" si="85"/>
        <v>1.5142390542940223</v>
      </c>
      <c r="E234" s="365">
        <f t="shared" si="86"/>
        <v>1.0135438592281401</v>
      </c>
      <c r="F234" s="366">
        <f t="shared" si="87"/>
        <v>0.1636627136333004</v>
      </c>
      <c r="G234" s="365">
        <f t="shared" si="88"/>
        <v>1</v>
      </c>
      <c r="H234" s="366">
        <f t="shared" si="89"/>
        <v>0</v>
      </c>
      <c r="I234" s="364">
        <f t="shared" si="90"/>
        <v>4686.4205303224571</v>
      </c>
      <c r="J234" s="367">
        <f t="shared" si="91"/>
        <v>1.5705829443207635</v>
      </c>
      <c r="K234" s="375">
        <f t="shared" si="107"/>
        <v>3.004849282070877</v>
      </c>
      <c r="L234" s="376">
        <f t="shared" si="108"/>
        <v>1.2315299309194192</v>
      </c>
      <c r="M234" s="364">
        <f t="shared" si="92"/>
        <v>1.0006846527879087</v>
      </c>
      <c r="N234" s="367">
        <f t="shared" si="93"/>
        <v>3.6993577590085758E-2</v>
      </c>
      <c r="O234" s="368">
        <f t="shared" si="94"/>
        <v>1.0420664049389847</v>
      </c>
      <c r="P234" s="369">
        <f t="shared" si="95"/>
        <v>0.33303536945982015</v>
      </c>
      <c r="Q234" s="370">
        <f t="shared" si="96"/>
        <v>0.95730255800024522</v>
      </c>
      <c r="R234" s="371">
        <f t="shared" si="97"/>
        <v>-118.00972802764706</v>
      </c>
      <c r="S234" s="373">
        <f t="shared" si="98"/>
        <v>61.990271972352943</v>
      </c>
      <c r="U234" s="346">
        <f t="shared" si="104"/>
        <v>1000000000</v>
      </c>
      <c r="V234" s="346">
        <f t="shared" si="105"/>
        <v>190550416</v>
      </c>
      <c r="X234" s="372">
        <f t="shared" si="99"/>
        <v>24.230358279420887</v>
      </c>
      <c r="Y234" s="373">
        <f t="shared" si="100"/>
        <v>-21.545882588710988</v>
      </c>
      <c r="AA234" s="372">
        <f t="shared" si="101"/>
        <v>28.207569633133733</v>
      </c>
      <c r="AB234" s="373">
        <f t="shared" si="102"/>
        <v>-96.463845438936048</v>
      </c>
      <c r="AD234">
        <f t="shared" si="106"/>
        <v>0</v>
      </c>
      <c r="AE234">
        <f t="shared" si="109"/>
        <v>0</v>
      </c>
    </row>
    <row r="235" spans="1:31" x14ac:dyDescent="0.2">
      <c r="A235" s="374">
        <v>13884.25</v>
      </c>
      <c r="B235" s="391">
        <f t="shared" si="103"/>
        <v>13.88425</v>
      </c>
      <c r="C235" s="364">
        <f t="shared" si="84"/>
        <v>17.793139161619894</v>
      </c>
      <c r="D235" s="365">
        <f t="shared" si="85"/>
        <v>1.5145652607543953</v>
      </c>
      <c r="E235" s="365">
        <f t="shared" si="86"/>
        <v>1.0137007249396215</v>
      </c>
      <c r="F235" s="366">
        <f t="shared" si="87"/>
        <v>0.16459712822645928</v>
      </c>
      <c r="G235" s="365">
        <f t="shared" si="88"/>
        <v>1</v>
      </c>
      <c r="H235" s="366">
        <f t="shared" si="89"/>
        <v>0</v>
      </c>
      <c r="I235" s="364">
        <f t="shared" si="90"/>
        <v>4713.6651862543549</v>
      </c>
      <c r="J235" s="367">
        <f t="shared" si="91"/>
        <v>1.5705841776565961</v>
      </c>
      <c r="K235" s="375">
        <f t="shared" si="107"/>
        <v>3.020388328880224</v>
      </c>
      <c r="L235" s="376">
        <f t="shared" si="108"/>
        <v>1.2333449818043916</v>
      </c>
      <c r="M235" s="364">
        <f t="shared" si="92"/>
        <v>1.000692633666467</v>
      </c>
      <c r="N235" s="367">
        <f t="shared" si="93"/>
        <v>3.7208443077333418E-2</v>
      </c>
      <c r="O235" s="368">
        <f t="shared" si="94"/>
        <v>1.0425482292840311</v>
      </c>
      <c r="P235" s="369">
        <f t="shared" si="95"/>
        <v>0.33488617965025252</v>
      </c>
      <c r="Q235" s="370">
        <f t="shared" si="96"/>
        <v>0.89882507510368181</v>
      </c>
      <c r="R235" s="371">
        <f t="shared" si="97"/>
        <v>-117.98931067635095</v>
      </c>
      <c r="S235" s="373">
        <f t="shared" si="98"/>
        <v>62.010689323649046</v>
      </c>
      <c r="U235" s="346">
        <f t="shared" si="104"/>
        <v>1000000000</v>
      </c>
      <c r="V235" s="346">
        <f t="shared" si="105"/>
        <v>192772398.0625</v>
      </c>
      <c r="X235" s="372">
        <f t="shared" si="99"/>
        <v>24.224741321020232</v>
      </c>
      <c r="Y235" s="373">
        <f t="shared" si="100"/>
        <v>-21.45426938381614</v>
      </c>
      <c r="AA235" s="372">
        <f t="shared" si="101"/>
        <v>28.154709108637824</v>
      </c>
      <c r="AB235" s="373">
        <f t="shared" si="102"/>
        <v>-96.535041292534814</v>
      </c>
      <c r="AD235">
        <f t="shared" si="106"/>
        <v>0</v>
      </c>
      <c r="AE235">
        <f t="shared" si="109"/>
        <v>0</v>
      </c>
    </row>
    <row r="236" spans="1:31" x14ac:dyDescent="0.2">
      <c r="A236" s="374">
        <v>13964.5</v>
      </c>
      <c r="B236" s="391">
        <f t="shared" si="103"/>
        <v>13.964499999999999</v>
      </c>
      <c r="C236" s="364">
        <f t="shared" si="84"/>
        <v>17.895658359341919</v>
      </c>
      <c r="D236" s="365">
        <f t="shared" si="85"/>
        <v>1.5148877297584729</v>
      </c>
      <c r="E236" s="365">
        <f t="shared" si="86"/>
        <v>1.0138584754699207</v>
      </c>
      <c r="F236" s="366">
        <f t="shared" si="87"/>
        <v>0.16553125285597906</v>
      </c>
      <c r="G236" s="365">
        <f t="shared" si="88"/>
        <v>1</v>
      </c>
      <c r="H236" s="366">
        <f t="shared" si="89"/>
        <v>0</v>
      </c>
      <c r="I236" s="364">
        <f t="shared" si="90"/>
        <v>4740.9098421933413</v>
      </c>
      <c r="J236" s="367">
        <f t="shared" si="91"/>
        <v>1.5705853968171706</v>
      </c>
      <c r="K236" s="375">
        <f t="shared" si="107"/>
        <v>3.0359372242076144</v>
      </c>
      <c r="L236" s="376">
        <f t="shared" si="108"/>
        <v>1.2351414465811095</v>
      </c>
      <c r="M236" s="364">
        <f t="shared" si="92"/>
        <v>1.0007006607434414</v>
      </c>
      <c r="N236" s="367">
        <f t="shared" si="93"/>
        <v>3.7423305127432138E-2</v>
      </c>
      <c r="O236" s="368">
        <f t="shared" si="94"/>
        <v>1.0430326524406364</v>
      </c>
      <c r="P236" s="369">
        <f t="shared" si="95"/>
        <v>0.33673559882594173</v>
      </c>
      <c r="Q236" s="370">
        <f t="shared" si="96"/>
        <v>0.84071066736383215</v>
      </c>
      <c r="R236" s="371">
        <f t="shared" si="97"/>
        <v>-117.96967999544661</v>
      </c>
      <c r="S236" s="373">
        <f t="shared" si="98"/>
        <v>62.030320004553388</v>
      </c>
      <c r="U236" s="346">
        <f t="shared" si="104"/>
        <v>1000000000</v>
      </c>
      <c r="V236" s="346">
        <f t="shared" si="105"/>
        <v>195007260.25</v>
      </c>
      <c r="X236" s="372">
        <f t="shared" si="99"/>
        <v>24.219212416318292</v>
      </c>
      <c r="Y236" s="373">
        <f t="shared" si="100"/>
        <v>-21.363720075366484</v>
      </c>
      <c r="AA236" s="372">
        <f t="shared" si="101"/>
        <v>28.102123605599914</v>
      </c>
      <c r="AB236" s="373">
        <f t="shared" si="102"/>
        <v>-96.605959920080139</v>
      </c>
      <c r="AD236">
        <f t="shared" si="106"/>
        <v>0</v>
      </c>
      <c r="AE236">
        <f t="shared" si="109"/>
        <v>0</v>
      </c>
    </row>
    <row r="237" spans="1:31" x14ac:dyDescent="0.2">
      <c r="A237" s="374">
        <v>14044.75</v>
      </c>
      <c r="B237" s="391">
        <f t="shared" si="103"/>
        <v>14.044750000000001</v>
      </c>
      <c r="C237" s="364">
        <f t="shared" si="84"/>
        <v>17.998179396766663</v>
      </c>
      <c r="D237" s="365">
        <f t="shared" si="85"/>
        <v>1.5152065251063869</v>
      </c>
      <c r="E237" s="365">
        <f t="shared" si="86"/>
        <v>1.0140171104060842</v>
      </c>
      <c r="F237" s="366">
        <f t="shared" si="87"/>
        <v>0.16646508602735721</v>
      </c>
      <c r="G237" s="365">
        <f t="shared" si="88"/>
        <v>1</v>
      </c>
      <c r="H237" s="366">
        <f t="shared" si="89"/>
        <v>0</v>
      </c>
      <c r="I237" s="364">
        <f t="shared" si="90"/>
        <v>4768.1544981392935</v>
      </c>
      <c r="J237" s="367">
        <f t="shared" si="91"/>
        <v>1.570586602045474</v>
      </c>
      <c r="K237" s="375">
        <f t="shared" si="107"/>
        <v>3.0514958175036964</v>
      </c>
      <c r="L237" s="376">
        <f t="shared" si="108"/>
        <v>1.2369195978584333</v>
      </c>
      <c r="M237" s="364">
        <f t="shared" si="92"/>
        <v>1.0007087340177208</v>
      </c>
      <c r="N237" s="367">
        <f t="shared" si="93"/>
        <v>3.7638163720626353E-2</v>
      </c>
      <c r="O237" s="368">
        <f t="shared" si="94"/>
        <v>1.0435196713154555</v>
      </c>
      <c r="P237" s="369">
        <f t="shared" si="95"/>
        <v>0.33858362143601278</v>
      </c>
      <c r="Q237" s="370">
        <f t="shared" si="96"/>
        <v>0.7829542812856255</v>
      </c>
      <c r="R237" s="371">
        <f t="shared" si="97"/>
        <v>-117.9508238014523</v>
      </c>
      <c r="S237" s="373">
        <f t="shared" si="98"/>
        <v>62.049176198547698</v>
      </c>
      <c r="U237" s="346">
        <f t="shared" si="104"/>
        <v>1000000000</v>
      </c>
      <c r="V237" s="346">
        <f t="shared" si="105"/>
        <v>197255002.5625</v>
      </c>
      <c r="X237" s="372">
        <f t="shared" si="99"/>
        <v>24.213769727912535</v>
      </c>
      <c r="Y237" s="373">
        <f t="shared" si="100"/>
        <v>-21.274219056815042</v>
      </c>
      <c r="AA237" s="372">
        <f t="shared" si="101"/>
        <v>28.049809907927468</v>
      </c>
      <c r="AB237" s="373">
        <f t="shared" si="102"/>
        <v>-96.676604744637274</v>
      </c>
      <c r="AD237">
        <f t="shared" si="106"/>
        <v>0</v>
      </c>
      <c r="AE237">
        <f t="shared" si="109"/>
        <v>0</v>
      </c>
    </row>
    <row r="238" spans="1:31" x14ac:dyDescent="0.2">
      <c r="A238" s="374">
        <v>14125</v>
      </c>
      <c r="B238" s="391">
        <f t="shared" si="103"/>
        <v>14.125</v>
      </c>
      <c r="C238" s="364">
        <f t="shared" si="84"/>
        <v>18.100702242634306</v>
      </c>
      <c r="D238" s="365">
        <f t="shared" si="85"/>
        <v>1.5155217091558322</v>
      </c>
      <c r="E238" s="365">
        <f t="shared" si="86"/>
        <v>1.0141766293331027</v>
      </c>
      <c r="F238" s="366">
        <f t="shared" si="87"/>
        <v>0.16739862624905702</v>
      </c>
      <c r="G238" s="365">
        <f t="shared" si="88"/>
        <v>1</v>
      </c>
      <c r="H238" s="366">
        <f t="shared" si="89"/>
        <v>0</v>
      </c>
      <c r="I238" s="364">
        <f t="shared" si="90"/>
        <v>4795.3991540920915</v>
      </c>
      <c r="J238" s="367">
        <f t="shared" si="91"/>
        <v>1.5705877935789714</v>
      </c>
      <c r="K238" s="375">
        <f t="shared" si="107"/>
        <v>3.0670639611809887</v>
      </c>
      <c r="L238" s="376">
        <f t="shared" si="108"/>
        <v>1.2386797031786927</v>
      </c>
      <c r="M238" s="364">
        <f t="shared" si="92"/>
        <v>1.0007168534881867</v>
      </c>
      <c r="N238" s="367">
        <f t="shared" si="93"/>
        <v>3.7853018837162411E-2</v>
      </c>
      <c r="O238" s="368">
        <f t="shared" si="94"/>
        <v>1.0440092828045688</v>
      </c>
      <c r="P238" s="369">
        <f t="shared" si="95"/>
        <v>0.34043024196584937</v>
      </c>
      <c r="Q238" s="370">
        <f t="shared" si="96"/>
        <v>0.72555096520054818</v>
      </c>
      <c r="R238" s="371">
        <f t="shared" si="97"/>
        <v>-117.9327301201229</v>
      </c>
      <c r="S238" s="373">
        <f t="shared" si="98"/>
        <v>62.067269879877102</v>
      </c>
      <c r="U238" s="346">
        <f t="shared" si="104"/>
        <v>1000000000</v>
      </c>
      <c r="V238" s="346">
        <f t="shared" si="105"/>
        <v>199515625</v>
      </c>
      <c r="X238" s="372">
        <f t="shared" si="99"/>
        <v>24.20841146502887</v>
      </c>
      <c r="Y238" s="373">
        <f t="shared" si="100"/>
        <v>-21.185751011589421</v>
      </c>
      <c r="AA238" s="372">
        <f t="shared" si="101"/>
        <v>27.997764854726054</v>
      </c>
      <c r="AB238" s="373">
        <f t="shared" si="102"/>
        <v>-96.746979108533495</v>
      </c>
      <c r="AD238">
        <f t="shared" si="106"/>
        <v>0</v>
      </c>
      <c r="AE238">
        <f t="shared" si="109"/>
        <v>0</v>
      </c>
    </row>
    <row r="239" spans="1:31" x14ac:dyDescent="0.2">
      <c r="A239" s="374">
        <v>14207.25</v>
      </c>
      <c r="B239" s="391">
        <f t="shared" si="103"/>
        <v>14.20725</v>
      </c>
      <c r="C239" s="364">
        <f t="shared" si="84"/>
        <v>18.205782019646357</v>
      </c>
      <c r="D239" s="365">
        <f t="shared" si="85"/>
        <v>1.5158410646076179</v>
      </c>
      <c r="E239" s="365">
        <f t="shared" si="86"/>
        <v>1.0143410406850852</v>
      </c>
      <c r="F239" s="366">
        <f t="shared" si="87"/>
        <v>0.16835512672114844</v>
      </c>
      <c r="G239" s="365">
        <f t="shared" si="88"/>
        <v>1</v>
      </c>
      <c r="H239" s="366">
        <f t="shared" si="89"/>
        <v>0</v>
      </c>
      <c r="I239" s="364">
        <f t="shared" si="90"/>
        <v>4823.3228045927553</v>
      </c>
      <c r="J239" s="367">
        <f t="shared" si="91"/>
        <v>1.5705890008398078</v>
      </c>
      <c r="K239" s="375">
        <f t="shared" si="107"/>
        <v>3.0830298549699737</v>
      </c>
      <c r="L239" s="376">
        <f t="shared" si="108"/>
        <v>1.2404652225919783</v>
      </c>
      <c r="M239" s="364">
        <f t="shared" si="92"/>
        <v>1.0007252232493735</v>
      </c>
      <c r="N239" s="367">
        <f t="shared" si="93"/>
        <v>3.8073224969974465E-2</v>
      </c>
      <c r="O239" s="368">
        <f t="shared" si="94"/>
        <v>1.0445137835300793</v>
      </c>
      <c r="P239" s="369">
        <f t="shared" si="95"/>
        <v>0.34232142352945361</v>
      </c>
      <c r="Q239" s="370">
        <f t="shared" si="96"/>
        <v>0.66707833883049461</v>
      </c>
      <c r="R239" s="371">
        <f t="shared" si="97"/>
        <v>-117.9149644477526</v>
      </c>
      <c r="S239" s="373">
        <f t="shared" si="98"/>
        <v>62.085035552247405</v>
      </c>
      <c r="U239" s="346">
        <f t="shared" si="104"/>
        <v>1000000000</v>
      </c>
      <c r="V239" s="346">
        <f t="shared" si="105"/>
        <v>201845952.5625</v>
      </c>
      <c r="X239" s="372">
        <f t="shared" si="99"/>
        <v>24.203005444629845</v>
      </c>
      <c r="Y239" s="373">
        <f t="shared" si="100"/>
        <v>-21.096134337850803</v>
      </c>
      <c r="AA239" s="372">
        <f t="shared" si="101"/>
        <v>27.944698248755024</v>
      </c>
      <c r="AB239" s="373">
        <f t="shared" si="102"/>
        <v>-96.818830109901768</v>
      </c>
      <c r="AD239">
        <f t="shared" si="106"/>
        <v>0</v>
      </c>
      <c r="AE239">
        <f t="shared" si="109"/>
        <v>0</v>
      </c>
    </row>
    <row r="240" spans="1:31" x14ac:dyDescent="0.2">
      <c r="A240" s="374">
        <v>14289.5</v>
      </c>
      <c r="B240" s="391">
        <f t="shared" si="103"/>
        <v>14.2895</v>
      </c>
      <c r="C240" s="364">
        <f t="shared" si="84"/>
        <v>18.31086363211713</v>
      </c>
      <c r="D240" s="365">
        <f t="shared" si="85"/>
        <v>1.5161567546840791</v>
      </c>
      <c r="E240" s="365">
        <f t="shared" si="86"/>
        <v>1.0145063797494569</v>
      </c>
      <c r="F240" s="366">
        <f t="shared" si="87"/>
        <v>0.16931131629669813</v>
      </c>
      <c r="G240" s="365">
        <f t="shared" si="88"/>
        <v>1</v>
      </c>
      <c r="H240" s="366">
        <f t="shared" si="89"/>
        <v>0</v>
      </c>
      <c r="I240" s="364">
        <f t="shared" si="90"/>
        <v>4851.2464551003668</v>
      </c>
      <c r="J240" s="367">
        <f t="shared" si="91"/>
        <v>1.5705901942027192</v>
      </c>
      <c r="K240" s="375">
        <f t="shared" si="107"/>
        <v>3.0990054764090127</v>
      </c>
      <c r="L240" s="376">
        <f t="shared" si="108"/>
        <v>1.2422323385995142</v>
      </c>
      <c r="M240" s="364">
        <f t="shared" si="92"/>
        <v>1.0007336415356547</v>
      </c>
      <c r="N240" s="367">
        <f t="shared" si="93"/>
        <v>3.8293427408665606E-2</v>
      </c>
      <c r="O240" s="368">
        <f t="shared" si="94"/>
        <v>1.045021001071061</v>
      </c>
      <c r="P240" s="369">
        <f t="shared" si="95"/>
        <v>0.34421112064313092</v>
      </c>
      <c r="Q240" s="370">
        <f t="shared" si="96"/>
        <v>0.60896638430315186</v>
      </c>
      <c r="R240" s="371">
        <f t="shared" si="97"/>
        <v>-117.89797495471885</v>
      </c>
      <c r="S240" s="373">
        <f t="shared" si="98"/>
        <v>62.102025045281152</v>
      </c>
      <c r="U240" s="346">
        <f t="shared" si="104"/>
        <v>1000000000</v>
      </c>
      <c r="V240" s="346">
        <f t="shared" si="105"/>
        <v>204189810.25</v>
      </c>
      <c r="X240" s="372">
        <f t="shared" si="99"/>
        <v>24.197684445403404</v>
      </c>
      <c r="Y240" s="373">
        <f t="shared" si="100"/>
        <v>-21.007571093641538</v>
      </c>
      <c r="AA240" s="372">
        <f t="shared" si="101"/>
        <v>27.891907293454125</v>
      </c>
      <c r="AB240" s="373">
        <f t="shared" si="102"/>
        <v>-96.890403861077303</v>
      </c>
      <c r="AD240">
        <f t="shared" si="106"/>
        <v>0</v>
      </c>
      <c r="AE240">
        <f t="shared" si="109"/>
        <v>0</v>
      </c>
    </row>
    <row r="241" spans="1:31" x14ac:dyDescent="0.2">
      <c r="A241" s="374">
        <v>14371.75</v>
      </c>
      <c r="B241" s="391">
        <f t="shared" si="103"/>
        <v>14.37175</v>
      </c>
      <c r="C241" s="364">
        <f t="shared" si="84"/>
        <v>18.415947048627178</v>
      </c>
      <c r="D241" s="365">
        <f t="shared" si="85"/>
        <v>1.5164688420668497</v>
      </c>
      <c r="E241" s="365">
        <f t="shared" si="86"/>
        <v>1.0146726460727107</v>
      </c>
      <c r="F241" s="366">
        <f t="shared" si="87"/>
        <v>0.17026719337962995</v>
      </c>
      <c r="G241" s="365">
        <f t="shared" si="88"/>
        <v>1</v>
      </c>
      <c r="H241" s="366">
        <f t="shared" si="89"/>
        <v>0</v>
      </c>
      <c r="I241" s="364">
        <f t="shared" si="90"/>
        <v>4879.1701056148086</v>
      </c>
      <c r="J241" s="367">
        <f t="shared" si="91"/>
        <v>1.5705913739063202</v>
      </c>
      <c r="K241" s="375">
        <f t="shared" si="107"/>
        <v>3.1149906758296786</v>
      </c>
      <c r="L241" s="376">
        <f t="shared" si="108"/>
        <v>1.2439813234015604</v>
      </c>
      <c r="M241" s="364">
        <f t="shared" si="92"/>
        <v>1.0007421083458059</v>
      </c>
      <c r="N241" s="367">
        <f t="shared" si="93"/>
        <v>3.8513626131974496E-2</v>
      </c>
      <c r="O241" s="368">
        <f t="shared" si="94"/>
        <v>1.045530932051784</v>
      </c>
      <c r="P241" s="369">
        <f t="shared" si="95"/>
        <v>0.34609932748841304</v>
      </c>
      <c r="Q241" s="370">
        <f t="shared" si="96"/>
        <v>0.55121008647581526</v>
      </c>
      <c r="R241" s="371">
        <f t="shared" si="97"/>
        <v>-117.88174940701686</v>
      </c>
      <c r="S241" s="373">
        <f t="shared" si="98"/>
        <v>62.118250592983145</v>
      </c>
      <c r="U241" s="346">
        <f t="shared" si="104"/>
        <v>1000000000</v>
      </c>
      <c r="V241" s="346">
        <f t="shared" si="105"/>
        <v>206547198.0625</v>
      </c>
      <c r="X241" s="372">
        <f t="shared" si="99"/>
        <v>24.192446682843492</v>
      </c>
      <c r="Y241" s="373">
        <f t="shared" si="100"/>
        <v>-20.92004569548893</v>
      </c>
      <c r="AA241" s="372">
        <f t="shared" si="101"/>
        <v>27.839388758186701</v>
      </c>
      <c r="AB241" s="373">
        <f t="shared" si="102"/>
        <v>-96.961703711527917</v>
      </c>
      <c r="AD241">
        <f t="shared" si="106"/>
        <v>0</v>
      </c>
      <c r="AE241">
        <f t="shared" si="109"/>
        <v>0</v>
      </c>
    </row>
    <row r="242" spans="1:31" x14ac:dyDescent="0.2">
      <c r="A242" s="374">
        <v>14454</v>
      </c>
      <c r="B242" s="391">
        <f t="shared" si="103"/>
        <v>14.454000000000001</v>
      </c>
      <c r="C242" s="364">
        <f t="shared" si="84"/>
        <v>18.521032238469573</v>
      </c>
      <c r="D242" s="365">
        <f t="shared" si="85"/>
        <v>1.5167773880178284</v>
      </c>
      <c r="E242" s="365">
        <f t="shared" si="86"/>
        <v>1.0148398391990943</v>
      </c>
      <c r="F242" s="366">
        <f t="shared" si="87"/>
        <v>0.17122275637719508</v>
      </c>
      <c r="G242" s="365">
        <f t="shared" si="88"/>
        <v>1</v>
      </c>
      <c r="H242" s="366">
        <f t="shared" si="89"/>
        <v>0</v>
      </c>
      <c r="I242" s="364">
        <f t="shared" si="90"/>
        <v>4907.0937561359642</v>
      </c>
      <c r="J242" s="367">
        <f t="shared" si="91"/>
        <v>1.5705925401837948</v>
      </c>
      <c r="K242" s="375">
        <f t="shared" si="107"/>
        <v>3.1309853065312421</v>
      </c>
      <c r="L242" s="376">
        <f t="shared" si="108"/>
        <v>1.2457124440849536</v>
      </c>
      <c r="M242" s="364">
        <f t="shared" si="92"/>
        <v>1.0007506236785952</v>
      </c>
      <c r="N242" s="367">
        <f t="shared" si="93"/>
        <v>3.8733821118641938E-2</v>
      </c>
      <c r="O242" s="368">
        <f t="shared" si="94"/>
        <v>1.0460435730853042</v>
      </c>
      <c r="P242" s="369">
        <f t="shared" si="95"/>
        <v>0.34798603828699992</v>
      </c>
      <c r="Q242" s="370">
        <f t="shared" si="96"/>
        <v>0.49380453140558506</v>
      </c>
      <c r="R242" s="371">
        <f t="shared" si="97"/>
        <v>-117.86627578407432</v>
      </c>
      <c r="S242" s="373">
        <f t="shared" si="98"/>
        <v>62.133724215925682</v>
      </c>
      <c r="U242" s="346">
        <f t="shared" si="104"/>
        <v>1000000000</v>
      </c>
      <c r="V242" s="346">
        <f t="shared" si="105"/>
        <v>208918116</v>
      </c>
      <c r="X242" s="372">
        <f t="shared" si="99"/>
        <v>24.187290418008416</v>
      </c>
      <c r="Y242" s="373">
        <f t="shared" si="100"/>
        <v>-20.83354285258687</v>
      </c>
      <c r="AA242" s="372">
        <f t="shared" si="101"/>
        <v>27.787139467951544</v>
      </c>
      <c r="AB242" s="373">
        <f t="shared" si="102"/>
        <v>-97.032732931487459</v>
      </c>
      <c r="AD242">
        <f t="shared" si="106"/>
        <v>0</v>
      </c>
      <c r="AE242">
        <f t="shared" si="109"/>
        <v>0</v>
      </c>
    </row>
    <row r="243" spans="1:31" x14ac:dyDescent="0.2">
      <c r="A243" s="374">
        <v>14622.5</v>
      </c>
      <c r="B243" s="391">
        <f t="shared" si="103"/>
        <v>14.6225</v>
      </c>
      <c r="C243" s="364">
        <f t="shared" si="84"/>
        <v>18.736318556054261</v>
      </c>
      <c r="D243" s="365">
        <f t="shared" si="85"/>
        <v>1.5173986770216035</v>
      </c>
      <c r="E243" s="365">
        <f t="shared" si="86"/>
        <v>1.0151852486785957</v>
      </c>
      <c r="F243" s="366">
        <f t="shared" si="87"/>
        <v>0.17317936601240563</v>
      </c>
      <c r="G243" s="365">
        <f t="shared" si="88"/>
        <v>1</v>
      </c>
      <c r="H243" s="366">
        <f t="shared" si="89"/>
        <v>0</v>
      </c>
      <c r="I243" s="364">
        <f t="shared" si="90"/>
        <v>4964.2990462818552</v>
      </c>
      <c r="J243" s="367">
        <f t="shared" si="91"/>
        <v>1.5705948884855925</v>
      </c>
      <c r="K243" s="375">
        <f t="shared" si="107"/>
        <v>3.163781271060333</v>
      </c>
      <c r="L243" s="376">
        <f t="shared" si="108"/>
        <v>1.2492041873950979</v>
      </c>
      <c r="M243" s="364">
        <f t="shared" si="92"/>
        <v>1.000768219983178</v>
      </c>
      <c r="N243" s="367">
        <f t="shared" si="93"/>
        <v>3.9184907904529838E-2</v>
      </c>
      <c r="O243" s="368">
        <f t="shared" si="94"/>
        <v>1.0471022345436014</v>
      </c>
      <c r="P243" s="369">
        <f t="shared" si="95"/>
        <v>0.35184651887957091</v>
      </c>
      <c r="Q243" s="370">
        <f t="shared" si="96"/>
        <v>0.37727676101943741</v>
      </c>
      <c r="R243" s="371">
        <f t="shared" si="97"/>
        <v>-117.83687455440244</v>
      </c>
      <c r="S243" s="373">
        <f t="shared" si="98"/>
        <v>62.163125445597558</v>
      </c>
      <c r="U243" s="346">
        <f t="shared" si="104"/>
        <v>1000000000</v>
      </c>
      <c r="V243" s="346">
        <f t="shared" si="105"/>
        <v>213817506.25</v>
      </c>
      <c r="X243" s="372">
        <f t="shared" si="99"/>
        <v>24.176974531021031</v>
      </c>
      <c r="Y243" s="373">
        <f t="shared" si="100"/>
        <v>-20.659460614381182</v>
      </c>
      <c r="AA243" s="372">
        <f t="shared" si="101"/>
        <v>27.68092758455278</v>
      </c>
      <c r="AB243" s="373">
        <f t="shared" si="102"/>
        <v>-97.177413940021268</v>
      </c>
      <c r="AD243">
        <f t="shared" si="106"/>
        <v>0</v>
      </c>
      <c r="AE243">
        <f t="shared" si="109"/>
        <v>0</v>
      </c>
    </row>
    <row r="244" spans="1:31" x14ac:dyDescent="0.2">
      <c r="A244" s="374">
        <v>14706.75</v>
      </c>
      <c r="B244" s="391">
        <f t="shared" si="103"/>
        <v>14.70675</v>
      </c>
      <c r="C244" s="364">
        <f t="shared" si="84"/>
        <v>18.843964380451599</v>
      </c>
      <c r="D244" s="365">
        <f t="shared" si="85"/>
        <v>1.5177039979422575</v>
      </c>
      <c r="E244" s="365">
        <f t="shared" si="86"/>
        <v>1.0153594100938763</v>
      </c>
      <c r="F244" s="366">
        <f t="shared" si="87"/>
        <v>0.17415716975229192</v>
      </c>
      <c r="G244" s="365">
        <f t="shared" si="88"/>
        <v>1</v>
      </c>
      <c r="H244" s="366">
        <f t="shared" si="89"/>
        <v>0</v>
      </c>
      <c r="I244" s="364">
        <f t="shared" si="90"/>
        <v>4992.9016913648902</v>
      </c>
      <c r="J244" s="367">
        <f t="shared" si="91"/>
        <v>1.5705960424575511</v>
      </c>
      <c r="K244" s="375">
        <f t="shared" si="107"/>
        <v>3.1801934946484449</v>
      </c>
      <c r="L244" s="376">
        <f t="shared" si="108"/>
        <v>1.2509230419529151</v>
      </c>
      <c r="M244" s="364">
        <f t="shared" si="92"/>
        <v>1.0007770944968033</v>
      </c>
      <c r="N244" s="367">
        <f t="shared" si="93"/>
        <v>3.9410445326054915E-2</v>
      </c>
      <c r="O244" s="368">
        <f t="shared" si="94"/>
        <v>1.047635815929473</v>
      </c>
      <c r="P244" s="369">
        <f t="shared" si="95"/>
        <v>0.3537743803506751</v>
      </c>
      <c r="Q244" s="370">
        <f t="shared" si="96"/>
        <v>0.31954473525047533</v>
      </c>
      <c r="R244" s="371">
        <f t="shared" si="97"/>
        <v>-117.82330780116882</v>
      </c>
      <c r="S244" s="373">
        <f t="shared" si="98"/>
        <v>62.176692198831176</v>
      </c>
      <c r="U244" s="346">
        <f t="shared" si="104"/>
        <v>1000000000</v>
      </c>
      <c r="V244" s="346">
        <f t="shared" si="105"/>
        <v>216288495.5625</v>
      </c>
      <c r="X244" s="372">
        <f t="shared" si="99"/>
        <v>24.171937793384821</v>
      </c>
      <c r="Y244" s="373">
        <f t="shared" si="100"/>
        <v>-20.573965962622285</v>
      </c>
      <c r="AA244" s="372">
        <f t="shared" si="101"/>
        <v>27.62823229642003</v>
      </c>
      <c r="AB244" s="373">
        <f t="shared" si="102"/>
        <v>-97.249341838546542</v>
      </c>
      <c r="AD244">
        <f t="shared" si="106"/>
        <v>0</v>
      </c>
      <c r="AE244">
        <f t="shared" si="109"/>
        <v>0</v>
      </c>
    </row>
    <row r="245" spans="1:31" x14ac:dyDescent="0.2">
      <c r="A245" s="374">
        <v>14791</v>
      </c>
      <c r="B245" s="391">
        <f t="shared" si="103"/>
        <v>14.791</v>
      </c>
      <c r="C245" s="364">
        <f t="shared" si="84"/>
        <v>18.951611941543817</v>
      </c>
      <c r="D245" s="365">
        <f t="shared" si="85"/>
        <v>1.5180058503676259</v>
      </c>
      <c r="E245" s="365">
        <f t="shared" si="86"/>
        <v>1.0155345419609294</v>
      </c>
      <c r="F245" s="366">
        <f t="shared" si="87"/>
        <v>0.1751346371763047</v>
      </c>
      <c r="G245" s="365">
        <f t="shared" si="88"/>
        <v>1</v>
      </c>
      <c r="H245" s="366">
        <f t="shared" si="89"/>
        <v>0</v>
      </c>
      <c r="I245" s="364">
        <f t="shared" si="90"/>
        <v>5021.5043364544981</v>
      </c>
      <c r="J245" s="367">
        <f t="shared" si="91"/>
        <v>1.5705971832833896</v>
      </c>
      <c r="K245" s="375">
        <f t="shared" si="107"/>
        <v>3.1966150174977295</v>
      </c>
      <c r="L245" s="376">
        <f t="shared" si="108"/>
        <v>1.252624241432116</v>
      </c>
      <c r="M245" s="364">
        <f t="shared" si="92"/>
        <v>1.0007860199161813</v>
      </c>
      <c r="N245" s="367">
        <f t="shared" si="93"/>
        <v>3.9635978736181958E-2</v>
      </c>
      <c r="O245" s="368">
        <f t="shared" si="94"/>
        <v>1.0481722261734456</v>
      </c>
      <c r="P245" s="369">
        <f t="shared" si="95"/>
        <v>0.35570064787754813</v>
      </c>
      <c r="Q245" s="370">
        <f t="shared" si="96"/>
        <v>0.2621607590416366</v>
      </c>
      <c r="R245" s="371">
        <f t="shared" si="97"/>
        <v>-117.81048083943615</v>
      </c>
      <c r="S245" s="373">
        <f t="shared" si="98"/>
        <v>62.189519160563847</v>
      </c>
      <c r="U245" s="346">
        <f t="shared" si="104"/>
        <v>1000000000</v>
      </c>
      <c r="V245" s="346">
        <f t="shared" si="105"/>
        <v>218773681</v>
      </c>
      <c r="X245" s="372">
        <f t="shared" si="99"/>
        <v>24.16697959869909</v>
      </c>
      <c r="Y245" s="373">
        <f t="shared" si="100"/>
        <v>-20.489481889302862</v>
      </c>
      <c r="AA245" s="372">
        <f t="shared" si="101"/>
        <v>27.575806514896925</v>
      </c>
      <c r="AB245" s="373">
        <f t="shared" si="102"/>
        <v>-97.320998950133287</v>
      </c>
      <c r="AD245">
        <f t="shared" si="106"/>
        <v>0</v>
      </c>
      <c r="AE245">
        <f t="shared" si="109"/>
        <v>0</v>
      </c>
    </row>
    <row r="246" spans="1:31" x14ac:dyDescent="0.2">
      <c r="A246" s="374">
        <v>14877.25</v>
      </c>
      <c r="B246" s="391">
        <f t="shared" si="103"/>
        <v>14.87725</v>
      </c>
      <c r="C246" s="364">
        <f t="shared" si="84"/>
        <v>19.061816702658334</v>
      </c>
      <c r="D246" s="365">
        <f t="shared" si="85"/>
        <v>1.5183113367458807</v>
      </c>
      <c r="E246" s="365">
        <f t="shared" si="86"/>
        <v>1.0157148360182577</v>
      </c>
      <c r="F246" s="366">
        <f t="shared" si="87"/>
        <v>0.17613495842048935</v>
      </c>
      <c r="G246" s="365">
        <f t="shared" si="88"/>
        <v>1</v>
      </c>
      <c r="H246" s="366">
        <f t="shared" si="89"/>
        <v>0</v>
      </c>
      <c r="I246" s="364">
        <f t="shared" si="90"/>
        <v>5050.785976092985</v>
      </c>
      <c r="J246" s="367">
        <f t="shared" si="91"/>
        <v>1.5705983378063972</v>
      </c>
      <c r="K246" s="375">
        <f t="shared" si="107"/>
        <v>3.2134358529440035</v>
      </c>
      <c r="L246" s="376">
        <f t="shared" si="108"/>
        <v>1.2543478091483118</v>
      </c>
      <c r="M246" s="364">
        <f t="shared" si="92"/>
        <v>1.0007952099462929</v>
      </c>
      <c r="N246" s="367">
        <f t="shared" si="93"/>
        <v>3.986686187594457E-2</v>
      </c>
      <c r="O246" s="368">
        <f t="shared" si="94"/>
        <v>1.0487242967151706</v>
      </c>
      <c r="P246" s="369">
        <f t="shared" si="95"/>
        <v>0.35767098541852643</v>
      </c>
      <c r="Q246" s="370">
        <f t="shared" si="96"/>
        <v>0.20377011360108177</v>
      </c>
      <c r="R246" s="371">
        <f t="shared" si="97"/>
        <v>-117.79810338238174</v>
      </c>
      <c r="S246" s="373">
        <f t="shared" si="98"/>
        <v>62.20189661761826</v>
      </c>
      <c r="U246" s="346">
        <f t="shared" si="104"/>
        <v>1000000000</v>
      </c>
      <c r="V246" s="346">
        <f t="shared" si="105"/>
        <v>221332567.5625</v>
      </c>
      <c r="X246" s="372">
        <f t="shared" si="99"/>
        <v>24.161983350239367</v>
      </c>
      <c r="Y246" s="373">
        <f t="shared" si="100"/>
        <v>-20.404023512127008</v>
      </c>
      <c r="AA246" s="372">
        <f t="shared" si="101"/>
        <v>27.522412117916094</v>
      </c>
      <c r="AB246" s="373">
        <f t="shared" si="102"/>
        <v>-97.394079870254714</v>
      </c>
      <c r="AD246">
        <f t="shared" si="106"/>
        <v>0</v>
      </c>
      <c r="AE246">
        <f t="shared" si="109"/>
        <v>0</v>
      </c>
    </row>
    <row r="247" spans="1:31" x14ac:dyDescent="0.2">
      <c r="A247" s="374">
        <v>14963.5</v>
      </c>
      <c r="B247" s="391">
        <f t="shared" si="103"/>
        <v>14.9635</v>
      </c>
      <c r="C247" s="364">
        <f t="shared" si="84"/>
        <v>19.172023222207425</v>
      </c>
      <c r="D247" s="365">
        <f t="shared" si="85"/>
        <v>1.5186133110980369</v>
      </c>
      <c r="E247" s="365">
        <f t="shared" si="86"/>
        <v>1.0158961460817635</v>
      </c>
      <c r="F247" s="366">
        <f t="shared" si="87"/>
        <v>0.17713492360425767</v>
      </c>
      <c r="G247" s="365">
        <f t="shared" si="88"/>
        <v>1</v>
      </c>
      <c r="H247" s="366">
        <f t="shared" si="89"/>
        <v>0</v>
      </c>
      <c r="I247" s="364">
        <f t="shared" si="90"/>
        <v>5080.0676157381267</v>
      </c>
      <c r="J247" s="367">
        <f t="shared" si="91"/>
        <v>1.5705994790200049</v>
      </c>
      <c r="K247" s="375">
        <f t="shared" si="107"/>
        <v>3.2302661350635522</v>
      </c>
      <c r="L247" s="376">
        <f t="shared" si="108"/>
        <v>1.2560534216763082</v>
      </c>
      <c r="M247" s="364">
        <f t="shared" si="92"/>
        <v>1.0008044533248375</v>
      </c>
      <c r="N247" s="367">
        <f t="shared" si="93"/>
        <v>4.0097740763164823E-2</v>
      </c>
      <c r="O247" s="368">
        <f t="shared" si="94"/>
        <v>1.0492793241579585</v>
      </c>
      <c r="P247" s="369">
        <f t="shared" si="95"/>
        <v>0.35963963978376118</v>
      </c>
      <c r="Q247" s="370">
        <f t="shared" si="96"/>
        <v>0.1457342257754948</v>
      </c>
      <c r="R247" s="371">
        <f t="shared" si="97"/>
        <v>-117.78647641322701</v>
      </c>
      <c r="S247" s="373">
        <f t="shared" si="98"/>
        <v>62.213523586772993</v>
      </c>
      <c r="U247" s="346">
        <f t="shared" si="104"/>
        <v>1000000000</v>
      </c>
      <c r="V247" s="346">
        <f t="shared" si="105"/>
        <v>223906332.25</v>
      </c>
      <c r="X247" s="372">
        <f t="shared" si="99"/>
        <v>24.157065981807197</v>
      </c>
      <c r="Y247" s="373">
        <f t="shared" si="100"/>
        <v>-20.319592885231337</v>
      </c>
      <c r="AA247" s="372">
        <f t="shared" si="101"/>
        <v>27.469293598522672</v>
      </c>
      <c r="AB247" s="373">
        <f t="shared" si="102"/>
        <v>-97.466883527995662</v>
      </c>
      <c r="AD247">
        <f t="shared" si="106"/>
        <v>0</v>
      </c>
      <c r="AE247">
        <f t="shared" si="109"/>
        <v>0</v>
      </c>
    </row>
    <row r="248" spans="1:31" x14ac:dyDescent="0.2">
      <c r="A248" s="374">
        <v>15049.75</v>
      </c>
      <c r="B248" s="391">
        <f t="shared" si="103"/>
        <v>15.04975</v>
      </c>
      <c r="C248" s="364">
        <f t="shared" si="84"/>
        <v>19.282231470040379</v>
      </c>
      <c r="D248" s="365">
        <f t="shared" si="85"/>
        <v>1.5189118335878569</v>
      </c>
      <c r="E248" s="365">
        <f t="shared" si="86"/>
        <v>1.0160784716075548</v>
      </c>
      <c r="F248" s="366">
        <f t="shared" si="87"/>
        <v>0.17813453091896361</v>
      </c>
      <c r="G248" s="365">
        <f t="shared" si="88"/>
        <v>1</v>
      </c>
      <c r="H248" s="366">
        <f t="shared" si="89"/>
        <v>0</v>
      </c>
      <c r="I248" s="364">
        <f t="shared" si="90"/>
        <v>5109.3492553898086</v>
      </c>
      <c r="J248" s="367">
        <f t="shared" si="91"/>
        <v>1.5706006071530403</v>
      </c>
      <c r="K248" s="375">
        <f t="shared" si="107"/>
        <v>3.2471057169654025</v>
      </c>
      <c r="L248" s="376">
        <f t="shared" si="108"/>
        <v>1.2577413483629054</v>
      </c>
      <c r="M248" s="364">
        <f t="shared" si="92"/>
        <v>1.0008137500503371</v>
      </c>
      <c r="N248" s="367">
        <f t="shared" si="93"/>
        <v>4.0328615373346838E-2</v>
      </c>
      <c r="O248" s="368">
        <f t="shared" si="94"/>
        <v>1.0498373045074654</v>
      </c>
      <c r="P248" s="369">
        <f t="shared" si="95"/>
        <v>0.36160660464335925</v>
      </c>
      <c r="Q248" s="370">
        <f t="shared" si="96"/>
        <v>8.8048183206303005E-2</v>
      </c>
      <c r="R248" s="371">
        <f t="shared" si="97"/>
        <v>-117.77558769932574</v>
      </c>
      <c r="S248" s="373">
        <f t="shared" si="98"/>
        <v>62.22441230067426</v>
      </c>
      <c r="U248" s="346">
        <f t="shared" si="104"/>
        <v>1000000000</v>
      </c>
      <c r="V248" s="346">
        <f t="shared" si="105"/>
        <v>226494975.0625</v>
      </c>
      <c r="X248" s="372">
        <f t="shared" si="99"/>
        <v>24.152225821897929</v>
      </c>
      <c r="Y248" s="373">
        <f t="shared" si="100"/>
        <v>-20.236174587888314</v>
      </c>
      <c r="AA248" s="372">
        <f t="shared" si="101"/>
        <v>27.416447715862748</v>
      </c>
      <c r="AB248" s="373">
        <f t="shared" si="102"/>
        <v>-97.539413111437412</v>
      </c>
      <c r="AD248">
        <f t="shared" si="106"/>
        <v>0</v>
      </c>
      <c r="AE248">
        <f t="shared" si="109"/>
        <v>0</v>
      </c>
    </row>
    <row r="249" spans="1:31" x14ac:dyDescent="0.2">
      <c r="A249" s="374">
        <v>15136</v>
      </c>
      <c r="B249" s="391">
        <f t="shared" si="103"/>
        <v>15.135999999999999</v>
      </c>
      <c r="C249" s="364">
        <f t="shared" si="84"/>
        <v>19.392441416691426</v>
      </c>
      <c r="D249" s="365">
        <f t="shared" si="85"/>
        <v>1.5192069630139193</v>
      </c>
      <c r="E249" s="365">
        <f t="shared" si="86"/>
        <v>1.0162618120490858</v>
      </c>
      <c r="F249" s="366">
        <f t="shared" si="87"/>
        <v>0.17913377856011589</v>
      </c>
      <c r="G249" s="365">
        <f t="shared" si="88"/>
        <v>1</v>
      </c>
      <c r="H249" s="366">
        <f t="shared" si="89"/>
        <v>0</v>
      </c>
      <c r="I249" s="364">
        <f t="shared" si="90"/>
        <v>5138.6308950479197</v>
      </c>
      <c r="J249" s="367">
        <f t="shared" si="91"/>
        <v>1.570601722429116</v>
      </c>
      <c r="K249" s="375">
        <f t="shared" si="107"/>
        <v>3.2639544547096406</v>
      </c>
      <c r="L249" s="376">
        <f t="shared" si="108"/>
        <v>1.2594118534010956</v>
      </c>
      <c r="M249" s="364">
        <f t="shared" si="92"/>
        <v>1.000823100121305</v>
      </c>
      <c r="N249" s="367">
        <f t="shared" si="93"/>
        <v>4.0559485681997499E-2</v>
      </c>
      <c r="O249" s="368">
        <f t="shared" si="94"/>
        <v>1.0503982337569269</v>
      </c>
      <c r="P249" s="369">
        <f t="shared" si="95"/>
        <v>0.36357187371625449</v>
      </c>
      <c r="Q249" s="370">
        <f t="shared" si="96"/>
        <v>3.0707172737955948E-2</v>
      </c>
      <c r="R249" s="371">
        <f t="shared" si="97"/>
        <v>-117.76542522736472</v>
      </c>
      <c r="S249" s="373">
        <f t="shared" si="98"/>
        <v>62.234574772635284</v>
      </c>
      <c r="U249" s="346">
        <f t="shared" si="104"/>
        <v>1000000000</v>
      </c>
      <c r="V249" s="346">
        <f t="shared" si="105"/>
        <v>229098496</v>
      </c>
      <c r="X249" s="372">
        <f t="shared" si="99"/>
        <v>24.14746124211327</v>
      </c>
      <c r="Y249" s="373">
        <f t="shared" si="100"/>
        <v>-20.15375349436319</v>
      </c>
      <c r="AA249" s="372">
        <f t="shared" si="101"/>
        <v>27.363871285179062</v>
      </c>
      <c r="AB249" s="373">
        <f t="shared" si="102"/>
        <v>-97.611671733001543</v>
      </c>
      <c r="AD249">
        <f t="shared" si="106"/>
        <v>15136</v>
      </c>
      <c r="AE249">
        <f t="shared" si="109"/>
        <v>62.234574772635284</v>
      </c>
    </row>
    <row r="250" spans="1:31" x14ac:dyDescent="0.2">
      <c r="A250" s="374">
        <v>15224</v>
      </c>
      <c r="B250" s="391">
        <f t="shared" si="103"/>
        <v>15.224</v>
      </c>
      <c r="C250" s="364">
        <f t="shared" si="84"/>
        <v>19.504889228178527</v>
      </c>
      <c r="D250" s="365">
        <f t="shared" si="85"/>
        <v>1.5195046431705466</v>
      </c>
      <c r="E250" s="365">
        <f t="shared" si="86"/>
        <v>1.0164499178851303</v>
      </c>
      <c r="F250" s="366">
        <f t="shared" si="87"/>
        <v>0.18015292822890389</v>
      </c>
      <c r="G250" s="365">
        <f t="shared" si="88"/>
        <v>1</v>
      </c>
      <c r="H250" s="366">
        <f t="shared" si="89"/>
        <v>0</v>
      </c>
      <c r="I250" s="364">
        <f t="shared" si="90"/>
        <v>5168.5066549374887</v>
      </c>
      <c r="J250" s="367">
        <f t="shared" si="91"/>
        <v>1.5706028473098148</v>
      </c>
      <c r="K250" s="375">
        <f t="shared" si="107"/>
        <v>3.2811543409328201</v>
      </c>
      <c r="L250" s="376">
        <f t="shared" si="108"/>
        <v>1.2610985661633731</v>
      </c>
      <c r="M250" s="364">
        <f t="shared" si="92"/>
        <v>1.000832694882313</v>
      </c>
      <c r="N250" s="367">
        <f t="shared" si="93"/>
        <v>4.0795035857006799E-2</v>
      </c>
      <c r="O250" s="368">
        <f t="shared" si="94"/>
        <v>1.0509735792653829</v>
      </c>
      <c r="P250" s="369">
        <f t="shared" si="95"/>
        <v>0.36557526360079223</v>
      </c>
      <c r="Q250" s="370">
        <f t="shared" si="96"/>
        <v>-2.7446567836060073E-2</v>
      </c>
      <c r="R250" s="371">
        <f t="shared" si="97"/>
        <v>-117.75579281364149</v>
      </c>
      <c r="S250" s="373">
        <f t="shared" si="98"/>
        <v>62.244207186358508</v>
      </c>
      <c r="U250" s="346">
        <f t="shared" si="104"/>
        <v>15224</v>
      </c>
      <c r="V250" s="346">
        <f t="shared" si="105"/>
        <v>231770176</v>
      </c>
      <c r="X250" s="372">
        <f t="shared" si="99"/>
        <v>24.142676239584432</v>
      </c>
      <c r="Y250" s="373">
        <f t="shared" si="100"/>
        <v>-20.070672453547001</v>
      </c>
      <c r="AA250" s="372">
        <f t="shared" si="101"/>
        <v>27.310502547133883</v>
      </c>
      <c r="AB250" s="373">
        <f t="shared" si="102"/>
        <v>-97.685120360094515</v>
      </c>
      <c r="AD250">
        <f t="shared" si="106"/>
        <v>0</v>
      </c>
      <c r="AE250">
        <f t="shared" si="109"/>
        <v>0</v>
      </c>
    </row>
    <row r="251" spans="1:31" x14ac:dyDescent="0.2">
      <c r="A251" s="374">
        <v>15312</v>
      </c>
      <c r="B251" s="391">
        <f t="shared" si="103"/>
        <v>15.311999999999999</v>
      </c>
      <c r="C251" s="364">
        <f t="shared" si="84"/>
        <v>19.617338748247022</v>
      </c>
      <c r="D251" s="365">
        <f t="shared" si="85"/>
        <v>1.5197989106586318</v>
      </c>
      <c r="E251" s="365">
        <f t="shared" si="86"/>
        <v>1.016639079081868</v>
      </c>
      <c r="F251" s="366">
        <f t="shared" si="87"/>
        <v>0.18117169969886748</v>
      </c>
      <c r="G251" s="365">
        <f t="shared" si="88"/>
        <v>1</v>
      </c>
      <c r="H251" s="366">
        <f t="shared" si="89"/>
        <v>0</v>
      </c>
      <c r="I251" s="364">
        <f t="shared" si="90"/>
        <v>5198.3824148335243</v>
      </c>
      <c r="J251" s="367">
        <f t="shared" si="91"/>
        <v>1.5706039592608509</v>
      </c>
      <c r="K251" s="375">
        <f t="shared" si="107"/>
        <v>3.2983634646677826</v>
      </c>
      <c r="L251" s="376">
        <f t="shared" si="108"/>
        <v>1.2627676828750525</v>
      </c>
      <c r="M251" s="364">
        <f t="shared" si="92"/>
        <v>1.0008423451723405</v>
      </c>
      <c r="N251" s="367">
        <f t="shared" si="93"/>
        <v>4.103058150265617E-2</v>
      </c>
      <c r="O251" s="368">
        <f t="shared" si="94"/>
        <v>1.0515519860877796</v>
      </c>
      <c r="P251" s="369">
        <f t="shared" si="95"/>
        <v>0.36757687513156595</v>
      </c>
      <c r="Q251" s="370">
        <f t="shared" si="96"/>
        <v>-8.5250950966388905E-2</v>
      </c>
      <c r="R251" s="371">
        <f t="shared" si="97"/>
        <v>-117.74689182455316</v>
      </c>
      <c r="S251" s="373">
        <f t="shared" si="98"/>
        <v>62.25310817544684</v>
      </c>
      <c r="U251" s="346">
        <f t="shared" si="104"/>
        <v>15312</v>
      </c>
      <c r="V251" s="346">
        <f t="shared" si="105"/>
        <v>234457344</v>
      </c>
      <c r="X251" s="372">
        <f t="shared" si="99"/>
        <v>24.137966622156878</v>
      </c>
      <c r="Y251" s="373">
        <f t="shared" si="100"/>
        <v>-19.988598591839022</v>
      </c>
      <c r="AA251" s="372">
        <f t="shared" si="101"/>
        <v>27.257407781431112</v>
      </c>
      <c r="AB251" s="373">
        <f t="shared" si="102"/>
        <v>-97.758293232714124</v>
      </c>
      <c r="AD251">
        <f t="shared" si="106"/>
        <v>0</v>
      </c>
      <c r="AE251">
        <f t="shared" si="109"/>
        <v>0</v>
      </c>
    </row>
    <row r="252" spans="1:31" x14ac:dyDescent="0.2">
      <c r="A252" s="374">
        <v>15400</v>
      </c>
      <c r="B252" s="391">
        <f t="shared" si="103"/>
        <v>15.4</v>
      </c>
      <c r="C252" s="364">
        <f t="shared" si="84"/>
        <v>19.729789947682836</v>
      </c>
      <c r="D252" s="365">
        <f t="shared" si="85"/>
        <v>1.5200898237789389</v>
      </c>
      <c r="E252" s="365">
        <f t="shared" si="86"/>
        <v>1.0168292950503117</v>
      </c>
      <c r="F252" s="366">
        <f t="shared" si="87"/>
        <v>0.18219009106691256</v>
      </c>
      <c r="G252" s="365">
        <f t="shared" si="88"/>
        <v>1</v>
      </c>
      <c r="H252" s="366">
        <f t="shared" si="89"/>
        <v>0</v>
      </c>
      <c r="I252" s="364">
        <f t="shared" si="90"/>
        <v>5228.2581747359118</v>
      </c>
      <c r="J252" s="367">
        <f t="shared" si="91"/>
        <v>1.5706050585038758</v>
      </c>
      <c r="K252" s="375">
        <f t="shared" si="107"/>
        <v>3.3155816820759845</v>
      </c>
      <c r="L252" s="376">
        <f t="shared" si="108"/>
        <v>1.2644194682981418</v>
      </c>
      <c r="M252" s="364">
        <f t="shared" si="92"/>
        <v>1.0008520509897814</v>
      </c>
      <c r="N252" s="367">
        <f t="shared" si="93"/>
        <v>4.1266122592940012E-2</v>
      </c>
      <c r="O252" s="368">
        <f t="shared" si="94"/>
        <v>1.0521334499294437</v>
      </c>
      <c r="P252" s="369">
        <f t="shared" si="95"/>
        <v>0.3695767017946453</v>
      </c>
      <c r="Q252" s="370">
        <f t="shared" si="96"/>
        <v>-0.14271078576485272</v>
      </c>
      <c r="R252" s="371">
        <f t="shared" si="97"/>
        <v>-117.73871017776995</v>
      </c>
      <c r="S252" s="373">
        <f t="shared" si="98"/>
        <v>62.261289822230054</v>
      </c>
      <c r="U252" s="346">
        <f t="shared" si="104"/>
        <v>15400</v>
      </c>
      <c r="V252" s="346">
        <f t="shared" si="105"/>
        <v>237160000</v>
      </c>
      <c r="X252" s="372">
        <f t="shared" si="99"/>
        <v>24.133330790748872</v>
      </c>
      <c r="Y252" s="373">
        <f t="shared" si="100"/>
        <v>-19.907516750703284</v>
      </c>
      <c r="AA252" s="372">
        <f t="shared" si="101"/>
        <v>27.20458377804065</v>
      </c>
      <c r="AB252" s="373">
        <f t="shared" si="102"/>
        <v>-97.831193427066637</v>
      </c>
      <c r="AD252">
        <f t="shared" si="106"/>
        <v>0</v>
      </c>
      <c r="AE252">
        <f t="shared" si="109"/>
        <v>0</v>
      </c>
    </row>
    <row r="253" spans="1:31" x14ac:dyDescent="0.2">
      <c r="A253" s="374">
        <v>15488</v>
      </c>
      <c r="B253" s="391">
        <f t="shared" si="103"/>
        <v>15.488</v>
      </c>
      <c r="C253" s="364">
        <f t="shared" si="84"/>
        <v>19.842242797933721</v>
      </c>
      <c r="D253" s="365">
        <f t="shared" si="85"/>
        <v>1.5203774395128895</v>
      </c>
      <c r="E253" s="365">
        <f t="shared" si="86"/>
        <v>1.0170205651986313</v>
      </c>
      <c r="F253" s="366">
        <f t="shared" si="87"/>
        <v>0.18320810043451838</v>
      </c>
      <c r="G253" s="365">
        <f t="shared" si="88"/>
        <v>1</v>
      </c>
      <c r="H253" s="366">
        <f t="shared" si="89"/>
        <v>0</v>
      </c>
      <c r="I253" s="364">
        <f t="shared" si="90"/>
        <v>5258.1339346445466</v>
      </c>
      <c r="J253" s="367">
        <f t="shared" si="91"/>
        <v>1.5706061452555031</v>
      </c>
      <c r="K253" s="375">
        <f t="shared" si="107"/>
        <v>3.3328088522160928</v>
      </c>
      <c r="L253" s="376">
        <f t="shared" si="108"/>
        <v>1.2660541821031115</v>
      </c>
      <c r="M253" s="364">
        <f t="shared" si="92"/>
        <v>1.0008618123330202</v>
      </c>
      <c r="N253" s="367">
        <f t="shared" si="93"/>
        <v>4.1501659101855812E-2</v>
      </c>
      <c r="O253" s="368">
        <f t="shared" si="94"/>
        <v>1.0527179664828794</v>
      </c>
      <c r="P253" s="369">
        <f t="shared" si="95"/>
        <v>0.37157473712907707</v>
      </c>
      <c r="Q253" s="370">
        <f t="shared" si="96"/>
        <v>-0.19983078454864664</v>
      </c>
      <c r="R253" s="371">
        <f t="shared" si="97"/>
        <v>-117.73123600957788</v>
      </c>
      <c r="S253" s="373">
        <f t="shared" si="98"/>
        <v>62.268763990422116</v>
      </c>
      <c r="U253" s="346">
        <f t="shared" si="104"/>
        <v>15488</v>
      </c>
      <c r="V253" s="346">
        <f t="shared" si="105"/>
        <v>239878144</v>
      </c>
      <c r="X253" s="372">
        <f t="shared" si="99"/>
        <v>24.128767187564655</v>
      </c>
      <c r="Y253" s="373">
        <f t="shared" si="100"/>
        <v>-19.827412063038956</v>
      </c>
      <c r="AA253" s="372">
        <f t="shared" si="101"/>
        <v>27.152027382441073</v>
      </c>
      <c r="AB253" s="373">
        <f t="shared" si="102"/>
        <v>-97.903823946538921</v>
      </c>
      <c r="AD253">
        <f t="shared" si="106"/>
        <v>0</v>
      </c>
      <c r="AE253">
        <f t="shared" si="109"/>
        <v>0</v>
      </c>
    </row>
    <row r="254" spans="1:31" x14ac:dyDescent="0.2">
      <c r="A254" s="374">
        <v>15578.25</v>
      </c>
      <c r="B254" s="391">
        <f t="shared" si="103"/>
        <v>15.578250000000001</v>
      </c>
      <c r="C254" s="364">
        <f t="shared" si="84"/>
        <v>19.957572548541574</v>
      </c>
      <c r="D254" s="365">
        <f t="shared" si="85"/>
        <v>1.5206690424700333</v>
      </c>
      <c r="E254" s="365">
        <f t="shared" si="86"/>
        <v>1.0172178201085771</v>
      </c>
      <c r="F254" s="366">
        <f t="shared" si="87"/>
        <v>0.18425173969092057</v>
      </c>
      <c r="G254" s="365">
        <f t="shared" si="88"/>
        <v>1</v>
      </c>
      <c r="H254" s="366">
        <f t="shared" si="89"/>
        <v>0</v>
      </c>
      <c r="I254" s="364">
        <f t="shared" si="90"/>
        <v>5288.7735634208575</v>
      </c>
      <c r="J254" s="367">
        <f t="shared" si="91"/>
        <v>1.5706072470405894</v>
      </c>
      <c r="K254" s="375">
        <f t="shared" si="107"/>
        <v>3.3504856441293946</v>
      </c>
      <c r="L254" s="376">
        <f t="shared" si="108"/>
        <v>1.2677132274032277</v>
      </c>
      <c r="M254" s="364">
        <f t="shared" si="92"/>
        <v>1.0008718809278438</v>
      </c>
      <c r="N254" s="367">
        <f t="shared" si="93"/>
        <v>4.1743213065249682E-2</v>
      </c>
      <c r="O254" s="368">
        <f t="shared" si="94"/>
        <v>1.0533205943242745</v>
      </c>
      <c r="P254" s="369">
        <f t="shared" si="95"/>
        <v>0.37362199126632928</v>
      </c>
      <c r="Q254" s="370">
        <f t="shared" si="96"/>
        <v>-0.25806309416928469</v>
      </c>
      <c r="R254" s="371">
        <f t="shared" si="97"/>
        <v>-117.72429338178189</v>
      </c>
      <c r="S254" s="373">
        <f t="shared" si="98"/>
        <v>62.275706618218109</v>
      </c>
      <c r="U254" s="346">
        <f t="shared" si="104"/>
        <v>15578.25</v>
      </c>
      <c r="V254" s="346">
        <f t="shared" si="105"/>
        <v>242681873.0625</v>
      </c>
      <c r="X254" s="372">
        <f t="shared" si="99"/>
        <v>24.124160333650376</v>
      </c>
      <c r="Y254" s="373">
        <f t="shared" si="100"/>
        <v>-19.746258919491062</v>
      </c>
      <c r="AA254" s="372">
        <f t="shared" si="101"/>
        <v>27.098401926734713</v>
      </c>
      <c r="AB254" s="373">
        <f t="shared" si="102"/>
        <v>-97.978034462290807</v>
      </c>
      <c r="AD254">
        <f t="shared" si="106"/>
        <v>0</v>
      </c>
      <c r="AE254">
        <f t="shared" si="109"/>
        <v>0</v>
      </c>
    </row>
    <row r="255" spans="1:31" x14ac:dyDescent="0.2">
      <c r="A255" s="374">
        <v>15668.5</v>
      </c>
      <c r="B255" s="391">
        <f t="shared" si="103"/>
        <v>15.6685</v>
      </c>
      <c r="C255" s="364">
        <f t="shared" si="84"/>
        <v>20.072903976686522</v>
      </c>
      <c r="D255" s="365">
        <f t="shared" si="85"/>
        <v>1.5209572945675418</v>
      </c>
      <c r="E255" s="365">
        <f t="shared" si="86"/>
        <v>1.0174161825244623</v>
      </c>
      <c r="F255" s="366">
        <f t="shared" si="87"/>
        <v>0.18529497313313512</v>
      </c>
      <c r="G255" s="365">
        <f t="shared" si="88"/>
        <v>1</v>
      </c>
      <c r="H255" s="366">
        <f t="shared" si="89"/>
        <v>0</v>
      </c>
      <c r="I255" s="364">
        <f t="shared" si="90"/>
        <v>5319.4131922035149</v>
      </c>
      <c r="J255" s="367">
        <f t="shared" si="91"/>
        <v>1.5706083361331906</v>
      </c>
      <c r="K255" s="375">
        <f t="shared" si="107"/>
        <v>3.3681715612122085</v>
      </c>
      <c r="L255" s="376">
        <f t="shared" si="108"/>
        <v>1.2693548542351705</v>
      </c>
      <c r="M255" s="364">
        <f t="shared" si="92"/>
        <v>1.0008820079206806</v>
      </c>
      <c r="N255" s="367">
        <f t="shared" si="93"/>
        <v>4.1984762154618147E-2</v>
      </c>
      <c r="O255" s="368">
        <f t="shared" si="94"/>
        <v>1.0539264237599777</v>
      </c>
      <c r="P255" s="369">
        <f t="shared" si="95"/>
        <v>0.37566734770798577</v>
      </c>
      <c r="Q255" s="370">
        <f t="shared" si="96"/>
        <v>-0.31594770543561657</v>
      </c>
      <c r="R255" s="371">
        <f t="shared" si="97"/>
        <v>-117.71807028358866</v>
      </c>
      <c r="S255" s="373">
        <f t="shared" si="98"/>
        <v>62.281929716411341</v>
      </c>
      <c r="U255" s="346">
        <f t="shared" si="104"/>
        <v>15668.5</v>
      </c>
      <c r="V255" s="346">
        <f t="shared" si="105"/>
        <v>245501892.25</v>
      </c>
      <c r="X255" s="372">
        <f t="shared" si="99"/>
        <v>24.119626257685795</v>
      </c>
      <c r="Y255" s="373">
        <f t="shared" si="100"/>
        <v>-19.6661027741693</v>
      </c>
      <c r="AA255" s="372">
        <f t="shared" si="101"/>
        <v>27.045051391432967</v>
      </c>
      <c r="AB255" s="373">
        <f t="shared" si="102"/>
        <v>-98.051967509419342</v>
      </c>
      <c r="AD255">
        <f t="shared" si="106"/>
        <v>0</v>
      </c>
      <c r="AE255">
        <f t="shared" si="109"/>
        <v>0</v>
      </c>
    </row>
    <row r="256" spans="1:31" x14ac:dyDescent="0.2">
      <c r="A256" s="374">
        <v>15758.75</v>
      </c>
      <c r="B256" s="391">
        <f t="shared" si="103"/>
        <v>15.758749999999999</v>
      </c>
      <c r="C256" s="364">
        <f t="shared" si="84"/>
        <v>20.188237053618245</v>
      </c>
      <c r="D256" s="365">
        <f t="shared" si="85"/>
        <v>1.5212422531863261</v>
      </c>
      <c r="E256" s="365">
        <f t="shared" si="86"/>
        <v>1.0176156517986332</v>
      </c>
      <c r="F256" s="366">
        <f t="shared" si="87"/>
        <v>0.18633779872836623</v>
      </c>
      <c r="G256" s="365">
        <f t="shared" si="88"/>
        <v>1</v>
      </c>
      <c r="H256" s="366">
        <f t="shared" si="89"/>
        <v>0</v>
      </c>
      <c r="I256" s="364">
        <f t="shared" si="90"/>
        <v>5350.0528209924087</v>
      </c>
      <c r="J256" s="367">
        <f t="shared" si="91"/>
        <v>1.5706094127513757</v>
      </c>
      <c r="K256" s="375">
        <f t="shared" si="107"/>
        <v>3.3858664604698325</v>
      </c>
      <c r="L256" s="376">
        <f t="shared" si="108"/>
        <v>1.2709793267730856</v>
      </c>
      <c r="M256" s="364">
        <f t="shared" si="92"/>
        <v>1.0008921933097579</v>
      </c>
      <c r="N256" s="367">
        <f t="shared" si="93"/>
        <v>4.2226306341922745E-2</v>
      </c>
      <c r="O256" s="368">
        <f t="shared" si="94"/>
        <v>1.0545354501025999</v>
      </c>
      <c r="P256" s="369">
        <f t="shared" si="95"/>
        <v>0.37771079965840004</v>
      </c>
      <c r="Q256" s="370">
        <f t="shared" si="96"/>
        <v>-0.3734894003908707</v>
      </c>
      <c r="R256" s="371">
        <f t="shared" si="97"/>
        <v>-117.71255460461526</v>
      </c>
      <c r="S256" s="373">
        <f t="shared" si="98"/>
        <v>62.287445395384736</v>
      </c>
      <c r="U256" s="346">
        <f t="shared" si="104"/>
        <v>15758.75</v>
      </c>
      <c r="V256" s="346">
        <f t="shared" si="105"/>
        <v>248338201.5625</v>
      </c>
      <c r="X256" s="372">
        <f t="shared" si="99"/>
        <v>24.115163406505872</v>
      </c>
      <c r="Y256" s="373">
        <f t="shared" si="100"/>
        <v>-19.586928501898015</v>
      </c>
      <c r="AA256" s="372">
        <f t="shared" si="101"/>
        <v>26.991972547657632</v>
      </c>
      <c r="AB256" s="373">
        <f t="shared" si="102"/>
        <v>-98.125626102717263</v>
      </c>
      <c r="AD256">
        <f t="shared" si="106"/>
        <v>0</v>
      </c>
      <c r="AE256">
        <f t="shared" si="109"/>
        <v>0</v>
      </c>
    </row>
    <row r="257" spans="1:31" x14ac:dyDescent="0.2">
      <c r="A257" s="374">
        <v>15849</v>
      </c>
      <c r="B257" s="391">
        <f t="shared" si="103"/>
        <v>15.849</v>
      </c>
      <c r="C257" s="364">
        <f t="shared" si="84"/>
        <v>20.303571751239271</v>
      </c>
      <c r="D257" s="365">
        <f t="shared" si="85"/>
        <v>1.5215239744056521</v>
      </c>
      <c r="E257" s="365">
        <f t="shared" si="86"/>
        <v>1.0178162272803308</v>
      </c>
      <c r="F257" s="366">
        <f t="shared" si="87"/>
        <v>0.18738021444895533</v>
      </c>
      <c r="G257" s="365">
        <f t="shared" si="88"/>
        <v>1</v>
      </c>
      <c r="H257" s="366">
        <f t="shared" si="89"/>
        <v>0</v>
      </c>
      <c r="I257" s="364">
        <f t="shared" si="90"/>
        <v>5380.6924497874343</v>
      </c>
      <c r="J257" s="367">
        <f t="shared" si="91"/>
        <v>1.5706104771082459</v>
      </c>
      <c r="K257" s="375">
        <f t="shared" si="107"/>
        <v>3.403570201809365</v>
      </c>
      <c r="L257" s="376">
        <f t="shared" si="108"/>
        <v>1.2725869040610378</v>
      </c>
      <c r="M257" s="364">
        <f t="shared" si="92"/>
        <v>1.0009024370932926</v>
      </c>
      <c r="N257" s="367">
        <f t="shared" si="93"/>
        <v>4.2467845599128459E-2</v>
      </c>
      <c r="O257" s="368">
        <f t="shared" si="94"/>
        <v>1.0551476686512815</v>
      </c>
      <c r="P257" s="369">
        <f t="shared" si="95"/>
        <v>0.37975234038054773</v>
      </c>
      <c r="Q257" s="370">
        <f t="shared" si="96"/>
        <v>-0.43069286466345136</v>
      </c>
      <c r="R257" s="371">
        <f t="shared" si="97"/>
        <v>-117.70773445661216</v>
      </c>
      <c r="S257" s="373">
        <f t="shared" si="98"/>
        <v>62.292265543387842</v>
      </c>
      <c r="U257" s="346">
        <f t="shared" si="104"/>
        <v>15849</v>
      </c>
      <c r="V257" s="346">
        <f t="shared" si="105"/>
        <v>251190801</v>
      </c>
      <c r="X257" s="372">
        <f t="shared" si="99"/>
        <v>24.110770267291048</v>
      </c>
      <c r="Y257" s="373">
        <f t="shared" si="100"/>
        <v>-19.508721271149071</v>
      </c>
      <c r="AA257" s="372">
        <f t="shared" si="101"/>
        <v>26.939162222599879</v>
      </c>
      <c r="AB257" s="373">
        <f t="shared" si="102"/>
        <v>-98.199013185463116</v>
      </c>
      <c r="AD257">
        <f t="shared" si="106"/>
        <v>0</v>
      </c>
      <c r="AE257">
        <f t="shared" si="109"/>
        <v>0</v>
      </c>
    </row>
    <row r="258" spans="1:31" x14ac:dyDescent="0.2">
      <c r="A258" s="374">
        <v>15941.25</v>
      </c>
      <c r="B258" s="391">
        <f t="shared" si="103"/>
        <v>15.94125</v>
      </c>
      <c r="C258" s="364">
        <f t="shared" si="84"/>
        <v>20.421463988808224</v>
      </c>
      <c r="D258" s="365">
        <f t="shared" si="85"/>
        <v>1.5218086500068817</v>
      </c>
      <c r="E258" s="365">
        <f t="shared" si="86"/>
        <v>1.0180223902178864</v>
      </c>
      <c r="F258" s="366">
        <f t="shared" si="87"/>
        <v>0.18844530508936488</v>
      </c>
      <c r="G258" s="365">
        <f t="shared" si="88"/>
        <v>1</v>
      </c>
      <c r="H258" s="366">
        <f t="shared" si="89"/>
        <v>0</v>
      </c>
      <c r="I258" s="364">
        <f t="shared" si="90"/>
        <v>5412.0110731326213</v>
      </c>
      <c r="J258" s="367">
        <f t="shared" si="91"/>
        <v>1.5706115525968809</v>
      </c>
      <c r="K258" s="375">
        <f t="shared" si="107"/>
        <v>3.4216752651086297</v>
      </c>
      <c r="L258" s="376">
        <f t="shared" si="108"/>
        <v>1.2742129097675781</v>
      </c>
      <c r="M258" s="364">
        <f t="shared" si="92"/>
        <v>1.0009129682339006</v>
      </c>
      <c r="N258" s="367">
        <f t="shared" si="93"/>
        <v>4.2714732402478868E-2</v>
      </c>
      <c r="O258" s="368">
        <f t="shared" si="94"/>
        <v>1.0557767485639553</v>
      </c>
      <c r="P258" s="369">
        <f t="shared" si="95"/>
        <v>0.38183714082096665</v>
      </c>
      <c r="Q258" s="370">
        <f t="shared" si="96"/>
        <v>-0.48881921886441704</v>
      </c>
      <c r="R258" s="371">
        <f t="shared" si="97"/>
        <v>-117.70351416331704</v>
      </c>
      <c r="S258" s="373">
        <f t="shared" si="98"/>
        <v>62.296485836682962</v>
      </c>
      <c r="U258" s="346">
        <f t="shared" si="104"/>
        <v>15941.25</v>
      </c>
      <c r="V258" s="346">
        <f t="shared" si="105"/>
        <v>254123451.5625</v>
      </c>
      <c r="X258" s="372">
        <f t="shared" si="99"/>
        <v>24.106350285481298</v>
      </c>
      <c r="Y258" s="373">
        <f t="shared" si="100"/>
        <v>-19.429765199419055</v>
      </c>
      <c r="AA258" s="372">
        <f t="shared" si="101"/>
        <v>26.885455850208658</v>
      </c>
      <c r="AB258" s="373">
        <f t="shared" si="102"/>
        <v>-98.273748963897972</v>
      </c>
      <c r="AD258">
        <f t="shared" si="106"/>
        <v>0</v>
      </c>
      <c r="AE258">
        <f t="shared" si="109"/>
        <v>0</v>
      </c>
    </row>
    <row r="259" spans="1:31" x14ac:dyDescent="0.2">
      <c r="A259" s="374">
        <v>16033.5</v>
      </c>
      <c r="B259" s="391">
        <f t="shared" si="103"/>
        <v>16.0335</v>
      </c>
      <c r="C259" s="364">
        <f t="shared" si="84"/>
        <v>20.539357862338239</v>
      </c>
      <c r="D259" s="365">
        <f t="shared" si="85"/>
        <v>1.5220900576113623</v>
      </c>
      <c r="E259" s="365">
        <f t="shared" si="86"/>
        <v>1.0182297075500206</v>
      </c>
      <c r="F259" s="366">
        <f t="shared" si="87"/>
        <v>0.18950996322016644</v>
      </c>
      <c r="G259" s="365">
        <f t="shared" si="88"/>
        <v>1</v>
      </c>
      <c r="H259" s="366">
        <f t="shared" si="89"/>
        <v>0</v>
      </c>
      <c r="I259" s="364">
        <f t="shared" si="90"/>
        <v>5443.3296964839965</v>
      </c>
      <c r="J259" s="367">
        <f t="shared" si="91"/>
        <v>1.5706126157096998</v>
      </c>
      <c r="K259" s="375">
        <f t="shared" si="107"/>
        <v>3.4397892797110292</v>
      </c>
      <c r="L259" s="376">
        <f t="shared" si="108"/>
        <v>1.2758217945188361</v>
      </c>
      <c r="M259" s="364">
        <f t="shared" si="92"/>
        <v>1.0009235603819646</v>
      </c>
      <c r="N259" s="367">
        <f t="shared" si="93"/>
        <v>4.2961613995579927E-2</v>
      </c>
      <c r="O259" s="368">
        <f t="shared" si="94"/>
        <v>1.0564091537590306</v>
      </c>
      <c r="P259" s="369">
        <f t="shared" si="95"/>
        <v>0.38391993033986238</v>
      </c>
      <c r="Q259" s="370">
        <f t="shared" si="96"/>
        <v>-0.54660178756282674</v>
      </c>
      <c r="R259" s="371">
        <f t="shared" si="97"/>
        <v>-117.69999614213201</v>
      </c>
      <c r="S259" s="373">
        <f t="shared" si="98"/>
        <v>62.300003857867992</v>
      </c>
      <c r="U259" s="346">
        <f t="shared" si="104"/>
        <v>16033.5</v>
      </c>
      <c r="V259" s="346">
        <f t="shared" si="105"/>
        <v>257073122.25</v>
      </c>
      <c r="X259" s="372">
        <f t="shared" si="99"/>
        <v>24.102000067064306</v>
      </c>
      <c r="Y259" s="373">
        <f t="shared" si="100"/>
        <v>-19.35178907856174</v>
      </c>
      <c r="AA259" s="372">
        <f t="shared" si="101"/>
        <v>26.832023499927242</v>
      </c>
      <c r="AB259" s="373">
        <f t="shared" si="102"/>
        <v>-98.348207063570271</v>
      </c>
      <c r="AD259">
        <f t="shared" si="106"/>
        <v>0</v>
      </c>
      <c r="AE259">
        <f t="shared" si="109"/>
        <v>0</v>
      </c>
    </row>
    <row r="260" spans="1:31" x14ac:dyDescent="0.2">
      <c r="A260" s="374">
        <v>16125.75</v>
      </c>
      <c r="B260" s="391">
        <f t="shared" si="103"/>
        <v>16.12575</v>
      </c>
      <c r="C260" s="364">
        <f t="shared" si="84"/>
        <v>20.657253343819335</v>
      </c>
      <c r="D260" s="365">
        <f t="shared" si="85"/>
        <v>1.5223682531276637</v>
      </c>
      <c r="E260" s="365">
        <f t="shared" si="86"/>
        <v>1.018438178571754</v>
      </c>
      <c r="F260" s="366">
        <f t="shared" si="87"/>
        <v>0.1905741866926568</v>
      </c>
      <c r="G260" s="365">
        <f t="shared" si="88"/>
        <v>1</v>
      </c>
      <c r="H260" s="366">
        <f t="shared" si="89"/>
        <v>0</v>
      </c>
      <c r="I260" s="364">
        <f t="shared" si="90"/>
        <v>5474.6483198414517</v>
      </c>
      <c r="J260" s="367">
        <f t="shared" si="91"/>
        <v>1.5706136666590964</v>
      </c>
      <c r="K260" s="375">
        <f t="shared" si="107"/>
        <v>3.4579121049443655</v>
      </c>
      <c r="L260" s="376">
        <f t="shared" si="108"/>
        <v>1.2774138191109019</v>
      </c>
      <c r="M260" s="364">
        <f t="shared" si="92"/>
        <v>1.0009342135355475</v>
      </c>
      <c r="N260" s="367">
        <f t="shared" si="93"/>
        <v>4.3208490348502403E-2</v>
      </c>
      <c r="O260" s="368">
        <f t="shared" si="94"/>
        <v>1.0570448791736988</v>
      </c>
      <c r="P260" s="369">
        <f t="shared" si="95"/>
        <v>0.3860007019321694</v>
      </c>
      <c r="Q260" s="370">
        <f t="shared" si="96"/>
        <v>-0.60404527847581868</v>
      </c>
      <c r="R260" s="371">
        <f t="shared" si="97"/>
        <v>-117.69716838607232</v>
      </c>
      <c r="S260" s="373">
        <f t="shared" si="98"/>
        <v>62.30283161392768</v>
      </c>
      <c r="U260" s="346">
        <f t="shared" si="104"/>
        <v>16125.75</v>
      </c>
      <c r="V260" s="346">
        <f t="shared" si="105"/>
        <v>260039813.0625</v>
      </c>
      <c r="X260" s="372">
        <f t="shared" si="99"/>
        <v>24.097718119221661</v>
      </c>
      <c r="Y260" s="373">
        <f t="shared" si="100"/>
        <v>-19.274777976516283</v>
      </c>
      <c r="AA260" s="372">
        <f t="shared" si="101"/>
        <v>26.778861956856893</v>
      </c>
      <c r="AB260" s="373">
        <f t="shared" si="102"/>
        <v>-98.422390409556016</v>
      </c>
      <c r="AD260">
        <f t="shared" si="106"/>
        <v>0</v>
      </c>
      <c r="AE260">
        <f t="shared" si="109"/>
        <v>0</v>
      </c>
    </row>
    <row r="261" spans="1:31" x14ac:dyDescent="0.2">
      <c r="A261" s="374">
        <v>16218</v>
      </c>
      <c r="B261" s="391">
        <f t="shared" si="103"/>
        <v>16.218</v>
      </c>
      <c r="C261" s="364">
        <f t="shared" si="84"/>
        <v>20.77515040587695</v>
      </c>
      <c r="D261" s="365">
        <f t="shared" si="85"/>
        <v>1.5226432911972669</v>
      </c>
      <c r="E261" s="365">
        <f t="shared" si="86"/>
        <v>1.018647802574763</v>
      </c>
      <c r="F261" s="366">
        <f t="shared" si="87"/>
        <v>0.19163797336382504</v>
      </c>
      <c r="G261" s="365">
        <f t="shared" si="88"/>
        <v>1</v>
      </c>
      <c r="H261" s="366">
        <f t="shared" si="89"/>
        <v>0</v>
      </c>
      <c r="I261" s="364">
        <f t="shared" si="90"/>
        <v>5505.9669432048859</v>
      </c>
      <c r="J261" s="367">
        <f t="shared" si="91"/>
        <v>1.5706147056526316</v>
      </c>
      <c r="K261" s="375">
        <f t="shared" si="107"/>
        <v>3.4760436030023789</v>
      </c>
      <c r="L261" s="376">
        <f t="shared" si="108"/>
        <v>1.2789892392443236</v>
      </c>
      <c r="M261" s="364">
        <f t="shared" si="92"/>
        <v>1.0009449276927018</v>
      </c>
      <c r="N261" s="367">
        <f t="shared" si="93"/>
        <v>4.3455361431320901E-2</v>
      </c>
      <c r="O261" s="368">
        <f t="shared" si="94"/>
        <v>1.0576839197312458</v>
      </c>
      <c r="P261" s="369">
        <f t="shared" si="95"/>
        <v>0.38807944865676702</v>
      </c>
      <c r="Q261" s="370">
        <f t="shared" si="96"/>
        <v>-0.66115430456079327</v>
      </c>
      <c r="R261" s="371">
        <f t="shared" si="97"/>
        <v>-117.69501911056827</v>
      </c>
      <c r="S261" s="373">
        <f t="shared" si="98"/>
        <v>62.304980889431732</v>
      </c>
      <c r="U261" s="346">
        <f t="shared" si="104"/>
        <v>16218</v>
      </c>
      <c r="V261" s="346">
        <f t="shared" si="105"/>
        <v>263023524</v>
      </c>
      <c r="X261" s="372">
        <f t="shared" si="99"/>
        <v>24.09350298801554</v>
      </c>
      <c r="Y261" s="373">
        <f t="shared" si="100"/>
        <v>-19.198717252898206</v>
      </c>
      <c r="AA261" s="372">
        <f t="shared" si="101"/>
        <v>26.725968061978044</v>
      </c>
      <c r="AB261" s="373">
        <f t="shared" si="102"/>
        <v>-98.496301857670034</v>
      </c>
      <c r="AD261">
        <f t="shared" si="106"/>
        <v>0</v>
      </c>
      <c r="AE261">
        <f t="shared" si="109"/>
        <v>0</v>
      </c>
    </row>
    <row r="262" spans="1:31" x14ac:dyDescent="0.2">
      <c r="A262" s="374">
        <v>16312.5</v>
      </c>
      <c r="B262" s="391">
        <f t="shared" si="103"/>
        <v>16.3125</v>
      </c>
      <c r="C262" s="364">
        <f t="shared" si="84"/>
        <v>20.895924616940537</v>
      </c>
      <c r="D262" s="365">
        <f t="shared" si="85"/>
        <v>1.5229218194328158</v>
      </c>
      <c r="E262" s="365">
        <f t="shared" si="86"/>
        <v>1.0188637341208699</v>
      </c>
      <c r="F262" s="366">
        <f t="shared" si="87"/>
        <v>0.19272725090547388</v>
      </c>
      <c r="G262" s="365">
        <f t="shared" si="88"/>
        <v>1</v>
      </c>
      <c r="H262" s="366">
        <f t="shared" si="89"/>
        <v>0</v>
      </c>
      <c r="I262" s="364">
        <f t="shared" si="90"/>
        <v>5538.0494354369357</v>
      </c>
      <c r="J262" s="367">
        <f t="shared" si="91"/>
        <v>1.5706157578026743</v>
      </c>
      <c r="K262" s="375">
        <f t="shared" si="107"/>
        <v>3.4946261843116875</v>
      </c>
      <c r="L262" s="376">
        <f t="shared" si="108"/>
        <v>1.2805861294354179</v>
      </c>
      <c r="M262" s="364">
        <f t="shared" si="92"/>
        <v>1.0009559664222687</v>
      </c>
      <c r="N262" s="367">
        <f t="shared" si="93"/>
        <v>4.3708248264304209E-2</v>
      </c>
      <c r="O262" s="368">
        <f t="shared" si="94"/>
        <v>1.0583419787373449</v>
      </c>
      <c r="P262" s="369">
        <f t="shared" si="95"/>
        <v>0.39020678978205725</v>
      </c>
      <c r="Q262" s="370">
        <f t="shared" si="96"/>
        <v>-0.71931415780192176</v>
      </c>
      <c r="R262" s="371">
        <f t="shared" si="97"/>
        <v>-117.69350882883327</v>
      </c>
      <c r="S262" s="373">
        <f t="shared" si="98"/>
        <v>62.306491171166726</v>
      </c>
      <c r="U262" s="346">
        <f t="shared" si="104"/>
        <v>16312.5</v>
      </c>
      <c r="V262" s="346">
        <f t="shared" si="105"/>
        <v>266097656.25</v>
      </c>
      <c r="X262" s="372">
        <f t="shared" si="99"/>
        <v>24.089252849563643</v>
      </c>
      <c r="Y262" s="373">
        <f t="shared" si="100"/>
        <v>-19.121771816495976</v>
      </c>
      <c r="AA262" s="372">
        <f t="shared" si="101"/>
        <v>26.672058347188813</v>
      </c>
      <c r="AB262" s="373">
        <f t="shared" si="102"/>
        <v>-98.571737012337309</v>
      </c>
      <c r="AD262">
        <f t="shared" si="106"/>
        <v>0</v>
      </c>
      <c r="AE262">
        <f t="shared" si="109"/>
        <v>0</v>
      </c>
    </row>
    <row r="263" spans="1:31" x14ac:dyDescent="0.2">
      <c r="A263" s="374">
        <v>16407</v>
      </c>
      <c r="B263" s="391">
        <f t="shared" si="103"/>
        <v>16.407</v>
      </c>
      <c r="C263" s="364">
        <f t="shared" si="84"/>
        <v>21.01670043043648</v>
      </c>
      <c r="D263" s="365">
        <f t="shared" si="85"/>
        <v>1.523197146475862</v>
      </c>
      <c r="E263" s="365">
        <f t="shared" si="86"/>
        <v>1.0190808740616988</v>
      </c>
      <c r="F263" s="366">
        <f t="shared" si="87"/>
        <v>0.19381606554447867</v>
      </c>
      <c r="G263" s="365">
        <f t="shared" si="88"/>
        <v>1</v>
      </c>
      <c r="H263" s="366">
        <f t="shared" si="89"/>
        <v>0</v>
      </c>
      <c r="I263" s="364">
        <f t="shared" si="90"/>
        <v>5570.1319276750455</v>
      </c>
      <c r="J263" s="367">
        <f t="shared" si="91"/>
        <v>1.570616797832503</v>
      </c>
      <c r="K263" s="375">
        <f t="shared" si="107"/>
        <v>3.5132175828364614</v>
      </c>
      <c r="L263" s="376">
        <f t="shared" si="108"/>
        <v>1.2821661226333649</v>
      </c>
      <c r="M263" s="364">
        <f t="shared" si="92"/>
        <v>1.0009670691633075</v>
      </c>
      <c r="N263" s="367">
        <f t="shared" si="93"/>
        <v>4.396112950341069E-2</v>
      </c>
      <c r="O263" s="368">
        <f t="shared" si="94"/>
        <v>1.0590035057441782</v>
      </c>
      <c r="P263" s="369">
        <f t="shared" si="95"/>
        <v>0.39233199152129739</v>
      </c>
      <c r="Q263" s="370">
        <f t="shared" si="96"/>
        <v>-0.77713253707607843</v>
      </c>
      <c r="R263" s="371">
        <f t="shared" si="97"/>
        <v>-117.69268618830681</v>
      </c>
      <c r="S263" s="373">
        <f t="shared" si="98"/>
        <v>62.307313811693191</v>
      </c>
      <c r="U263" s="346">
        <f t="shared" si="104"/>
        <v>16407</v>
      </c>
      <c r="V263" s="346">
        <f t="shared" si="105"/>
        <v>269189649</v>
      </c>
      <c r="X263" s="372">
        <f t="shared" si="99"/>
        <v>24.085069858141029</v>
      </c>
      <c r="Y263" s="373">
        <f t="shared" si="100"/>
        <v>-19.045793491545997</v>
      </c>
      <c r="AA263" s="372">
        <f t="shared" si="101"/>
        <v>26.61842295933727</v>
      </c>
      <c r="AB263" s="373">
        <f t="shared" si="102"/>
        <v>-98.646892696760816</v>
      </c>
      <c r="AD263">
        <f t="shared" si="106"/>
        <v>0</v>
      </c>
      <c r="AE263">
        <f t="shared" si="109"/>
        <v>0</v>
      </c>
    </row>
    <row r="264" spans="1:31" x14ac:dyDescent="0.2">
      <c r="A264" s="374">
        <v>16501.5</v>
      </c>
      <c r="B264" s="391">
        <f t="shared" si="103"/>
        <v>16.5015</v>
      </c>
      <c r="C264" s="364">
        <f t="shared" si="84"/>
        <v>21.13747781889673</v>
      </c>
      <c r="D264" s="365">
        <f t="shared" si="85"/>
        <v>1.5234693271581619</v>
      </c>
      <c r="E264" s="365">
        <f t="shared" si="86"/>
        <v>1.0192992216249808</v>
      </c>
      <c r="F264" s="366">
        <f t="shared" si="87"/>
        <v>0.19490441499588518</v>
      </c>
      <c r="G264" s="365">
        <f t="shared" si="88"/>
        <v>1</v>
      </c>
      <c r="H264" s="366">
        <f t="shared" si="89"/>
        <v>0</v>
      </c>
      <c r="I264" s="364">
        <f t="shared" si="90"/>
        <v>5602.2144199191107</v>
      </c>
      <c r="J264" s="367">
        <f t="shared" si="91"/>
        <v>1.5706178259503458</v>
      </c>
      <c r="K264" s="375">
        <f t="shared" si="107"/>
        <v>3.5318176593359079</v>
      </c>
      <c r="L264" s="376">
        <f t="shared" si="108"/>
        <v>1.2837294778473174</v>
      </c>
      <c r="M264" s="364">
        <f t="shared" si="92"/>
        <v>1.0009782359136881</v>
      </c>
      <c r="N264" s="367">
        <f t="shared" si="93"/>
        <v>4.4214005116484052E-2</v>
      </c>
      <c r="O264" s="368">
        <f t="shared" si="94"/>
        <v>1.0596684952503621</v>
      </c>
      <c r="P264" s="369">
        <f t="shared" si="95"/>
        <v>0.39445504662155528</v>
      </c>
      <c r="Q264" s="370">
        <f t="shared" si="96"/>
        <v>-0.83461410764931576</v>
      </c>
      <c r="R264" s="371">
        <f t="shared" si="97"/>
        <v>-117.69253921592984</v>
      </c>
      <c r="S264" s="373">
        <f t="shared" si="98"/>
        <v>62.307460784070159</v>
      </c>
      <c r="U264" s="346">
        <f t="shared" si="104"/>
        <v>16501.5</v>
      </c>
      <c r="V264" s="346">
        <f t="shared" si="105"/>
        <v>272299502.25</v>
      </c>
      <c r="X264" s="372">
        <f t="shared" si="99"/>
        <v>24.080952570047511</v>
      </c>
      <c r="Y264" s="373">
        <f t="shared" si="100"/>
        <v>-18.970767448005155</v>
      </c>
      <c r="AA264" s="372">
        <f t="shared" si="101"/>
        <v>26.56505867685755</v>
      </c>
      <c r="AB264" s="373">
        <f t="shared" si="102"/>
        <v>-98.721771767924693</v>
      </c>
      <c r="AD264">
        <f t="shared" si="106"/>
        <v>0</v>
      </c>
      <c r="AE264">
        <f t="shared" si="109"/>
        <v>0</v>
      </c>
    </row>
    <row r="265" spans="1:31" x14ac:dyDescent="0.2">
      <c r="A265" s="374">
        <v>16596</v>
      </c>
      <c r="B265" s="391">
        <f t="shared" si="103"/>
        <v>16.596</v>
      </c>
      <c r="C265" s="364">
        <f t="shared" si="84"/>
        <v>21.258256755477124</v>
      </c>
      <c r="D265" s="365">
        <f t="shared" si="85"/>
        <v>1.523738415067253</v>
      </c>
      <c r="E265" s="365">
        <f t="shared" si="86"/>
        <v>1.0195187760348166</v>
      </c>
      <c r="F265" s="366">
        <f t="shared" si="87"/>
        <v>0.19599229698109935</v>
      </c>
      <c r="G265" s="365">
        <f t="shared" si="88"/>
        <v>1</v>
      </c>
      <c r="H265" s="366">
        <f t="shared" si="89"/>
        <v>0</v>
      </c>
      <c r="I265" s="364">
        <f t="shared" si="90"/>
        <v>5634.2969121690303</v>
      </c>
      <c r="J265" s="367">
        <f t="shared" si="91"/>
        <v>1.5706188423596887</v>
      </c>
      <c r="K265" s="375">
        <f t="shared" si="107"/>
        <v>3.5504262774227509</v>
      </c>
      <c r="L265" s="376">
        <f t="shared" si="108"/>
        <v>1.2852764489854462</v>
      </c>
      <c r="M265" s="364">
        <f t="shared" si="92"/>
        <v>1.0009894666712682</v>
      </c>
      <c r="N265" s="367">
        <f t="shared" si="93"/>
        <v>4.4466875071372328E-2</v>
      </c>
      <c r="O265" s="368">
        <f t="shared" si="94"/>
        <v>1.0603369417400932</v>
      </c>
      <c r="P265" s="369">
        <f t="shared" si="95"/>
        <v>0.39657594790018547</v>
      </c>
      <c r="Q265" s="370">
        <f t="shared" si="96"/>
        <v>-0.8917634408389673</v>
      </c>
      <c r="R265" s="371">
        <f t="shared" si="97"/>
        <v>-117.69305616301067</v>
      </c>
      <c r="S265" s="373">
        <f t="shared" si="98"/>
        <v>62.306943836989333</v>
      </c>
      <c r="U265" s="346">
        <f t="shared" si="104"/>
        <v>16596</v>
      </c>
      <c r="V265" s="346">
        <f t="shared" si="105"/>
        <v>275427216</v>
      </c>
      <c r="X265" s="372">
        <f t="shared" si="99"/>
        <v>24.076899579359512</v>
      </c>
      <c r="Y265" s="373">
        <f t="shared" si="100"/>
        <v>-18.89667914782353</v>
      </c>
      <c r="AA265" s="372">
        <f t="shared" si="101"/>
        <v>26.511962334355896</v>
      </c>
      <c r="AB265" s="373">
        <f t="shared" si="102"/>
        <v>-98.79637701518719</v>
      </c>
      <c r="AD265">
        <f t="shared" si="106"/>
        <v>0</v>
      </c>
      <c r="AE265">
        <f t="shared" si="109"/>
        <v>0</v>
      </c>
    </row>
    <row r="266" spans="1:31" x14ac:dyDescent="0.2">
      <c r="A266" s="374">
        <v>16692.5</v>
      </c>
      <c r="B266" s="391">
        <f t="shared" si="103"/>
        <v>16.692499999999999</v>
      </c>
      <c r="C266" s="364">
        <f t="shared" si="84"/>
        <v>21.381593430376515</v>
      </c>
      <c r="D266" s="365">
        <f t="shared" si="85"/>
        <v>1.5240100607371603</v>
      </c>
      <c r="E266" s="365">
        <f t="shared" si="86"/>
        <v>1.0197442217181203</v>
      </c>
      <c r="F266" s="366">
        <f t="shared" si="87"/>
        <v>0.19710271815123012</v>
      </c>
      <c r="G266" s="365">
        <f t="shared" si="88"/>
        <v>1</v>
      </c>
      <c r="H266" s="366">
        <f t="shared" si="89"/>
        <v>0</v>
      </c>
      <c r="I266" s="364">
        <f t="shared" si="90"/>
        <v>5667.0583989698607</v>
      </c>
      <c r="J266" s="367">
        <f t="shared" si="91"/>
        <v>1.5706198684041781</v>
      </c>
      <c r="K266" s="375">
        <f t="shared" si="107"/>
        <v>3.5694374045246273</v>
      </c>
      <c r="L266" s="376">
        <f t="shared" si="108"/>
        <v>1.2868395110502313</v>
      </c>
      <c r="M266" s="364">
        <f t="shared" si="92"/>
        <v>1.0010010011681092</v>
      </c>
      <c r="N266" s="367">
        <f t="shared" si="93"/>
        <v>4.4725090898850968E-2</v>
      </c>
      <c r="O266" s="368">
        <f t="shared" si="94"/>
        <v>1.0610230970016279</v>
      </c>
      <c r="P266" s="369">
        <f t="shared" si="95"/>
        <v>0.39873950590790014</v>
      </c>
      <c r="Q266" s="370">
        <f t="shared" si="96"/>
        <v>-0.94978407985317603</v>
      </c>
      <c r="R266" s="371">
        <f t="shared" si="97"/>
        <v>-117.6942572151717</v>
      </c>
      <c r="S266" s="373">
        <f t="shared" si="98"/>
        <v>62.305742784828297</v>
      </c>
      <c r="U266" s="346">
        <f t="shared" si="104"/>
        <v>16692.5</v>
      </c>
      <c r="V266" s="346">
        <f t="shared" si="105"/>
        <v>278639556.25</v>
      </c>
      <c r="X266" s="372">
        <f t="shared" si="99"/>
        <v>24.072825741222932</v>
      </c>
      <c r="Y266" s="373">
        <f t="shared" si="100"/>
        <v>-18.82197575344582</v>
      </c>
      <c r="AA266" s="372">
        <f t="shared" si="101"/>
        <v>26.458015533478267</v>
      </c>
      <c r="AB266" s="373">
        <f t="shared" si="102"/>
        <v>-98.872281461725919</v>
      </c>
      <c r="AD266">
        <f t="shared" si="106"/>
        <v>0</v>
      </c>
      <c r="AE266">
        <f t="shared" si="109"/>
        <v>0</v>
      </c>
    </row>
    <row r="267" spans="1:31" x14ac:dyDescent="0.2">
      <c r="A267" s="374">
        <v>16789</v>
      </c>
      <c r="B267" s="391">
        <f t="shared" si="103"/>
        <v>16.789000000000001</v>
      </c>
      <c r="C267" s="364">
        <f t="shared" si="84"/>
        <v>21.504931664954945</v>
      </c>
      <c r="D267" s="365">
        <f t="shared" si="85"/>
        <v>1.5242785904626091</v>
      </c>
      <c r="E267" s="365">
        <f t="shared" si="86"/>
        <v>1.0199709242251735</v>
      </c>
      <c r="F267" s="366">
        <f t="shared" si="87"/>
        <v>0.19821264707681063</v>
      </c>
      <c r="G267" s="365">
        <f t="shared" si="88"/>
        <v>1</v>
      </c>
      <c r="H267" s="366">
        <f t="shared" si="89"/>
        <v>0</v>
      </c>
      <c r="I267" s="364">
        <f t="shared" si="90"/>
        <v>5699.8198857765874</v>
      </c>
      <c r="J267" s="367">
        <f t="shared" si="91"/>
        <v>1.5706208826536483</v>
      </c>
      <c r="K267" s="375">
        <f t="shared" si="107"/>
        <v>3.5884571599294142</v>
      </c>
      <c r="L267" s="376">
        <f t="shared" si="108"/>
        <v>1.288386007589853</v>
      </c>
      <c r="M267" s="364">
        <f t="shared" si="92"/>
        <v>1.0010126024055654</v>
      </c>
      <c r="N267" s="367">
        <f t="shared" si="93"/>
        <v>4.4983300758359879E-2</v>
      </c>
      <c r="O267" s="368">
        <f t="shared" si="94"/>
        <v>1.0617128454522711</v>
      </c>
      <c r="P267" s="369">
        <f t="shared" si="95"/>
        <v>0.40090080304774794</v>
      </c>
      <c r="Q267" s="370">
        <f t="shared" si="96"/>
        <v>-1.0074676151646149</v>
      </c>
      <c r="R267" s="371">
        <f t="shared" si="97"/>
        <v>-117.69612651914824</v>
      </c>
      <c r="S267" s="373">
        <f t="shared" si="98"/>
        <v>62.303873480851763</v>
      </c>
      <c r="U267" s="346">
        <f t="shared" si="104"/>
        <v>16789</v>
      </c>
      <c r="V267" s="346">
        <f t="shared" si="105"/>
        <v>281870521</v>
      </c>
      <c r="X267" s="372">
        <f t="shared" si="99"/>
        <v>24.068816103194845</v>
      </c>
      <c r="Y267" s="373">
        <f t="shared" si="100"/>
        <v>-18.748220476002164</v>
      </c>
      <c r="AA267" s="372">
        <f t="shared" si="101"/>
        <v>26.404341636194918</v>
      </c>
      <c r="AB267" s="373">
        <f t="shared" si="102"/>
        <v>-98.947906043146077</v>
      </c>
      <c r="AD267">
        <f t="shared" si="106"/>
        <v>0</v>
      </c>
      <c r="AE267">
        <f t="shared" si="109"/>
        <v>0</v>
      </c>
    </row>
    <row r="268" spans="1:31" x14ac:dyDescent="0.2">
      <c r="A268" s="374">
        <v>16885.5</v>
      </c>
      <c r="B268" s="391">
        <f t="shared" si="103"/>
        <v>16.8855</v>
      </c>
      <c r="C268" s="364">
        <f t="shared" si="84"/>
        <v>21.628271432529552</v>
      </c>
      <c r="D268" s="365">
        <f t="shared" si="85"/>
        <v>1.5245440575125238</v>
      </c>
      <c r="E268" s="365">
        <f t="shared" si="86"/>
        <v>1.0201988827181245</v>
      </c>
      <c r="F268" s="366">
        <f t="shared" si="87"/>
        <v>0.19932208135217064</v>
      </c>
      <c r="G268" s="365">
        <f t="shared" si="88"/>
        <v>1</v>
      </c>
      <c r="H268" s="366">
        <f t="shared" si="89"/>
        <v>0</v>
      </c>
      <c r="I268" s="364">
        <f t="shared" si="90"/>
        <v>5732.5813725891112</v>
      </c>
      <c r="J268" s="367">
        <f t="shared" si="91"/>
        <v>1.5706218853103233</v>
      </c>
      <c r="K268" s="375">
        <f t="shared" si="107"/>
        <v>3.6074854071640385</v>
      </c>
      <c r="L268" s="376">
        <f t="shared" si="108"/>
        <v>1.2899161932802403</v>
      </c>
      <c r="M268" s="364">
        <f t="shared" si="92"/>
        <v>1.0010242703813161</v>
      </c>
      <c r="N268" s="367">
        <f t="shared" si="93"/>
        <v>4.5241504615676255E-2</v>
      </c>
      <c r="O268" s="368">
        <f t="shared" si="94"/>
        <v>1.0624061811734589</v>
      </c>
      <c r="P268" s="369">
        <f t="shared" si="95"/>
        <v>0.40305983189792338</v>
      </c>
      <c r="Q268" s="370">
        <f t="shared" si="96"/>
        <v>-1.0648186267015527</v>
      </c>
      <c r="R268" s="371">
        <f t="shared" si="97"/>
        <v>-117.69865225739129</v>
      </c>
      <c r="S268" s="373">
        <f t="shared" si="98"/>
        <v>62.301347742608712</v>
      </c>
      <c r="U268" s="346">
        <f t="shared" si="104"/>
        <v>16885.5</v>
      </c>
      <c r="V268" s="346">
        <f t="shared" si="105"/>
        <v>285120110.25</v>
      </c>
      <c r="X268" s="372">
        <f t="shared" si="99"/>
        <v>24.064869282735447</v>
      </c>
      <c r="Y268" s="373">
        <f t="shared" si="100"/>
        <v>-18.675398733262458</v>
      </c>
      <c r="AA268" s="372">
        <f t="shared" si="101"/>
        <v>26.350937445117374</v>
      </c>
      <c r="AB268" s="373">
        <f t="shared" si="102"/>
        <v>-99.023253524128833</v>
      </c>
      <c r="AD268">
        <f t="shared" si="106"/>
        <v>0</v>
      </c>
      <c r="AE268">
        <f t="shared" si="109"/>
        <v>0</v>
      </c>
    </row>
    <row r="269" spans="1:31" x14ac:dyDescent="0.2">
      <c r="A269" s="374">
        <v>16982</v>
      </c>
      <c r="B269" s="391">
        <f t="shared" si="103"/>
        <v>16.981999999999999</v>
      </c>
      <c r="C269" s="364">
        <f t="shared" ref="C269:C332" si="110">SQRT(1+(A269/pole1)^2)</f>
        <v>21.751612707022346</v>
      </c>
      <c r="D269" s="365">
        <f t="shared" ref="D269:D332" si="111">ATAN(A269/pole1)</f>
        <v>1.524806513949345</v>
      </c>
      <c r="E269" s="365">
        <f t="shared" ref="E269:E332" si="112">SQRT(1+(A269/Zero1)^2)</f>
        <v>1.0204280963552306</v>
      </c>
      <c r="F269" s="366">
        <f t="shared" ref="F269:F332" si="113">ATAN(A269/Zero1)</f>
        <v>0.2004310185786542</v>
      </c>
      <c r="G269" s="365">
        <f t="shared" ref="G269:G332" si="114">IF(VIN_nom&gt;Vout, 1, SQRT(1+(A269/z_RHP)^2))</f>
        <v>1</v>
      </c>
      <c r="H269" s="366">
        <f t="shared" ref="H269:H332" si="115">IF(VIN_nom&gt;Vout, 0, -ATAN(A269/z_RHP))</f>
        <v>0</v>
      </c>
      <c r="I269" s="364">
        <f t="shared" ref="I269:I332" si="116">SQRT(1+(A269/Pole2)^2)</f>
        <v>5765.342859407333</v>
      </c>
      <c r="J269" s="367">
        <f t="shared" ref="J269:J332" si="117">ATAN(A269/Pole2)</f>
        <v>1.5706228765718309</v>
      </c>
      <c r="K269" s="375">
        <f t="shared" si="107"/>
        <v>3.6265220125594073</v>
      </c>
      <c r="L269" s="376">
        <f t="shared" si="108"/>
        <v>1.2914303177589912</v>
      </c>
      <c r="M269" s="364">
        <f t="shared" ref="M269:M332" si="118">SQRT(1+(A269/pole4)^2)</f>
        <v>1.0010360050930278</v>
      </c>
      <c r="N269" s="367">
        <f t="shared" ref="N269:N332" si="119">ATAN(A269/pole4)</f>
        <v>4.5499702436582072E-2</v>
      </c>
      <c r="O269" s="368">
        <f t="shared" ref="O269:O332" si="120">SQRT((1-(V269/pterm2))^2+(A269/pterm1)^2)</f>
        <v>1.0631030982319341</v>
      </c>
      <c r="P269" s="369">
        <f t="shared" ref="P269:P332" si="121">IF((ATAN((A269/pterm1)/(1-A269^2/pterm2))&gt;0),ATAN((A269/pterm1)/(1-A269^2/pterm2)),PI()+ATAN((A269/pterm1)/(1-A269^2/pterm2)))</f>
        <v>0.40521658511282455</v>
      </c>
      <c r="Q269" s="370">
        <f t="shared" ref="Q269:Q332" si="122">20*LOG10(((E269*K269*G269)/(C269*I269*O269*M269))*Adc)</f>
        <v>-1.1218416024090323</v>
      </c>
      <c r="R269" s="371">
        <f t="shared" ref="R269:R332" si="123">((F269+L269+H269)-(D269+J269+P269+N269))*radconv</f>
        <v>-117.70182283560175</v>
      </c>
      <c r="S269" s="373">
        <f t="shared" ref="S269:S332" si="124">IF(R269&gt;0,R269,R269+180)</f>
        <v>62.298177164398254</v>
      </c>
      <c r="U269" s="346">
        <f t="shared" si="104"/>
        <v>16982</v>
      </c>
      <c r="V269" s="346">
        <f t="shared" si="105"/>
        <v>288388324</v>
      </c>
      <c r="X269" s="372">
        <f t="shared" ref="X269:X332" si="125">20*LOG10((K269/(I269*M269))*AEA)</f>
        <v>24.060983933532132</v>
      </c>
      <c r="Y269" s="373">
        <f t="shared" ref="Y269:Y332" si="126">(L269-(J269+N269))*radconv</f>
        <v>-18.603496231408577</v>
      </c>
      <c r="AA269" s="372">
        <f t="shared" ref="AA269:AA332" si="127">20*LOG10((E269*G269/(C269*O269))*Acs*Am)</f>
        <v>26.297799818613214</v>
      </c>
      <c r="AB269" s="373">
        <f t="shared" ref="AB269:AB332" si="128">(F269+H269-(D269+P269))*radconv</f>
        <v>-99.098326604193161</v>
      </c>
      <c r="AD269">
        <f t="shared" si="106"/>
        <v>0</v>
      </c>
      <c r="AE269">
        <f t="shared" si="109"/>
        <v>0</v>
      </c>
    </row>
    <row r="270" spans="1:31" x14ac:dyDescent="0.2">
      <c r="A270" s="374">
        <v>17081</v>
      </c>
      <c r="B270" s="391">
        <f t="shared" ref="B270:B333" si="129">A270/1000</f>
        <v>17.081</v>
      </c>
      <c r="C270" s="364">
        <f t="shared" si="110"/>
        <v>21.878150890589442</v>
      </c>
      <c r="D270" s="365">
        <f t="shared" si="111"/>
        <v>1.5250726944930615</v>
      </c>
      <c r="E270" s="365">
        <f t="shared" si="112"/>
        <v>1.0206645516234727</v>
      </c>
      <c r="F270" s="366">
        <f t="shared" si="113"/>
        <v>0.20156816571100952</v>
      </c>
      <c r="G270" s="365">
        <f t="shared" si="114"/>
        <v>1</v>
      </c>
      <c r="H270" s="366">
        <f t="shared" si="115"/>
        <v>0</v>
      </c>
      <c r="I270" s="364">
        <f t="shared" si="116"/>
        <v>5798.9530894131922</v>
      </c>
      <c r="J270" s="367">
        <f t="shared" si="117"/>
        <v>1.5706238818743157</v>
      </c>
      <c r="K270" s="375">
        <f t="shared" si="107"/>
        <v>3.6460603428007952</v>
      </c>
      <c r="L270" s="376">
        <f t="shared" si="108"/>
        <v>1.292967233993096</v>
      </c>
      <c r="M270" s="364">
        <f t="shared" si="118"/>
        <v>1.0010481131620772</v>
      </c>
      <c r="N270" s="367">
        <f t="shared" si="119"/>
        <v>4.5764583011332662E-2</v>
      </c>
      <c r="O270" s="368">
        <f t="shared" si="120"/>
        <v>1.0638217856124339</v>
      </c>
      <c r="P270" s="369">
        <f t="shared" si="121"/>
        <v>0.40742684031387194</v>
      </c>
      <c r="Q270" s="370">
        <f t="shared" si="122"/>
        <v>-1.1800055734664536</v>
      </c>
      <c r="R270" s="371">
        <f t="shared" si="123"/>
        <v>-117.70573374556555</v>
      </c>
      <c r="S270" s="373">
        <f t="shared" si="124"/>
        <v>62.294266254434447</v>
      </c>
      <c r="U270" s="346">
        <f t="shared" ref="U270:U333" si="130">IF(Q270&lt;0,A270,1000000000)</f>
        <v>17081</v>
      </c>
      <c r="V270" s="346">
        <f t="shared" ref="V270:V333" si="131">A270^2</f>
        <v>291760561</v>
      </c>
      <c r="X270" s="372">
        <f t="shared" si="125"/>
        <v>24.057060434145484</v>
      </c>
      <c r="Y270" s="373">
        <f t="shared" si="126"/>
        <v>-18.530671556243746</v>
      </c>
      <c r="AA270" s="372">
        <f t="shared" si="127"/>
        <v>26.24355934694244</v>
      </c>
      <c r="AB270" s="373">
        <f t="shared" si="128"/>
        <v>-99.175062189321793</v>
      </c>
      <c r="AD270">
        <f t="shared" ref="AD270:AD333" si="132">SUM((Q271&lt;0)*(Q270&gt;0))*A270</f>
        <v>0</v>
      </c>
      <c r="AE270">
        <f t="shared" si="109"/>
        <v>0</v>
      </c>
    </row>
    <row r="271" spans="1:31" x14ac:dyDescent="0.2">
      <c r="A271" s="374">
        <v>17180</v>
      </c>
      <c r="B271" s="391">
        <f t="shared" si="129"/>
        <v>17.18</v>
      </c>
      <c r="C271" s="364">
        <f t="shared" si="110"/>
        <v>22.004690606441144</v>
      </c>
      <c r="D271" s="365">
        <f t="shared" si="111"/>
        <v>1.5253358136706519</v>
      </c>
      <c r="E271" s="365">
        <f t="shared" si="112"/>
        <v>1.0209023261043464</v>
      </c>
      <c r="F271" s="366">
        <f t="shared" si="113"/>
        <v>0.20270478461532798</v>
      </c>
      <c r="G271" s="365">
        <f t="shared" si="114"/>
        <v>1</v>
      </c>
      <c r="H271" s="366">
        <f t="shared" si="115"/>
        <v>0</v>
      </c>
      <c r="I271" s="364">
        <f t="shared" si="116"/>
        <v>5832.5633194248458</v>
      </c>
      <c r="J271" s="367">
        <f t="shared" si="117"/>
        <v>1.5706248755906604</v>
      </c>
      <c r="K271" s="375">
        <f t="shared" si="107"/>
        <v>3.6656071936202719</v>
      </c>
      <c r="L271" s="376">
        <f t="shared" si="108"/>
        <v>1.2944877625749904</v>
      </c>
      <c r="M271" s="364">
        <f t="shared" si="118"/>
        <v>1.0010602914646811</v>
      </c>
      <c r="N271" s="367">
        <f t="shared" si="119"/>
        <v>4.6029457159908638E-2</v>
      </c>
      <c r="O271" s="368">
        <f t="shared" si="120"/>
        <v>1.0645442295978897</v>
      </c>
      <c r="P271" s="369">
        <f t="shared" si="121"/>
        <v>0.40963468502708805</v>
      </c>
      <c r="Q271" s="370">
        <f t="shared" si="122"/>
        <v>-1.2378335742701547</v>
      </c>
      <c r="R271" s="371">
        <f t="shared" si="123"/>
        <v>-117.7102993179075</v>
      </c>
      <c r="S271" s="373">
        <f t="shared" si="124"/>
        <v>62.289700682092501</v>
      </c>
      <c r="U271" s="346">
        <f t="shared" si="130"/>
        <v>17180</v>
      </c>
      <c r="V271" s="346">
        <f t="shared" si="131"/>
        <v>295152400</v>
      </c>
      <c r="X271" s="372">
        <f t="shared" si="125"/>
        <v>24.05319887387536</v>
      </c>
      <c r="Y271" s="373">
        <f t="shared" si="126"/>
        <v>-18.458784792358156</v>
      </c>
      <c r="AA271" s="372">
        <f t="shared" si="127"/>
        <v>26.189592906408862</v>
      </c>
      <c r="AB271" s="373">
        <f t="shared" si="128"/>
        <v>-99.251514525549354</v>
      </c>
      <c r="AD271">
        <f t="shared" si="132"/>
        <v>0</v>
      </c>
      <c r="AE271">
        <f t="shared" si="109"/>
        <v>0</v>
      </c>
    </row>
    <row r="272" spans="1:31" x14ac:dyDescent="0.2">
      <c r="A272" s="374">
        <v>17279</v>
      </c>
      <c r="B272" s="391">
        <f t="shared" si="129"/>
        <v>17.279</v>
      </c>
      <c r="C272" s="364">
        <f t="shared" si="110"/>
        <v>22.131231828294016</v>
      </c>
      <c r="D272" s="365">
        <f t="shared" si="111"/>
        <v>1.5255959239579004</v>
      </c>
      <c r="E272" s="365">
        <f t="shared" si="112"/>
        <v>1.021141418876309</v>
      </c>
      <c r="F272" s="366">
        <f t="shared" si="113"/>
        <v>0.20384087272483423</v>
      </c>
      <c r="G272" s="365">
        <f t="shared" si="114"/>
        <v>1</v>
      </c>
      <c r="H272" s="366">
        <f t="shared" si="115"/>
        <v>0</v>
      </c>
      <c r="I272" s="364">
        <f t="shared" si="116"/>
        <v>5866.1735494421919</v>
      </c>
      <c r="J272" s="367">
        <f t="shared" si="117"/>
        <v>1.5706258579200134</v>
      </c>
      <c r="K272" s="375">
        <f t="shared" si="107"/>
        <v>3.6851624294332042</v>
      </c>
      <c r="L272" s="376">
        <f t="shared" si="108"/>
        <v>1.2959921572994038</v>
      </c>
      <c r="M272" s="364">
        <f t="shared" si="118"/>
        <v>1.0010725399982761</v>
      </c>
      <c r="N272" s="367">
        <f t="shared" si="119"/>
        <v>4.6294324845378952E-2</v>
      </c>
      <c r="O272" s="368">
        <f t="shared" si="120"/>
        <v>1.0652704237352906</v>
      </c>
      <c r="P272" s="369">
        <f t="shared" si="121"/>
        <v>0.41184011157060774</v>
      </c>
      <c r="Q272" s="370">
        <f t="shared" si="122"/>
        <v>-1.2953301642665211</v>
      </c>
      <c r="R272" s="371">
        <f t="shared" si="123"/>
        <v>-117.71550773412308</v>
      </c>
      <c r="S272" s="373">
        <f t="shared" si="124"/>
        <v>62.284492265876921</v>
      </c>
      <c r="U272" s="346">
        <f t="shared" si="130"/>
        <v>17279</v>
      </c>
      <c r="V272" s="346">
        <f t="shared" si="131"/>
        <v>298563841</v>
      </c>
      <c r="X272" s="372">
        <f t="shared" si="125"/>
        <v>24.049397910664275</v>
      </c>
      <c r="Y272" s="373">
        <f t="shared" si="126"/>
        <v>-18.387821407679297</v>
      </c>
      <c r="AA272" s="372">
        <f t="shared" si="127"/>
        <v>26.135897279623581</v>
      </c>
      <c r="AB272" s="373">
        <f t="shared" si="128"/>
        <v>-99.327686326443768</v>
      </c>
      <c r="AD272">
        <f t="shared" si="132"/>
        <v>0</v>
      </c>
      <c r="AE272">
        <f t="shared" si="109"/>
        <v>0</v>
      </c>
    </row>
    <row r="273" spans="1:31" x14ac:dyDescent="0.2">
      <c r="A273" s="374">
        <v>17378</v>
      </c>
      <c r="B273" s="391">
        <f t="shared" si="129"/>
        <v>17.378</v>
      </c>
      <c r="C273" s="364">
        <f t="shared" si="110"/>
        <v>22.257774530462047</v>
      </c>
      <c r="D273" s="365">
        <f t="shared" si="111"/>
        <v>1.5258530766388734</v>
      </c>
      <c r="E273" s="365">
        <f t="shared" si="112"/>
        <v>1.0213818290135741</v>
      </c>
      <c r="F273" s="366">
        <f t="shared" si="113"/>
        <v>0.20497642748063041</v>
      </c>
      <c r="G273" s="365">
        <f t="shared" si="114"/>
        <v>1</v>
      </c>
      <c r="H273" s="366">
        <f t="shared" si="115"/>
        <v>0</v>
      </c>
      <c r="I273" s="364">
        <f t="shared" si="116"/>
        <v>5899.783779465135</v>
      </c>
      <c r="J273" s="367">
        <f t="shared" si="117"/>
        <v>1.5706268290569847</v>
      </c>
      <c r="K273" s="375">
        <f t="shared" si="107"/>
        <v>3.704725917460117</v>
      </c>
      <c r="L273" s="376">
        <f t="shared" si="108"/>
        <v>1.2974806668958003</v>
      </c>
      <c r="M273" s="364">
        <f t="shared" si="118"/>
        <v>1.0010848587602843</v>
      </c>
      <c r="N273" s="367">
        <f t="shared" si="119"/>
        <v>4.6559186030818017E-2</v>
      </c>
      <c r="O273" s="368">
        <f t="shared" si="120"/>
        <v>1.0660003615564559</v>
      </c>
      <c r="P273" s="369">
        <f t="shared" si="121"/>
        <v>0.41404311234663249</v>
      </c>
      <c r="Q273" s="370">
        <f t="shared" si="122"/>
        <v>-1.3524998111580175</v>
      </c>
      <c r="R273" s="371">
        <f t="shared" si="123"/>
        <v>-117.72134740175115</v>
      </c>
      <c r="S273" s="373">
        <f t="shared" si="124"/>
        <v>62.278652598248854</v>
      </c>
      <c r="U273" s="346">
        <f t="shared" si="130"/>
        <v>17378</v>
      </c>
      <c r="V273" s="346">
        <f t="shared" si="131"/>
        <v>301994884</v>
      </c>
      <c r="X273" s="372">
        <f t="shared" si="125"/>
        <v>24.045656237827096</v>
      </c>
      <c r="Y273" s="373">
        <f t="shared" si="126"/>
        <v>-18.317767160093286</v>
      </c>
      <c r="AA273" s="372">
        <f t="shared" si="127"/>
        <v>26.082469305569262</v>
      </c>
      <c r="AB273" s="373">
        <f t="shared" si="128"/>
        <v>-99.403580241657863</v>
      </c>
      <c r="AD273">
        <f t="shared" si="132"/>
        <v>0</v>
      </c>
      <c r="AE273">
        <f t="shared" si="109"/>
        <v>0</v>
      </c>
    </row>
    <row r="274" spans="1:31" x14ac:dyDescent="0.2">
      <c r="A274" s="374">
        <v>17479.25</v>
      </c>
      <c r="B274" s="391">
        <f t="shared" si="129"/>
        <v>17.47925</v>
      </c>
      <c r="C274" s="364">
        <f t="shared" si="110"/>
        <v>22.387194708135439</v>
      </c>
      <c r="D274" s="365">
        <f t="shared" si="111"/>
        <v>1.5261130667351863</v>
      </c>
      <c r="E274" s="365">
        <f t="shared" si="112"/>
        <v>1.0216290646640354</v>
      </c>
      <c r="F274" s="366">
        <f t="shared" si="113"/>
        <v>0.2061372359665283</v>
      </c>
      <c r="G274" s="365">
        <f t="shared" si="114"/>
        <v>1</v>
      </c>
      <c r="H274" s="366">
        <f t="shared" si="115"/>
        <v>0</v>
      </c>
      <c r="I274" s="364">
        <f t="shared" si="116"/>
        <v>5934.1578783579253</v>
      </c>
      <c r="J274" s="367">
        <f t="shared" si="117"/>
        <v>1.5706278108866192</v>
      </c>
      <c r="K274" s="375">
        <f t="shared" si="107"/>
        <v>3.7247424303705241</v>
      </c>
      <c r="L274" s="376">
        <f t="shared" si="108"/>
        <v>1.2989868295281011</v>
      </c>
      <c r="M274" s="364">
        <f t="shared" si="118"/>
        <v>1.0010975301321559</v>
      </c>
      <c r="N274" s="367">
        <f t="shared" si="119"/>
        <v>4.6830060026873857E-2</v>
      </c>
      <c r="O274" s="368">
        <f t="shared" si="120"/>
        <v>1.0667507543931203</v>
      </c>
      <c r="P274" s="369">
        <f t="shared" si="121"/>
        <v>0.41629366440119892</v>
      </c>
      <c r="Q274" s="370">
        <f t="shared" si="122"/>
        <v>-1.4106351573873206</v>
      </c>
      <c r="R274" s="371">
        <f t="shared" si="123"/>
        <v>-117.72796087358581</v>
      </c>
      <c r="S274" s="373">
        <f t="shared" si="124"/>
        <v>62.272039126414185</v>
      </c>
      <c r="U274" s="346">
        <f t="shared" si="130"/>
        <v>17479.25</v>
      </c>
      <c r="V274" s="346">
        <f t="shared" si="131"/>
        <v>305524180.5625</v>
      </c>
      <c r="X274" s="372">
        <f t="shared" si="125"/>
        <v>24.041889528028982</v>
      </c>
      <c r="Y274" s="373">
        <f t="shared" si="126"/>
        <v>-18.247046589369422</v>
      </c>
      <c r="AA274" s="372">
        <f t="shared" si="127"/>
        <v>26.028100669138073</v>
      </c>
      <c r="AB274" s="373">
        <f t="shared" si="128"/>
        <v>-99.480914284216382</v>
      </c>
      <c r="AD274">
        <f t="shared" si="132"/>
        <v>0</v>
      </c>
      <c r="AE274">
        <f t="shared" si="109"/>
        <v>0</v>
      </c>
    </row>
    <row r="275" spans="1:31" x14ac:dyDescent="0.2">
      <c r="A275" s="374">
        <v>17580.5</v>
      </c>
      <c r="B275" s="391">
        <f t="shared" si="129"/>
        <v>17.580500000000001</v>
      </c>
      <c r="C275" s="364">
        <f t="shared" si="110"/>
        <v>22.516616381672137</v>
      </c>
      <c r="D275" s="365">
        <f t="shared" si="111"/>
        <v>1.5263700680911763</v>
      </c>
      <c r="E275" s="365">
        <f t="shared" si="112"/>
        <v>1.0218776762682826</v>
      </c>
      <c r="F275" s="366">
        <f t="shared" si="113"/>
        <v>0.20729748119131117</v>
      </c>
      <c r="G275" s="365">
        <f t="shared" si="114"/>
        <v>1</v>
      </c>
      <c r="H275" s="366">
        <f t="shared" si="115"/>
        <v>0</v>
      </c>
      <c r="I275" s="364">
        <f t="shared" si="116"/>
        <v>5968.5319772563698</v>
      </c>
      <c r="J275" s="367">
        <f t="shared" si="117"/>
        <v>1.5706287814071045</v>
      </c>
      <c r="K275" s="375">
        <f t="shared" si="107"/>
        <v>3.7447673026140764</v>
      </c>
      <c r="L275" s="376">
        <f t="shared" si="108"/>
        <v>1.3004768873191481</v>
      </c>
      <c r="M275" s="364">
        <f t="shared" si="118"/>
        <v>1.001110274955415</v>
      </c>
      <c r="N275" s="367">
        <f t="shared" si="119"/>
        <v>4.7100927145978494E-2</v>
      </c>
      <c r="O275" s="368">
        <f t="shared" si="120"/>
        <v>1.0675050492825302</v>
      </c>
      <c r="P275" s="369">
        <f t="shared" si="121"/>
        <v>0.41854166336706627</v>
      </c>
      <c r="Q275" s="370">
        <f t="shared" si="122"/>
        <v>-1.4684376993494386</v>
      </c>
      <c r="R275" s="371">
        <f t="shared" si="123"/>
        <v>-117.73521079193888</v>
      </c>
      <c r="S275" s="373">
        <f t="shared" si="124"/>
        <v>62.264789208061117</v>
      </c>
      <c r="U275" s="346">
        <f t="shared" si="130"/>
        <v>17580.5</v>
      </c>
      <c r="V275" s="346">
        <f t="shared" si="131"/>
        <v>309073980.25</v>
      </c>
      <c r="X275" s="372">
        <f t="shared" si="125"/>
        <v>24.038182178239857</v>
      </c>
      <c r="Y275" s="373">
        <f t="shared" si="126"/>
        <v>-18.17724771609339</v>
      </c>
      <c r="AA275" s="372">
        <f t="shared" si="127"/>
        <v>25.974005476965075</v>
      </c>
      <c r="AB275" s="373">
        <f t="shared" si="128"/>
        <v>-99.557963075845493</v>
      </c>
      <c r="AD275">
        <f t="shared" si="132"/>
        <v>0</v>
      </c>
      <c r="AE275">
        <f t="shared" si="109"/>
        <v>0</v>
      </c>
    </row>
    <row r="276" spans="1:31" x14ac:dyDescent="0.2">
      <c r="A276" s="374">
        <v>17681.75</v>
      </c>
      <c r="B276" s="391">
        <f t="shared" si="129"/>
        <v>17.681750000000001</v>
      </c>
      <c r="C276" s="364">
        <f t="shared" si="110"/>
        <v>22.64603952542565</v>
      </c>
      <c r="D276" s="365">
        <f t="shared" si="111"/>
        <v>1.5266241319149589</v>
      </c>
      <c r="E276" s="365">
        <f t="shared" si="112"/>
        <v>1.0221276628222979</v>
      </c>
      <c r="F276" s="366">
        <f t="shared" si="113"/>
        <v>0.20845716044335635</v>
      </c>
      <c r="G276" s="365">
        <f t="shared" si="114"/>
        <v>1</v>
      </c>
      <c r="H276" s="366">
        <f t="shared" si="115"/>
        <v>0</v>
      </c>
      <c r="I276" s="364">
        <f t="shared" si="116"/>
        <v>6002.9060761603723</v>
      </c>
      <c r="J276" s="367">
        <f t="shared" si="117"/>
        <v>1.5706297408127177</v>
      </c>
      <c r="K276" s="375">
        <f t="shared" si="107"/>
        <v>3.7648004008015707</v>
      </c>
      <c r="L276" s="376">
        <f t="shared" si="108"/>
        <v>1.3019510906881668</v>
      </c>
      <c r="M276" s="364">
        <f t="shared" si="118"/>
        <v>1.0011230932272572</v>
      </c>
      <c r="N276" s="367">
        <f t="shared" si="119"/>
        <v>4.7371787348648838E-2</v>
      </c>
      <c r="O276" s="368">
        <f t="shared" si="120"/>
        <v>1.0682632392579881</v>
      </c>
      <c r="P276" s="369">
        <f t="shared" si="121"/>
        <v>0.42078710138870301</v>
      </c>
      <c r="Q276" s="370">
        <f t="shared" si="122"/>
        <v>-1.5259119337714337</v>
      </c>
      <c r="R276" s="371">
        <f t="shared" si="123"/>
        <v>-117.74308545699931</v>
      </c>
      <c r="S276" s="373">
        <f t="shared" si="124"/>
        <v>62.25691454300069</v>
      </c>
      <c r="U276" s="346">
        <f t="shared" si="130"/>
        <v>17681.75</v>
      </c>
      <c r="V276" s="346">
        <f t="shared" si="131"/>
        <v>312644283.0625</v>
      </c>
      <c r="X276" s="372">
        <f t="shared" si="125"/>
        <v>24.034532898419041</v>
      </c>
      <c r="Y276" s="373">
        <f t="shared" si="126"/>
        <v>-18.108356201169467</v>
      </c>
      <c r="AA276" s="372">
        <f t="shared" si="127"/>
        <v>25.9201805223639</v>
      </c>
      <c r="AB276" s="373">
        <f t="shared" si="128"/>
        <v>-99.634729255829839</v>
      </c>
      <c r="AD276">
        <f t="shared" si="132"/>
        <v>0</v>
      </c>
      <c r="AE276">
        <f t="shared" si="109"/>
        <v>0</v>
      </c>
    </row>
    <row r="277" spans="1:31" x14ac:dyDescent="0.2">
      <c r="A277" s="374">
        <v>17783</v>
      </c>
      <c r="B277" s="391">
        <f t="shared" si="129"/>
        <v>17.783000000000001</v>
      </c>
      <c r="C277" s="364">
        <f t="shared" si="110"/>
        <v>22.775464114332152</v>
      </c>
      <c r="D277" s="365">
        <f t="shared" si="111"/>
        <v>1.5268753082521991</v>
      </c>
      <c r="E277" s="365">
        <f t="shared" si="112"/>
        <v>1.0223790233174959</v>
      </c>
      <c r="F277" s="366">
        <f t="shared" si="113"/>
        <v>0.20961627101977517</v>
      </c>
      <c r="G277" s="365">
        <f t="shared" si="114"/>
        <v>1</v>
      </c>
      <c r="H277" s="366">
        <f t="shared" si="115"/>
        <v>0</v>
      </c>
      <c r="I277" s="364">
        <f t="shared" si="116"/>
        <v>6037.2801750698363</v>
      </c>
      <c r="J277" s="367">
        <f t="shared" si="117"/>
        <v>1.5706306892933106</v>
      </c>
      <c r="K277" s="375">
        <f t="shared" si="107"/>
        <v>3.7848415943136917</v>
      </c>
      <c r="L277" s="376">
        <f t="shared" si="108"/>
        <v>1.3034096850293089</v>
      </c>
      <c r="M277" s="364">
        <f t="shared" si="118"/>
        <v>1.0011359849448607</v>
      </c>
      <c r="N277" s="367">
        <f t="shared" si="119"/>
        <v>4.7642640595407876E-2</v>
      </c>
      <c r="O277" s="368">
        <f t="shared" si="120"/>
        <v>1.0690253173374304</v>
      </c>
      <c r="P277" s="369">
        <f t="shared" si="121"/>
        <v>0.42302997070206233</v>
      </c>
      <c r="Q277" s="370">
        <f t="shared" si="122"/>
        <v>-1.5830622670097758</v>
      </c>
      <c r="R277" s="371">
        <f t="shared" si="123"/>
        <v>-117.75157339475606</v>
      </c>
      <c r="S277" s="373">
        <f t="shared" si="124"/>
        <v>62.248426605243935</v>
      </c>
      <c r="U277" s="346">
        <f t="shared" si="130"/>
        <v>17783</v>
      </c>
      <c r="V277" s="346">
        <f t="shared" si="131"/>
        <v>316235089</v>
      </c>
      <c r="X277" s="372">
        <f t="shared" si="125"/>
        <v>24.030940432616621</v>
      </c>
      <c r="Y277" s="373">
        <f t="shared" si="126"/>
        <v>-18.040357993164299</v>
      </c>
      <c r="AA277" s="372">
        <f t="shared" si="127"/>
        <v>25.86662265492798</v>
      </c>
      <c r="AB277" s="373">
        <f t="shared" si="128"/>
        <v>-99.711215401591772</v>
      </c>
      <c r="AD277">
        <f t="shared" si="132"/>
        <v>0</v>
      </c>
      <c r="AE277">
        <f t="shared" si="109"/>
        <v>0</v>
      </c>
    </row>
    <row r="278" spans="1:31" x14ac:dyDescent="0.2">
      <c r="A278" s="374">
        <v>17886.5</v>
      </c>
      <c r="B278" s="391">
        <f t="shared" si="129"/>
        <v>17.886500000000002</v>
      </c>
      <c r="C278" s="364">
        <f t="shared" si="110"/>
        <v>22.907766273391339</v>
      </c>
      <c r="D278" s="365">
        <f t="shared" si="111"/>
        <v>1.5271291327634939</v>
      </c>
      <c r="E278" s="365">
        <f t="shared" si="112"/>
        <v>1.0226373886250033</v>
      </c>
      <c r="F278" s="366">
        <f t="shared" si="113"/>
        <v>0.21080054903193746</v>
      </c>
      <c r="G278" s="365">
        <f t="shared" si="114"/>
        <v>1</v>
      </c>
      <c r="H278" s="366">
        <f t="shared" si="115"/>
        <v>0</v>
      </c>
      <c r="I278" s="364">
        <f t="shared" si="116"/>
        <v>6072.4181428495049</v>
      </c>
      <c r="J278" s="367">
        <f t="shared" si="117"/>
        <v>1.5706316477525455</v>
      </c>
      <c r="K278" s="375">
        <f t="shared" si="107"/>
        <v>3.8053363816700769</v>
      </c>
      <c r="L278" s="376">
        <f t="shared" si="108"/>
        <v>1.3048848097750316</v>
      </c>
      <c r="M278" s="364">
        <f t="shared" si="118"/>
        <v>1.0011492390542114</v>
      </c>
      <c r="N278" s="367">
        <f t="shared" si="119"/>
        <v>4.791950557261495E-2</v>
      </c>
      <c r="O278" s="368">
        <f t="shared" si="120"/>
        <v>1.0698083418670379</v>
      </c>
      <c r="P278" s="369">
        <f t="shared" si="121"/>
        <v>0.42532001860101487</v>
      </c>
      <c r="Q278" s="370">
        <f t="shared" si="122"/>
        <v>-1.641152325680044</v>
      </c>
      <c r="R278" s="371">
        <f t="shared" si="123"/>
        <v>-117.76087210379936</v>
      </c>
      <c r="S278" s="373">
        <f t="shared" si="124"/>
        <v>62.239127896200642</v>
      </c>
      <c r="U278" s="346">
        <f t="shared" si="130"/>
        <v>17886.5</v>
      </c>
      <c r="V278" s="346">
        <f t="shared" si="131"/>
        <v>319926882.25</v>
      </c>
      <c r="X278" s="372">
        <f t="shared" si="125"/>
        <v>24.027325582923325</v>
      </c>
      <c r="Y278" s="373">
        <f t="shared" si="126"/>
        <v>-17.971757681258637</v>
      </c>
      <c r="AA278" s="372">
        <f t="shared" si="127"/>
        <v>25.812147445951009</v>
      </c>
      <c r="AB278" s="373">
        <f t="shared" si="128"/>
        <v>-99.789114422540692</v>
      </c>
      <c r="AD278">
        <f t="shared" si="132"/>
        <v>0</v>
      </c>
      <c r="AE278">
        <f t="shared" si="109"/>
        <v>0</v>
      </c>
    </row>
    <row r="279" spans="1:31" x14ac:dyDescent="0.2">
      <c r="A279" s="374">
        <v>17990</v>
      </c>
      <c r="B279" s="391">
        <f t="shared" si="129"/>
        <v>17.989999999999998</v>
      </c>
      <c r="C279" s="364">
        <f t="shared" si="110"/>
        <v>23.040069891376699</v>
      </c>
      <c r="D279" s="365">
        <f t="shared" si="111"/>
        <v>1.5273800422040542</v>
      </c>
      <c r="E279" s="365">
        <f t="shared" si="112"/>
        <v>1.0228971874704738</v>
      </c>
      <c r="F279" s="366">
        <f t="shared" si="113"/>
        <v>0.21198422712975135</v>
      </c>
      <c r="G279" s="365">
        <f t="shared" si="114"/>
        <v>1</v>
      </c>
      <c r="H279" s="366">
        <f t="shared" si="115"/>
        <v>0</v>
      </c>
      <c r="I279" s="364">
        <f t="shared" si="116"/>
        <v>6107.5561106346868</v>
      </c>
      <c r="J279" s="367">
        <f t="shared" si="117"/>
        <v>1.5706325951833726</v>
      </c>
      <c r="K279" s="375">
        <f t="shared" ref="K279:K342" si="133">SQRT(1+(A279/Zero2)^2)</f>
        <v>3.8258393606863694</v>
      </c>
      <c r="L279" s="376">
        <f t="shared" ref="L279:L342" si="134">ATAN(A279/Zero2)</f>
        <v>1.3063441270450198</v>
      </c>
      <c r="M279" s="364">
        <f t="shared" si="118"/>
        <v>1.0011625699038367</v>
      </c>
      <c r="N279" s="367">
        <f t="shared" si="119"/>
        <v>4.8196363197924877E-2</v>
      </c>
      <c r="O279" s="368">
        <f t="shared" si="120"/>
        <v>1.0705954144237209</v>
      </c>
      <c r="P279" s="369">
        <f t="shared" si="121"/>
        <v>0.42760736624406842</v>
      </c>
      <c r="Q279" s="370">
        <f t="shared" si="122"/>
        <v>-1.6989129596835406</v>
      </c>
      <c r="R279" s="371">
        <f t="shared" si="123"/>
        <v>-117.77078809941729</v>
      </c>
      <c r="S279" s="373">
        <f t="shared" si="124"/>
        <v>62.229211900582712</v>
      </c>
      <c r="U279" s="346">
        <f t="shared" si="130"/>
        <v>17990</v>
      </c>
      <c r="V279" s="346">
        <f t="shared" si="131"/>
        <v>323640100</v>
      </c>
      <c r="X279" s="372">
        <f t="shared" si="125"/>
        <v>24.023767550896395</v>
      </c>
      <c r="Y279" s="373">
        <f t="shared" si="126"/>
        <v>-17.904062017884463</v>
      </c>
      <c r="AA279" s="372">
        <f t="shared" si="127"/>
        <v>25.757944843974443</v>
      </c>
      <c r="AB279" s="373">
        <f t="shared" si="128"/>
        <v>-99.866726081532818</v>
      </c>
      <c r="AD279">
        <f t="shared" si="132"/>
        <v>0</v>
      </c>
      <c r="AE279">
        <f t="shared" si="109"/>
        <v>0</v>
      </c>
    </row>
    <row r="280" spans="1:31" x14ac:dyDescent="0.2">
      <c r="A280" s="374">
        <v>18093.5</v>
      </c>
      <c r="B280" s="391">
        <f t="shared" si="129"/>
        <v>18.093499999999999</v>
      </c>
      <c r="C280" s="364">
        <f t="shared" si="110"/>
        <v>23.172374943298838</v>
      </c>
      <c r="D280" s="365">
        <f t="shared" si="111"/>
        <v>1.5276280864737002</v>
      </c>
      <c r="E280" s="365">
        <f t="shared" si="112"/>
        <v>1.0231584187619014</v>
      </c>
      <c r="F280" s="366">
        <f t="shared" si="113"/>
        <v>0.21316730245458515</v>
      </c>
      <c r="G280" s="365">
        <f t="shared" si="114"/>
        <v>1</v>
      </c>
      <c r="H280" s="366">
        <f t="shared" si="115"/>
        <v>0</v>
      </c>
      <c r="I280" s="364">
        <f t="shared" si="116"/>
        <v>6142.6940784252902</v>
      </c>
      <c r="J280" s="367">
        <f t="shared" si="117"/>
        <v>1.5706335317750486</v>
      </c>
      <c r="K280" s="375">
        <f t="shared" si="133"/>
        <v>3.8463504003655888</v>
      </c>
      <c r="L280" s="376">
        <f t="shared" si="134"/>
        <v>1.3077878834582541</v>
      </c>
      <c r="M280" s="364">
        <f t="shared" si="118"/>
        <v>1.0011759774906703</v>
      </c>
      <c r="N280" s="367">
        <f t="shared" si="119"/>
        <v>4.8473213429189824E-2</v>
      </c>
      <c r="O280" s="368">
        <f t="shared" si="120"/>
        <v>1.0713865275017502</v>
      </c>
      <c r="P280" s="369">
        <f t="shared" si="121"/>
        <v>0.4298920056334658</v>
      </c>
      <c r="Q280" s="370">
        <f t="shared" si="122"/>
        <v>-1.7563485978366029</v>
      </c>
      <c r="R280" s="371">
        <f t="shared" si="123"/>
        <v>-117.7813098244108</v>
      </c>
      <c r="S280" s="373">
        <f t="shared" si="124"/>
        <v>62.218690175589202</v>
      </c>
      <c r="U280" s="346">
        <f t="shared" si="130"/>
        <v>18093.5</v>
      </c>
      <c r="V280" s="346">
        <f t="shared" si="131"/>
        <v>327374742.25</v>
      </c>
      <c r="X280" s="372">
        <f t="shared" si="125"/>
        <v>24.020265098654392</v>
      </c>
      <c r="Y280" s="373">
        <f t="shared" si="126"/>
        <v>-17.837256881243714</v>
      </c>
      <c r="AA280" s="372">
        <f t="shared" si="127"/>
        <v>25.704011658063383</v>
      </c>
      <c r="AB280" s="373">
        <f t="shared" si="128"/>
        <v>-99.944052943167065</v>
      </c>
      <c r="AD280">
        <f t="shared" si="132"/>
        <v>0</v>
      </c>
      <c r="AE280">
        <f t="shared" si="109"/>
        <v>0</v>
      </c>
    </row>
    <row r="281" spans="1:31" x14ac:dyDescent="0.2">
      <c r="A281" s="374">
        <v>18197</v>
      </c>
      <c r="B281" s="391">
        <f t="shared" si="129"/>
        <v>18.196999999999999</v>
      </c>
      <c r="C281" s="364">
        <f t="shared" si="110"/>
        <v>23.304681404735572</v>
      </c>
      <c r="D281" s="365">
        <f t="shared" si="111"/>
        <v>1.5278733143405061</v>
      </c>
      <c r="E281" s="365">
        <f t="shared" si="112"/>
        <v>1.0234210814023781</v>
      </c>
      <c r="F281" s="366">
        <f t="shared" si="113"/>
        <v>0.21434977215746739</v>
      </c>
      <c r="G281" s="365">
        <f t="shared" si="114"/>
        <v>1</v>
      </c>
      <c r="H281" s="366">
        <f t="shared" si="115"/>
        <v>0</v>
      </c>
      <c r="I281" s="364">
        <f t="shared" si="116"/>
        <v>6177.8320462212196</v>
      </c>
      <c r="J281" s="367">
        <f t="shared" si="117"/>
        <v>1.5706344577125251</v>
      </c>
      <c r="K281" s="375">
        <f t="shared" si="133"/>
        <v>3.8668693724391874</v>
      </c>
      <c r="L281" s="376">
        <f t="shared" si="134"/>
        <v>1.3092163206617085</v>
      </c>
      <c r="M281" s="364">
        <f t="shared" si="118"/>
        <v>1.0011894618116302</v>
      </c>
      <c r="N281" s="367">
        <f t="shared" si="119"/>
        <v>4.8750056224268749E-2</v>
      </c>
      <c r="O281" s="368">
        <f t="shared" si="120"/>
        <v>1.0721816735799763</v>
      </c>
      <c r="P281" s="369">
        <f t="shared" si="121"/>
        <v>0.4321739288706854</v>
      </c>
      <c r="Q281" s="370">
        <f t="shared" si="122"/>
        <v>-1.8134635801014607</v>
      </c>
      <c r="R281" s="371">
        <f t="shared" si="123"/>
        <v>-117.79242594649745</v>
      </c>
      <c r="S281" s="373">
        <f t="shared" si="124"/>
        <v>62.207574053502555</v>
      </c>
      <c r="U281" s="346">
        <f t="shared" si="130"/>
        <v>18197</v>
      </c>
      <c r="V281" s="346">
        <f t="shared" si="131"/>
        <v>331130809</v>
      </c>
      <c r="X281" s="372">
        <f t="shared" si="125"/>
        <v>24.016817021094653</v>
      </c>
      <c r="Y281" s="373">
        <f t="shared" si="126"/>
        <v>-17.771328434167092</v>
      </c>
      <c r="AA281" s="372">
        <f t="shared" si="127"/>
        <v>25.650344753358262</v>
      </c>
      <c r="AB281" s="373">
        <f t="shared" si="128"/>
        <v>-100.02109751233034</v>
      </c>
      <c r="AD281">
        <f t="shared" si="132"/>
        <v>0</v>
      </c>
      <c r="AE281">
        <f t="shared" si="109"/>
        <v>0</v>
      </c>
    </row>
    <row r="282" spans="1:31" x14ac:dyDescent="0.2">
      <c r="A282" s="374">
        <v>18303</v>
      </c>
      <c r="B282" s="391">
        <f t="shared" si="129"/>
        <v>18.303000000000001</v>
      </c>
      <c r="C282" s="364">
        <f t="shared" si="110"/>
        <v>23.440185110476079</v>
      </c>
      <c r="D282" s="365">
        <f t="shared" si="111"/>
        <v>1.5281215961179755</v>
      </c>
      <c r="E282" s="365">
        <f t="shared" si="112"/>
        <v>1.0236915710268999</v>
      </c>
      <c r="F282" s="366">
        <f t="shared" si="113"/>
        <v>0.21556017322240223</v>
      </c>
      <c r="G282" s="365">
        <f t="shared" si="114"/>
        <v>1</v>
      </c>
      <c r="H282" s="366">
        <f t="shared" si="115"/>
        <v>0</v>
      </c>
      <c r="I282" s="364">
        <f t="shared" si="116"/>
        <v>6213.8187572060524</v>
      </c>
      <c r="J282" s="367">
        <f t="shared" si="117"/>
        <v>1.5706353951611638</v>
      </c>
      <c r="K282" s="375">
        <f t="shared" si="133"/>
        <v>3.8878920627425635</v>
      </c>
      <c r="L282" s="376">
        <f t="shared" si="134"/>
        <v>1.3106636298476293</v>
      </c>
      <c r="M282" s="364">
        <f t="shared" si="118"/>
        <v>1.0012033513743188</v>
      </c>
      <c r="N282" s="367">
        <f t="shared" si="119"/>
        <v>4.9033578291576341E-2</v>
      </c>
      <c r="O282" s="368">
        <f t="shared" si="120"/>
        <v>1.0730001985106488</v>
      </c>
      <c r="P282" s="369">
        <f t="shared" si="121"/>
        <v>0.43450814752202749</v>
      </c>
      <c r="Q282" s="370">
        <f t="shared" si="122"/>
        <v>-1.8716302276223828</v>
      </c>
      <c r="R282" s="371">
        <f t="shared" si="123"/>
        <v>-117.80441507083619</v>
      </c>
      <c r="S282" s="373">
        <f t="shared" si="124"/>
        <v>62.195584929163815</v>
      </c>
      <c r="U282" s="346">
        <f t="shared" si="130"/>
        <v>18303</v>
      </c>
      <c r="V282" s="346">
        <f t="shared" si="131"/>
        <v>334999809</v>
      </c>
      <c r="X282" s="372">
        <f t="shared" si="125"/>
        <v>24.013340791478804</v>
      </c>
      <c r="Y282" s="373">
        <f t="shared" si="126"/>
        <v>-17.704702055793241</v>
      </c>
      <c r="AA282" s="372">
        <f t="shared" si="127"/>
        <v>25.595654335453183</v>
      </c>
      <c r="AB282" s="373">
        <f t="shared" si="128"/>
        <v>-100.09971301504291</v>
      </c>
      <c r="AD282">
        <f t="shared" si="132"/>
        <v>0</v>
      </c>
      <c r="AE282">
        <f t="shared" ref="AE282:AE345" si="135">IF(AD282&gt;0,S282,0)</f>
        <v>0</v>
      </c>
    </row>
    <row r="283" spans="1:31" x14ac:dyDescent="0.2">
      <c r="A283" s="374">
        <v>18409</v>
      </c>
      <c r="B283" s="391">
        <f t="shared" si="129"/>
        <v>18.408999999999999</v>
      </c>
      <c r="C283" s="364">
        <f t="shared" si="110"/>
        <v>23.575690244549659</v>
      </c>
      <c r="D283" s="365">
        <f t="shared" si="111"/>
        <v>1.5283670238302138</v>
      </c>
      <c r="E283" s="365">
        <f t="shared" si="112"/>
        <v>1.0239635596383434</v>
      </c>
      <c r="F283" s="366">
        <f t="shared" si="113"/>
        <v>0.21676993303741293</v>
      </c>
      <c r="G283" s="365">
        <f t="shared" si="114"/>
        <v>1</v>
      </c>
      <c r="H283" s="366">
        <f t="shared" si="115"/>
        <v>0</v>
      </c>
      <c r="I283" s="364">
        <f t="shared" si="116"/>
        <v>6249.805468196284</v>
      </c>
      <c r="J283" s="367">
        <f t="shared" si="117"/>
        <v>1.5706363218140447</v>
      </c>
      <c r="K283" s="375">
        <f t="shared" si="133"/>
        <v>3.908922809419864</v>
      </c>
      <c r="L283" s="376">
        <f t="shared" si="134"/>
        <v>1.3120953684095131</v>
      </c>
      <c r="M283" s="364">
        <f t="shared" si="118"/>
        <v>1.0012173214162647</v>
      </c>
      <c r="N283" s="367">
        <f t="shared" si="119"/>
        <v>4.9317092469674716E-2</v>
      </c>
      <c r="O283" s="368">
        <f t="shared" si="120"/>
        <v>1.0738229376090551</v>
      </c>
      <c r="P283" s="369">
        <f t="shared" si="121"/>
        <v>0.43683950077007738</v>
      </c>
      <c r="Q283" s="370">
        <f t="shared" si="122"/>
        <v>-1.9294694799932794</v>
      </c>
      <c r="R283" s="371">
        <f t="shared" si="123"/>
        <v>-117.81700429515431</v>
      </c>
      <c r="S283" s="373">
        <f t="shared" si="124"/>
        <v>62.182995704845695</v>
      </c>
      <c r="U283" s="346">
        <f t="shared" si="130"/>
        <v>18409</v>
      </c>
      <c r="V283" s="346">
        <f t="shared" si="131"/>
        <v>338891281</v>
      </c>
      <c r="X283" s="372">
        <f t="shared" si="125"/>
        <v>24.009919137474</v>
      </c>
      <c r="Y283" s="373">
        <f t="shared" si="126"/>
        <v>-17.638966737892357</v>
      </c>
      <c r="AA283" s="372">
        <f t="shared" si="127"/>
        <v>25.541236737087097</v>
      </c>
      <c r="AB283" s="373">
        <f t="shared" si="128"/>
        <v>-100.17803755726194</v>
      </c>
      <c r="AD283">
        <f t="shared" si="132"/>
        <v>0</v>
      </c>
      <c r="AE283">
        <f t="shared" si="135"/>
        <v>0</v>
      </c>
    </row>
    <row r="284" spans="1:31" x14ac:dyDescent="0.2">
      <c r="A284" s="374">
        <v>18515</v>
      </c>
      <c r="B284" s="391">
        <f t="shared" si="129"/>
        <v>18.515000000000001</v>
      </c>
      <c r="C284" s="364">
        <f t="shared" si="110"/>
        <v>23.711196782468328</v>
      </c>
      <c r="D284" s="365">
        <f t="shared" si="111"/>
        <v>1.5286096463792811</v>
      </c>
      <c r="E284" s="365">
        <f t="shared" si="112"/>
        <v>1.0242370460425299</v>
      </c>
      <c r="F284" s="366">
        <f t="shared" si="113"/>
        <v>0.21797904857375966</v>
      </c>
      <c r="G284" s="365">
        <f t="shared" si="114"/>
        <v>1</v>
      </c>
      <c r="H284" s="366">
        <f t="shared" si="115"/>
        <v>0</v>
      </c>
      <c r="I284" s="364">
        <f t="shared" si="116"/>
        <v>6285.7921791918207</v>
      </c>
      <c r="J284" s="367">
        <f t="shared" si="117"/>
        <v>1.5706372378565876</v>
      </c>
      <c r="K284" s="375">
        <f t="shared" si="133"/>
        <v>3.9299614831327543</v>
      </c>
      <c r="L284" s="376">
        <f t="shared" si="134"/>
        <v>1.3135117804975356</v>
      </c>
      <c r="M284" s="364">
        <f t="shared" si="118"/>
        <v>1.0012313719340988</v>
      </c>
      <c r="N284" s="367">
        <f t="shared" si="119"/>
        <v>4.9600598713317179E-2</v>
      </c>
      <c r="O284" s="368">
        <f t="shared" si="120"/>
        <v>1.0746498827476962</v>
      </c>
      <c r="P284" s="369">
        <f t="shared" si="121"/>
        <v>0.43916798045245276</v>
      </c>
      <c r="Q284" s="370">
        <f t="shared" si="122"/>
        <v>-1.9869857242869253</v>
      </c>
      <c r="R284" s="371">
        <f t="shared" si="123"/>
        <v>-117.83018214645421</v>
      </c>
      <c r="S284" s="373">
        <f t="shared" si="124"/>
        <v>62.169817853545794</v>
      </c>
      <c r="U284" s="346">
        <f t="shared" si="130"/>
        <v>18515</v>
      </c>
      <c r="V284" s="346">
        <f t="shared" si="131"/>
        <v>342805225</v>
      </c>
      <c r="X284" s="372">
        <f t="shared" si="125"/>
        <v>24.006550864849281</v>
      </c>
      <c r="Y284" s="373">
        <f t="shared" si="126"/>
        <v>-17.574108499721138</v>
      </c>
      <c r="AA284" s="372">
        <f t="shared" si="127"/>
        <v>25.487088765418168</v>
      </c>
      <c r="AB284" s="373">
        <f t="shared" si="128"/>
        <v>-100.25607364673309</v>
      </c>
      <c r="AD284">
        <f t="shared" si="132"/>
        <v>0</v>
      </c>
      <c r="AE284">
        <f t="shared" si="135"/>
        <v>0</v>
      </c>
    </row>
    <row r="285" spans="1:31" x14ac:dyDescent="0.2">
      <c r="A285" s="374">
        <v>18621</v>
      </c>
      <c r="B285" s="391">
        <f t="shared" si="129"/>
        <v>18.620999999999999</v>
      </c>
      <c r="C285" s="364">
        <f t="shared" si="110"/>
        <v>23.846704700300457</v>
      </c>
      <c r="D285" s="365">
        <f t="shared" si="111"/>
        <v>1.5288495115570393</v>
      </c>
      <c r="E285" s="365">
        <f t="shared" si="112"/>
        <v>1.0245120290399832</v>
      </c>
      <c r="F285" s="366">
        <f t="shared" si="113"/>
        <v>0.21918751681346282</v>
      </c>
      <c r="G285" s="365">
        <f t="shared" si="114"/>
        <v>1</v>
      </c>
      <c r="H285" s="366">
        <f t="shared" si="115"/>
        <v>0</v>
      </c>
      <c r="I285" s="364">
        <f t="shared" si="116"/>
        <v>6321.7788901925715</v>
      </c>
      <c r="J285" s="367">
        <f t="shared" si="117"/>
        <v>1.5706381434699908</v>
      </c>
      <c r="K285" s="375">
        <f t="shared" si="133"/>
        <v>3.9510079572495145</v>
      </c>
      <c r="L285" s="376">
        <f t="shared" si="134"/>
        <v>1.3149131053085934</v>
      </c>
      <c r="M285" s="364">
        <f t="shared" si="118"/>
        <v>1.0012455029244332</v>
      </c>
      <c r="N285" s="367">
        <f t="shared" si="119"/>
        <v>4.9884096977264633E-2</v>
      </c>
      <c r="O285" s="368">
        <f t="shared" si="120"/>
        <v>1.0754810257836112</v>
      </c>
      <c r="P285" s="369">
        <f t="shared" si="121"/>
        <v>0.44149357851508825</v>
      </c>
      <c r="Q285" s="370">
        <f t="shared" si="122"/>
        <v>-2.0441832595444915</v>
      </c>
      <c r="R285" s="371">
        <f t="shared" si="123"/>
        <v>-117.84393737727859</v>
      </c>
      <c r="S285" s="373">
        <f t="shared" si="124"/>
        <v>62.156062622721407</v>
      </c>
      <c r="U285" s="346">
        <f t="shared" si="130"/>
        <v>18621</v>
      </c>
      <c r="V285" s="346">
        <f t="shared" si="131"/>
        <v>346741641</v>
      </c>
      <c r="X285" s="372">
        <f t="shared" si="125"/>
        <v>24.003234811116108</v>
      </c>
      <c r="Y285" s="373">
        <f t="shared" si="126"/>
        <v>-17.51011364409678</v>
      </c>
      <c r="AA285" s="372">
        <f t="shared" si="127"/>
        <v>25.433207283893783</v>
      </c>
      <c r="AB285" s="373">
        <f t="shared" si="128"/>
        <v>-100.33382373318183</v>
      </c>
      <c r="AD285">
        <f t="shared" si="132"/>
        <v>0</v>
      </c>
      <c r="AE285">
        <f t="shared" si="135"/>
        <v>0</v>
      </c>
    </row>
    <row r="286" spans="1:31" x14ac:dyDescent="0.2">
      <c r="A286" s="374">
        <v>18729.5</v>
      </c>
      <c r="B286" s="391">
        <f t="shared" si="129"/>
        <v>18.729500000000002</v>
      </c>
      <c r="C286" s="364">
        <f t="shared" si="110"/>
        <v>23.985409964293634</v>
      </c>
      <c r="D286" s="365">
        <f t="shared" si="111"/>
        <v>1.5290922269980656</v>
      </c>
      <c r="E286" s="365">
        <f t="shared" si="112"/>
        <v>1.0247950461829647</v>
      </c>
      <c r="F286" s="366">
        <f t="shared" si="113"/>
        <v>0.2204238131474483</v>
      </c>
      <c r="G286" s="365">
        <f t="shared" si="114"/>
        <v>1</v>
      </c>
      <c r="H286" s="366">
        <f t="shared" si="115"/>
        <v>0</v>
      </c>
      <c r="I286" s="364">
        <f t="shared" si="116"/>
        <v>6358.6143443826104</v>
      </c>
      <c r="J286" s="367">
        <f t="shared" si="117"/>
        <v>1.5706390598260316</v>
      </c>
      <c r="K286" s="375">
        <f t="shared" si="133"/>
        <v>3.9725587595948202</v>
      </c>
      <c r="L286" s="376">
        <f t="shared" si="134"/>
        <v>1.3163320996126959</v>
      </c>
      <c r="M286" s="364">
        <f t="shared" si="118"/>
        <v>1.0012600505310709</v>
      </c>
      <c r="N286" s="367">
        <f t="shared" si="119"/>
        <v>5.0174273209594923E-2</v>
      </c>
      <c r="O286" s="368">
        <f t="shared" si="120"/>
        <v>1.0763361103095066</v>
      </c>
      <c r="P286" s="369">
        <f t="shared" si="121"/>
        <v>0.44387103293001789</v>
      </c>
      <c r="Q286" s="370">
        <f t="shared" si="122"/>
        <v>-2.1024041178076303</v>
      </c>
      <c r="R286" s="371">
        <f t="shared" si="123"/>
        <v>-117.85860348146723</v>
      </c>
      <c r="S286" s="373">
        <f t="shared" si="124"/>
        <v>62.141396518532773</v>
      </c>
      <c r="U286" s="346">
        <f t="shared" si="130"/>
        <v>18729.5</v>
      </c>
      <c r="V286" s="346">
        <f t="shared" si="131"/>
        <v>350794170.25</v>
      </c>
      <c r="X286" s="372">
        <f t="shared" si="125"/>
        <v>23.999893448224334</v>
      </c>
      <c r="Y286" s="373">
        <f t="shared" si="126"/>
        <v>-17.445489636005956</v>
      </c>
      <c r="AA286" s="372">
        <f t="shared" si="127"/>
        <v>25.378327788522416</v>
      </c>
      <c r="AB286" s="373">
        <f t="shared" si="128"/>
        <v>-100.41311384546125</v>
      </c>
      <c r="AD286">
        <f t="shared" si="132"/>
        <v>0</v>
      </c>
      <c r="AE286">
        <f t="shared" si="135"/>
        <v>0</v>
      </c>
    </row>
    <row r="287" spans="1:31" x14ac:dyDescent="0.2">
      <c r="A287" s="374">
        <v>18838</v>
      </c>
      <c r="B287" s="391">
        <f t="shared" si="129"/>
        <v>18.838000000000001</v>
      </c>
      <c r="C287" s="364">
        <f t="shared" si="110"/>
        <v>24.124116625037598</v>
      </c>
      <c r="D287" s="365">
        <f t="shared" si="111"/>
        <v>1.529332151366573</v>
      </c>
      <c r="E287" s="365">
        <f t="shared" si="112"/>
        <v>1.0250796287857311</v>
      </c>
      <c r="F287" s="366">
        <f t="shared" si="113"/>
        <v>0.22165942492793927</v>
      </c>
      <c r="G287" s="365">
        <f t="shared" si="114"/>
        <v>1</v>
      </c>
      <c r="H287" s="366">
        <f t="shared" si="115"/>
        <v>0</v>
      </c>
      <c r="I287" s="364">
        <f t="shared" si="116"/>
        <v>6395.4497985779271</v>
      </c>
      <c r="J287" s="367">
        <f t="shared" si="117"/>
        <v>1.5706399656263206</v>
      </c>
      <c r="K287" s="375">
        <f t="shared" si="133"/>
        <v>3.9941174745373909</v>
      </c>
      <c r="L287" s="376">
        <f t="shared" si="134"/>
        <v>1.3177357783432657</v>
      </c>
      <c r="M287" s="364">
        <f t="shared" si="118"/>
        <v>1.0012746824435999</v>
      </c>
      <c r="N287" s="367">
        <f t="shared" si="119"/>
        <v>5.0464440985501298E-2</v>
      </c>
      <c r="O287" s="368">
        <f t="shared" si="120"/>
        <v>1.0771955757693692</v>
      </c>
      <c r="P287" s="369">
        <f t="shared" si="121"/>
        <v>0.44624545146752986</v>
      </c>
      <c r="Q287" s="370">
        <f t="shared" si="122"/>
        <v>-2.1602998981507975</v>
      </c>
      <c r="R287" s="371">
        <f t="shared" si="123"/>
        <v>-117.87385137645057</v>
      </c>
      <c r="S287" s="373">
        <f t="shared" si="124"/>
        <v>62.126148623549426</v>
      </c>
      <c r="U287" s="346">
        <f t="shared" si="130"/>
        <v>18838</v>
      </c>
      <c r="V287" s="346">
        <f t="shared" si="131"/>
        <v>354870244</v>
      </c>
      <c r="X287" s="372">
        <f t="shared" si="125"/>
        <v>23.996604429380017</v>
      </c>
      <c r="Y287" s="373">
        <f t="shared" si="126"/>
        <v>-17.38174205632296</v>
      </c>
      <c r="AA287" s="372">
        <f t="shared" si="127"/>
        <v>25.323721027023559</v>
      </c>
      <c r="AB287" s="373">
        <f t="shared" si="128"/>
        <v>-100.49210932012761</v>
      </c>
      <c r="AD287">
        <f t="shared" si="132"/>
        <v>0</v>
      </c>
      <c r="AE287">
        <f t="shared" si="135"/>
        <v>0</v>
      </c>
    </row>
    <row r="288" spans="1:31" x14ac:dyDescent="0.2">
      <c r="A288" s="374">
        <v>18946.5</v>
      </c>
      <c r="B288" s="391">
        <f t="shared" si="129"/>
        <v>18.9465</v>
      </c>
      <c r="C288" s="364">
        <f t="shared" si="110"/>
        <v>24.262824658577337</v>
      </c>
      <c r="D288" s="365">
        <f t="shared" si="111"/>
        <v>1.5295693325035098</v>
      </c>
      <c r="E288" s="365">
        <f t="shared" si="112"/>
        <v>1.0253657755448375</v>
      </c>
      <c r="F288" s="366">
        <f t="shared" si="113"/>
        <v>0.2228943489535837</v>
      </c>
      <c r="G288" s="365">
        <f t="shared" si="114"/>
        <v>1</v>
      </c>
      <c r="H288" s="366">
        <f t="shared" si="115"/>
        <v>0</v>
      </c>
      <c r="I288" s="364">
        <f t="shared" si="116"/>
        <v>6432.2852527784307</v>
      </c>
      <c r="J288" s="367">
        <f t="shared" si="117"/>
        <v>1.5706408610522049</v>
      </c>
      <c r="K288" s="375">
        <f t="shared" si="133"/>
        <v>4.015683974637847</v>
      </c>
      <c r="L288" s="376">
        <f t="shared" si="134"/>
        <v>1.3191243826838668</v>
      </c>
      <c r="M288" s="364">
        <f t="shared" si="118"/>
        <v>1.0012893986583236</v>
      </c>
      <c r="N288" s="367">
        <f t="shared" si="119"/>
        <v>5.0754600256492845E-2</v>
      </c>
      <c r="O288" s="368">
        <f t="shared" si="120"/>
        <v>1.0780594133825323</v>
      </c>
      <c r="P288" s="369">
        <f t="shared" si="121"/>
        <v>0.44861682584115992</v>
      </c>
      <c r="Q288" s="370">
        <f t="shared" si="122"/>
        <v>-2.2178749390630288</v>
      </c>
      <c r="R288" s="371">
        <f t="shared" si="123"/>
        <v>-117.88966970076943</v>
      </c>
      <c r="S288" s="373">
        <f t="shared" si="124"/>
        <v>62.110330299230569</v>
      </c>
      <c r="U288" s="346">
        <f t="shared" si="130"/>
        <v>18946.5</v>
      </c>
      <c r="V288" s="346">
        <f t="shared" si="131"/>
        <v>358969862.25</v>
      </c>
      <c r="X288" s="372">
        <f t="shared" si="125"/>
        <v>23.993366604826111</v>
      </c>
      <c r="Y288" s="373">
        <f t="shared" si="126"/>
        <v>-17.31885709385957</v>
      </c>
      <c r="AA288" s="372">
        <f t="shared" si="127"/>
        <v>25.269383810665236</v>
      </c>
      <c r="AB288" s="373">
        <f t="shared" si="128"/>
        <v>-100.5708126069099</v>
      </c>
      <c r="AD288">
        <f t="shared" si="132"/>
        <v>0</v>
      </c>
      <c r="AE288">
        <f t="shared" si="135"/>
        <v>0</v>
      </c>
    </row>
    <row r="289" spans="1:31" x14ac:dyDescent="0.2">
      <c r="A289" s="374">
        <v>19055</v>
      </c>
      <c r="B289" s="391">
        <f t="shared" si="129"/>
        <v>19.055</v>
      </c>
      <c r="C289" s="364">
        <f t="shared" si="110"/>
        <v>24.401534041502309</v>
      </c>
      <c r="D289" s="365">
        <f t="shared" si="111"/>
        <v>1.5298038171632764</v>
      </c>
      <c r="E289" s="365">
        <f t="shared" si="112"/>
        <v>1.0256534851511334</v>
      </c>
      <c r="F289" s="366">
        <f t="shared" si="113"/>
        <v>0.2241285820349832</v>
      </c>
      <c r="G289" s="365">
        <f t="shared" si="114"/>
        <v>1</v>
      </c>
      <c r="H289" s="366">
        <f t="shared" si="115"/>
        <v>0</v>
      </c>
      <c r="I289" s="364">
        <f t="shared" si="116"/>
        <v>6469.1207069840339</v>
      </c>
      <c r="J289" s="367">
        <f t="shared" si="117"/>
        <v>1.5706417462809015</v>
      </c>
      <c r="K289" s="375">
        <f t="shared" si="133"/>
        <v>4.0372581351343326</v>
      </c>
      <c r="L289" s="376">
        <f t="shared" si="134"/>
        <v>1.3204981488980847</v>
      </c>
      <c r="M289" s="364">
        <f t="shared" si="118"/>
        <v>1.0013041991715252</v>
      </c>
      <c r="N289" s="367">
        <f t="shared" si="119"/>
        <v>5.1044750974087227E-2</v>
      </c>
      <c r="O289" s="368">
        <f t="shared" si="120"/>
        <v>1.0789276143530215</v>
      </c>
      <c r="P289" s="369">
        <f t="shared" si="121"/>
        <v>0.45098514788224597</v>
      </c>
      <c r="Q289" s="370">
        <f t="shared" si="122"/>
        <v>-2.2751334920100335</v>
      </c>
      <c r="R289" s="371">
        <f t="shared" si="123"/>
        <v>-117.90604731843253</v>
      </c>
      <c r="S289" s="373">
        <f t="shared" si="124"/>
        <v>62.093952681567472</v>
      </c>
      <c r="U289" s="346">
        <f t="shared" si="130"/>
        <v>19055</v>
      </c>
      <c r="V289" s="346">
        <f t="shared" si="131"/>
        <v>363093025</v>
      </c>
      <c r="X289" s="372">
        <f t="shared" si="125"/>
        <v>23.99017885546051</v>
      </c>
      <c r="Y289" s="373">
        <f t="shared" si="126"/>
        <v>-17.256821219085396</v>
      </c>
      <c r="AA289" s="372">
        <f t="shared" si="127"/>
        <v>25.215313007083836</v>
      </c>
      <c r="AB289" s="373">
        <f t="shared" si="128"/>
        <v>-100.6492260993471</v>
      </c>
      <c r="AD289">
        <f t="shared" si="132"/>
        <v>0</v>
      </c>
      <c r="AE289">
        <f t="shared" si="135"/>
        <v>0</v>
      </c>
    </row>
    <row r="290" spans="1:31" x14ac:dyDescent="0.2">
      <c r="A290" s="374">
        <v>19165.75</v>
      </c>
      <c r="B290" s="391">
        <f t="shared" si="129"/>
        <v>19.165749999999999</v>
      </c>
      <c r="C290" s="364">
        <f t="shared" si="110"/>
        <v>24.543121254176018</v>
      </c>
      <c r="D290" s="365">
        <f t="shared" si="111"/>
        <v>1.5300404309246556</v>
      </c>
      <c r="E290" s="365">
        <f t="shared" si="112"/>
        <v>1.0259487715173969</v>
      </c>
      <c r="F290" s="366">
        <f t="shared" si="113"/>
        <v>0.2253876939267864</v>
      </c>
      <c r="G290" s="365">
        <f t="shared" si="114"/>
        <v>1</v>
      </c>
      <c r="H290" s="366">
        <f t="shared" si="115"/>
        <v>0</v>
      </c>
      <c r="I290" s="364">
        <f t="shared" si="116"/>
        <v>6506.7200300608192</v>
      </c>
      <c r="J290" s="367">
        <f t="shared" si="117"/>
        <v>1.5706426395301432</v>
      </c>
      <c r="K290" s="375">
        <f t="shared" si="133"/>
        <v>4.0592874595471047</v>
      </c>
      <c r="L290" s="376">
        <f t="shared" si="134"/>
        <v>1.3218853408200475</v>
      </c>
      <c r="M290" s="364">
        <f t="shared" si="118"/>
        <v>1.0013193935427214</v>
      </c>
      <c r="N290" s="367">
        <f t="shared" si="119"/>
        <v>5.1340909770410802E-2</v>
      </c>
      <c r="O290" s="368">
        <f t="shared" si="120"/>
        <v>1.0798183103634629</v>
      </c>
      <c r="P290" s="369">
        <f t="shared" si="121"/>
        <v>0.45339942629761365</v>
      </c>
      <c r="Q290" s="370">
        <f t="shared" si="122"/>
        <v>-2.3332573600631519</v>
      </c>
      <c r="R290" s="371">
        <f t="shared" si="123"/>
        <v>-117.92333004079252</v>
      </c>
      <c r="S290" s="373">
        <f t="shared" si="124"/>
        <v>62.076669959207479</v>
      </c>
      <c r="U290" s="346">
        <f t="shared" si="130"/>
        <v>19165.75</v>
      </c>
      <c r="V290" s="346">
        <f t="shared" si="131"/>
        <v>367325973.0625</v>
      </c>
      <c r="X290" s="372">
        <f t="shared" si="125"/>
        <v>23.98697551314222</v>
      </c>
      <c r="Y290" s="373">
        <f t="shared" si="126"/>
        <v>-17.194360805017528</v>
      </c>
      <c r="AA290" s="372">
        <f t="shared" si="127"/>
        <v>25.160392481349003</v>
      </c>
      <c r="AB290" s="373">
        <f t="shared" si="128"/>
        <v>-100.72896923577501</v>
      </c>
      <c r="AD290">
        <f t="shared" si="132"/>
        <v>0</v>
      </c>
      <c r="AE290">
        <f t="shared" si="135"/>
        <v>0</v>
      </c>
    </row>
    <row r="291" spans="1:31" x14ac:dyDescent="0.2">
      <c r="A291" s="374">
        <v>19276.5</v>
      </c>
      <c r="B291" s="391">
        <f t="shared" si="129"/>
        <v>19.276499999999999</v>
      </c>
      <c r="C291" s="364">
        <f t="shared" si="110"/>
        <v>24.68470982515975</v>
      </c>
      <c r="D291" s="365">
        <f t="shared" si="111"/>
        <v>1.5302743303220012</v>
      </c>
      <c r="E291" s="365">
        <f t="shared" si="112"/>
        <v>1.0262456834471279</v>
      </c>
      <c r="F291" s="366">
        <f t="shared" si="113"/>
        <v>0.22664607924373278</v>
      </c>
      <c r="G291" s="365">
        <f t="shared" si="114"/>
        <v>1</v>
      </c>
      <c r="H291" s="366">
        <f t="shared" si="115"/>
        <v>0</v>
      </c>
      <c r="I291" s="364">
        <f t="shared" si="116"/>
        <v>6544.3193531427378</v>
      </c>
      <c r="J291" s="367">
        <f t="shared" si="117"/>
        <v>1.5706435225153483</v>
      </c>
      <c r="K291" s="375">
        <f t="shared" si="133"/>
        <v>4.0813245109194805</v>
      </c>
      <c r="L291" s="376">
        <f t="shared" si="134"/>
        <v>1.3232575551142982</v>
      </c>
      <c r="M291" s="364">
        <f t="shared" si="118"/>
        <v>1.0013346757370043</v>
      </c>
      <c r="N291" s="367">
        <f t="shared" si="119"/>
        <v>5.1637059552861748E-2</v>
      </c>
      <c r="O291" s="368">
        <f t="shared" si="120"/>
        <v>1.0807135340102392</v>
      </c>
      <c r="P291" s="369">
        <f t="shared" si="121"/>
        <v>0.45581050764870523</v>
      </c>
      <c r="Q291" s="370">
        <f t="shared" si="122"/>
        <v>-2.391060161381978</v>
      </c>
      <c r="R291" s="371">
        <f t="shared" si="123"/>
        <v>-117.94117274324516</v>
      </c>
      <c r="S291" s="373">
        <f t="shared" si="124"/>
        <v>62.058827256754839</v>
      </c>
      <c r="U291" s="346">
        <f t="shared" si="130"/>
        <v>19276.5</v>
      </c>
      <c r="V291" s="346">
        <f t="shared" si="131"/>
        <v>371583452.25</v>
      </c>
      <c r="X291" s="372">
        <f t="shared" si="125"/>
        <v>23.983822081727801</v>
      </c>
      <c r="Y291" s="373">
        <f t="shared" si="126"/>
        <v>-17.132757441262832</v>
      </c>
      <c r="AA291" s="372">
        <f t="shared" si="127"/>
        <v>25.105743111444596</v>
      </c>
      <c r="AB291" s="373">
        <f t="shared" si="128"/>
        <v>-100.80841530198234</v>
      </c>
      <c r="AD291">
        <f t="shared" si="132"/>
        <v>0</v>
      </c>
      <c r="AE291">
        <f t="shared" si="135"/>
        <v>0</v>
      </c>
    </row>
    <row r="292" spans="1:31" x14ac:dyDescent="0.2">
      <c r="A292" s="374">
        <v>19387.25</v>
      </c>
      <c r="B292" s="391">
        <f t="shared" si="129"/>
        <v>19.387250000000002</v>
      </c>
      <c r="C292" s="364">
        <f t="shared" si="110"/>
        <v>24.826299731213496</v>
      </c>
      <c r="D292" s="365">
        <f t="shared" si="111"/>
        <v>1.5305055617713632</v>
      </c>
      <c r="E292" s="365">
        <f t="shared" si="112"/>
        <v>1.0265442195298193</v>
      </c>
      <c r="F292" s="366">
        <f t="shared" si="113"/>
        <v>0.22790373463261884</v>
      </c>
      <c r="G292" s="365">
        <f t="shared" si="114"/>
        <v>1</v>
      </c>
      <c r="H292" s="366">
        <f t="shared" si="115"/>
        <v>0</v>
      </c>
      <c r="I292" s="364">
        <f t="shared" si="116"/>
        <v>6581.9186762296995</v>
      </c>
      <c r="J292" s="367">
        <f t="shared" si="117"/>
        <v>1.5706443954124172</v>
      </c>
      <c r="K292" s="375">
        <f t="shared" si="133"/>
        <v>4.1033691647590738</v>
      </c>
      <c r="L292" s="376">
        <f t="shared" si="134"/>
        <v>1.324615027965375</v>
      </c>
      <c r="M292" s="364">
        <f t="shared" si="118"/>
        <v>1.0013500457503532</v>
      </c>
      <c r="N292" s="367">
        <f t="shared" si="119"/>
        <v>5.193320026990652E-2</v>
      </c>
      <c r="O292" s="368">
        <f t="shared" si="120"/>
        <v>1.081613275892096</v>
      </c>
      <c r="P292" s="369">
        <f t="shared" si="121"/>
        <v>0.45821838362583023</v>
      </c>
      <c r="Q292" s="370">
        <f t="shared" si="122"/>
        <v>-2.4485461511934301</v>
      </c>
      <c r="R292" s="371">
        <f t="shared" si="123"/>
        <v>-117.95956427599683</v>
      </c>
      <c r="S292" s="373">
        <f t="shared" si="124"/>
        <v>62.040435724003174</v>
      </c>
      <c r="U292" s="346">
        <f t="shared" si="130"/>
        <v>19387.25</v>
      </c>
      <c r="V292" s="346">
        <f t="shared" si="131"/>
        <v>375865462.5625</v>
      </c>
      <c r="X292" s="372">
        <f t="shared" si="125"/>
        <v>23.98071746373315</v>
      </c>
      <c r="Y292" s="373">
        <f t="shared" si="126"/>
        <v>-17.071997602569748</v>
      </c>
      <c r="AA292" s="372">
        <f t="shared" si="127"/>
        <v>25.051361739627794</v>
      </c>
      <c r="AB292" s="373">
        <f t="shared" si="128"/>
        <v>-100.88756667342705</v>
      </c>
      <c r="AD292">
        <f t="shared" si="132"/>
        <v>0</v>
      </c>
      <c r="AE292">
        <f t="shared" si="135"/>
        <v>0</v>
      </c>
    </row>
    <row r="293" spans="1:31" x14ac:dyDescent="0.2">
      <c r="A293" s="374">
        <v>19498</v>
      </c>
      <c r="B293" s="391">
        <f t="shared" si="129"/>
        <v>19.498000000000001</v>
      </c>
      <c r="C293" s="364">
        <f t="shared" si="110"/>
        <v>24.967890949624184</v>
      </c>
      <c r="D293" s="365">
        <f t="shared" si="111"/>
        <v>1.5307341706370587</v>
      </c>
      <c r="E293" s="365">
        <f t="shared" si="112"/>
        <v>1.0268443783488934</v>
      </c>
      <c r="F293" s="366">
        <f t="shared" si="113"/>
        <v>0.22916065675336611</v>
      </c>
      <c r="G293" s="365">
        <f t="shared" si="114"/>
        <v>1</v>
      </c>
      <c r="H293" s="366">
        <f t="shared" si="115"/>
        <v>0</v>
      </c>
      <c r="I293" s="364">
        <f t="shared" si="116"/>
        <v>6619.5179993216188</v>
      </c>
      <c r="J293" s="367">
        <f t="shared" si="117"/>
        <v>1.5706452583932538</v>
      </c>
      <c r="K293" s="375">
        <f t="shared" si="133"/>
        <v>4.1254212991919648</v>
      </c>
      <c r="L293" s="376">
        <f t="shared" si="134"/>
        <v>1.3259579907277266</v>
      </c>
      <c r="M293" s="364">
        <f t="shared" si="118"/>
        <v>1.0013655035787241</v>
      </c>
      <c r="N293" s="367">
        <f t="shared" si="119"/>
        <v>5.222933187002108E-2</v>
      </c>
      <c r="O293" s="368">
        <f t="shared" si="120"/>
        <v>1.0825175265929794</v>
      </c>
      <c r="P293" s="369">
        <f t="shared" si="121"/>
        <v>0.46062304604581633</v>
      </c>
      <c r="Q293" s="370">
        <f t="shared" si="122"/>
        <v>-2.5057194996353687</v>
      </c>
      <c r="R293" s="371">
        <f t="shared" si="123"/>
        <v>-117.97849371200631</v>
      </c>
      <c r="S293" s="373">
        <f t="shared" si="124"/>
        <v>62.021506287993688</v>
      </c>
      <c r="U293" s="346">
        <f t="shared" si="130"/>
        <v>19498</v>
      </c>
      <c r="V293" s="346">
        <f t="shared" si="131"/>
        <v>380172004</v>
      </c>
      <c r="X293" s="372">
        <f t="shared" si="125"/>
        <v>23.977660590942836</v>
      </c>
      <c r="Y293" s="373">
        <f t="shared" si="126"/>
        <v>-17.012068040202056</v>
      </c>
      <c r="AA293" s="372">
        <f t="shared" si="127"/>
        <v>24.997245263976172</v>
      </c>
      <c r="AB293" s="373">
        <f t="shared" si="128"/>
        <v>-100.96642567180426</v>
      </c>
      <c r="AD293">
        <f t="shared" si="132"/>
        <v>0</v>
      </c>
      <c r="AE293">
        <f t="shared" si="135"/>
        <v>0</v>
      </c>
    </row>
    <row r="294" spans="1:31" x14ac:dyDescent="0.2">
      <c r="A294" s="374">
        <v>19611.75</v>
      </c>
      <c r="B294" s="391">
        <f t="shared" si="129"/>
        <v>19.611750000000001</v>
      </c>
      <c r="C294" s="364">
        <f t="shared" si="110"/>
        <v>25.113318938918972</v>
      </c>
      <c r="D294" s="365">
        <f t="shared" si="111"/>
        <v>1.5309662885310233</v>
      </c>
      <c r="E294" s="365">
        <f t="shared" si="112"/>
        <v>1.0271543556533882</v>
      </c>
      <c r="F294" s="366">
        <f t="shared" si="113"/>
        <v>0.23045085960007047</v>
      </c>
      <c r="G294" s="365">
        <f t="shared" si="114"/>
        <v>1</v>
      </c>
      <c r="H294" s="366">
        <f t="shared" si="115"/>
        <v>0</v>
      </c>
      <c r="I294" s="364">
        <f t="shared" si="116"/>
        <v>6658.1358142405152</v>
      </c>
      <c r="J294" s="367">
        <f t="shared" si="117"/>
        <v>1.5706461346042206</v>
      </c>
      <c r="K294" s="375">
        <f t="shared" si="133"/>
        <v>4.1480784446097498</v>
      </c>
      <c r="L294" s="376">
        <f t="shared" si="134"/>
        <v>1.3273224647609023</v>
      </c>
      <c r="M294" s="364">
        <f t="shared" si="118"/>
        <v>1.001381471540381</v>
      </c>
      <c r="N294" s="367">
        <f t="shared" si="119"/>
        <v>5.2533475548789732E-2</v>
      </c>
      <c r="O294" s="368">
        <f t="shared" si="120"/>
        <v>1.0834509554395362</v>
      </c>
      <c r="P294" s="369">
        <f t="shared" si="121"/>
        <v>0.46308949227653917</v>
      </c>
      <c r="Q294" s="370">
        <f t="shared" si="122"/>
        <v>-2.5641203951198692</v>
      </c>
      <c r="R294" s="371">
        <f t="shared" si="123"/>
        <v>-117.99848461828046</v>
      </c>
      <c r="S294" s="373">
        <f t="shared" si="124"/>
        <v>62.001515381719543</v>
      </c>
      <c r="U294" s="346">
        <f t="shared" si="130"/>
        <v>19611.75</v>
      </c>
      <c r="V294" s="346">
        <f t="shared" si="131"/>
        <v>384620738.0625</v>
      </c>
      <c r="X294" s="372">
        <f t="shared" si="125"/>
        <v>23.9745695240982</v>
      </c>
      <c r="Y294" s="373">
        <f t="shared" si="126"/>
        <v>-16.951365789125916</v>
      </c>
      <c r="AA294" s="372">
        <f t="shared" si="127"/>
        <v>24.941935435336305</v>
      </c>
      <c r="AB294" s="373">
        <f t="shared" si="128"/>
        <v>-101.04711882915454</v>
      </c>
      <c r="AD294">
        <f t="shared" si="132"/>
        <v>0</v>
      </c>
      <c r="AE294">
        <f t="shared" si="135"/>
        <v>0</v>
      </c>
    </row>
    <row r="295" spans="1:31" x14ac:dyDescent="0.2">
      <c r="A295" s="374">
        <v>19725.5</v>
      </c>
      <c r="B295" s="391">
        <f t="shared" si="129"/>
        <v>19.7255</v>
      </c>
      <c r="C295" s="364">
        <f t="shared" si="110"/>
        <v>25.258748265706398</v>
      </c>
      <c r="D295" s="365">
        <f t="shared" si="111"/>
        <v>1.5311957335613873</v>
      </c>
      <c r="E295" s="365">
        <f t="shared" si="112"/>
        <v>1.0274660417497061</v>
      </c>
      <c r="F295" s="366">
        <f t="shared" si="113"/>
        <v>0.23174028181529749</v>
      </c>
      <c r="G295" s="365">
        <f t="shared" si="114"/>
        <v>1</v>
      </c>
      <c r="H295" s="366">
        <f t="shared" si="115"/>
        <v>0</v>
      </c>
      <c r="I295" s="364">
        <f t="shared" si="116"/>
        <v>6696.7536291644647</v>
      </c>
      <c r="J295" s="367">
        <f t="shared" si="117"/>
        <v>1.5706470007095885</v>
      </c>
      <c r="K295" s="375">
        <f t="shared" si="133"/>
        <v>4.1707432289604229</v>
      </c>
      <c r="L295" s="376">
        <f t="shared" si="134"/>
        <v>1.3286721115485101</v>
      </c>
      <c r="M295" s="364">
        <f t="shared" si="118"/>
        <v>1.0013975321302468</v>
      </c>
      <c r="N295" s="367">
        <f t="shared" si="119"/>
        <v>5.2837609499871353E-2</v>
      </c>
      <c r="O295" s="368">
        <f t="shared" si="120"/>
        <v>1.0843891205023859</v>
      </c>
      <c r="P295" s="369">
        <f t="shared" si="121"/>
        <v>0.46555253140386582</v>
      </c>
      <c r="Q295" s="370">
        <f t="shared" si="122"/>
        <v>-2.6222001331975573</v>
      </c>
      <c r="R295" s="371">
        <f t="shared" si="123"/>
        <v>-118.01902029722503</v>
      </c>
      <c r="S295" s="373">
        <f t="shared" si="124"/>
        <v>61.980979702774974</v>
      </c>
      <c r="U295" s="346">
        <f t="shared" si="130"/>
        <v>19725.5</v>
      </c>
      <c r="V295" s="346">
        <f t="shared" si="131"/>
        <v>389095350.25</v>
      </c>
      <c r="X295" s="372">
        <f t="shared" si="125"/>
        <v>23.971526630759577</v>
      </c>
      <c r="Y295" s="373">
        <f t="shared" si="126"/>
        <v>-16.891511940280019</v>
      </c>
      <c r="AA295" s="372">
        <f t="shared" si="127"/>
        <v>24.886898590597241</v>
      </c>
      <c r="AB295" s="373">
        <f t="shared" si="128"/>
        <v>-101.12750835694499</v>
      </c>
      <c r="AD295">
        <f t="shared" si="132"/>
        <v>0</v>
      </c>
      <c r="AE295">
        <f t="shared" si="135"/>
        <v>0</v>
      </c>
    </row>
    <row r="296" spans="1:31" x14ac:dyDescent="0.2">
      <c r="A296" s="374">
        <v>19839.25</v>
      </c>
      <c r="B296" s="391">
        <f t="shared" si="129"/>
        <v>19.83925</v>
      </c>
      <c r="C296" s="364">
        <f t="shared" si="110"/>
        <v>25.404178907016533</v>
      </c>
      <c r="D296" s="365">
        <f t="shared" si="111"/>
        <v>1.5314225516075999</v>
      </c>
      <c r="E296" s="365">
        <f t="shared" si="112"/>
        <v>1.0277794350832148</v>
      </c>
      <c r="F296" s="366">
        <f t="shared" si="113"/>
        <v>0.23302891982360047</v>
      </c>
      <c r="G296" s="365">
        <f t="shared" si="114"/>
        <v>1</v>
      </c>
      <c r="H296" s="366">
        <f t="shared" si="115"/>
        <v>0</v>
      </c>
      <c r="I296" s="364">
        <f t="shared" si="116"/>
        <v>6735.3714440933791</v>
      </c>
      <c r="J296" s="367">
        <f t="shared" si="117"/>
        <v>1.5706478568831814</v>
      </c>
      <c r="K296" s="375">
        <f t="shared" si="133"/>
        <v>4.1934155283821122</v>
      </c>
      <c r="L296" s="376">
        <f t="shared" si="134"/>
        <v>1.3300071666302371</v>
      </c>
      <c r="M296" s="364">
        <f t="shared" si="118"/>
        <v>1.0014136853438649</v>
      </c>
      <c r="N296" s="367">
        <f t="shared" si="119"/>
        <v>5.3141733667472109E-2</v>
      </c>
      <c r="O296" s="368">
        <f t="shared" si="120"/>
        <v>1.0853320115336311</v>
      </c>
      <c r="P296" s="369">
        <f t="shared" si="121"/>
        <v>0.46801215497578141</v>
      </c>
      <c r="Q296" s="370">
        <f t="shared" si="122"/>
        <v>-2.67996296608493</v>
      </c>
      <c r="R296" s="371">
        <f t="shared" si="123"/>
        <v>-118.04008960946462</v>
      </c>
      <c r="S296" s="373">
        <f t="shared" si="124"/>
        <v>61.959910390535384</v>
      </c>
      <c r="U296" s="346">
        <f t="shared" si="130"/>
        <v>19839.25</v>
      </c>
      <c r="V296" s="346">
        <f t="shared" si="131"/>
        <v>393595840.5625</v>
      </c>
      <c r="X296" s="372">
        <f t="shared" si="125"/>
        <v>23.968530843959552</v>
      </c>
      <c r="Y296" s="373">
        <f t="shared" si="126"/>
        <v>-16.832493004996994</v>
      </c>
      <c r="AA296" s="372">
        <f t="shared" si="127"/>
        <v>24.832131544509895</v>
      </c>
      <c r="AB296" s="373">
        <f t="shared" si="128"/>
        <v>-101.20759660446765</v>
      </c>
      <c r="AD296">
        <f t="shared" si="132"/>
        <v>0</v>
      </c>
      <c r="AE296">
        <f t="shared" si="135"/>
        <v>0</v>
      </c>
    </row>
    <row r="297" spans="1:31" x14ac:dyDescent="0.2">
      <c r="A297" s="374">
        <v>19953</v>
      </c>
      <c r="B297" s="391">
        <f t="shared" si="129"/>
        <v>19.952999999999999</v>
      </c>
      <c r="C297" s="364">
        <f t="shared" si="110"/>
        <v>25.549610840402249</v>
      </c>
      <c r="D297" s="365">
        <f t="shared" si="111"/>
        <v>1.5316467875055977</v>
      </c>
      <c r="E297" s="365">
        <f t="shared" si="112"/>
        <v>1.0280945340926659</v>
      </c>
      <c r="F297" s="366">
        <f t="shared" si="113"/>
        <v>0.23431677006429832</v>
      </c>
      <c r="G297" s="365">
        <f t="shared" si="114"/>
        <v>1</v>
      </c>
      <c r="H297" s="366">
        <f t="shared" si="115"/>
        <v>0</v>
      </c>
      <c r="I297" s="364">
        <f t="shared" si="116"/>
        <v>6773.9892590271756</v>
      </c>
      <c r="J297" s="367">
        <f t="shared" si="117"/>
        <v>1.5706487032948595</v>
      </c>
      <c r="K297" s="375">
        <f t="shared" si="133"/>
        <v>4.216095221636615</v>
      </c>
      <c r="L297" s="376">
        <f t="shared" si="134"/>
        <v>1.3313278606881969</v>
      </c>
      <c r="M297" s="364">
        <f t="shared" si="118"/>
        <v>1.0014299311767532</v>
      </c>
      <c r="N297" s="367">
        <f t="shared" si="119"/>
        <v>5.3445847995808975E-2</v>
      </c>
      <c r="O297" s="368">
        <f t="shared" si="120"/>
        <v>1.0862796182709367</v>
      </c>
      <c r="P297" s="369">
        <f t="shared" si="121"/>
        <v>0.47046835467935283</v>
      </c>
      <c r="Q297" s="370">
        <f t="shared" si="122"/>
        <v>-2.7374130607103551</v>
      </c>
      <c r="R297" s="371">
        <f t="shared" si="123"/>
        <v>-118.06168164104989</v>
      </c>
      <c r="S297" s="373">
        <f t="shared" si="124"/>
        <v>61.938318358950113</v>
      </c>
      <c r="U297" s="346">
        <f t="shared" si="130"/>
        <v>19953</v>
      </c>
      <c r="V297" s="346">
        <f t="shared" si="131"/>
        <v>398122209</v>
      </c>
      <c r="X297" s="372">
        <f t="shared" si="125"/>
        <v>23.965581125363936</v>
      </c>
      <c r="Y297" s="373">
        <f t="shared" si="126"/>
        <v>-16.774295772701425</v>
      </c>
      <c r="AA297" s="372">
        <f t="shared" si="127"/>
        <v>24.777631168480085</v>
      </c>
      <c r="AB297" s="373">
        <f t="shared" si="128"/>
        <v>-101.28738586834844</v>
      </c>
      <c r="AD297">
        <f t="shared" si="132"/>
        <v>0</v>
      </c>
      <c r="AE297">
        <f t="shared" si="135"/>
        <v>0</v>
      </c>
    </row>
    <row r="298" spans="1:31" x14ac:dyDescent="0.2">
      <c r="A298" s="374">
        <v>20069</v>
      </c>
      <c r="B298" s="391">
        <f t="shared" si="129"/>
        <v>20.068999999999999</v>
      </c>
      <c r="C298" s="364">
        <f t="shared" si="110"/>
        <v>25.697920757317242</v>
      </c>
      <c r="D298" s="365">
        <f t="shared" si="111"/>
        <v>1.5318728449955712</v>
      </c>
      <c r="E298" s="365">
        <f t="shared" si="112"/>
        <v>1.028417620822035</v>
      </c>
      <c r="F298" s="366">
        <f t="shared" si="113"/>
        <v>0.23562927929498254</v>
      </c>
      <c r="G298" s="365">
        <f t="shared" si="114"/>
        <v>1</v>
      </c>
      <c r="H298" s="366">
        <f t="shared" si="115"/>
        <v>0</v>
      </c>
      <c r="I298" s="364">
        <f t="shared" si="116"/>
        <v>6813.3709428327338</v>
      </c>
      <c r="J298" s="367">
        <f t="shared" si="117"/>
        <v>1.5706495565673573</v>
      </c>
      <c r="K298" s="375">
        <f t="shared" si="133"/>
        <v>4.2392310158447488</v>
      </c>
      <c r="L298" s="376">
        <f t="shared" si="134"/>
        <v>1.3326601226402124</v>
      </c>
      <c r="M298" s="364">
        <f t="shared" si="118"/>
        <v>1.0014465937365469</v>
      </c>
      <c r="N298" s="367">
        <f t="shared" si="119"/>
        <v>5.3755967581459264E-2</v>
      </c>
      <c r="O298" s="368">
        <f t="shared" si="120"/>
        <v>1.0872508147698883</v>
      </c>
      <c r="P298" s="369">
        <f t="shared" si="121"/>
        <v>0.4729696039541928</v>
      </c>
      <c r="Q298" s="370">
        <f t="shared" si="122"/>
        <v>-2.7956816854631428</v>
      </c>
      <c r="R298" s="371">
        <f t="shared" si="123"/>
        <v>-118.0842280139054</v>
      </c>
      <c r="S298" s="373">
        <f t="shared" si="124"/>
        <v>61.915771986094597</v>
      </c>
      <c r="U298" s="346">
        <f t="shared" si="130"/>
        <v>20069</v>
      </c>
      <c r="V298" s="346">
        <f t="shared" si="131"/>
        <v>402764761</v>
      </c>
      <c r="X298" s="372">
        <f t="shared" si="125"/>
        <v>23.962619457245552</v>
      </c>
      <c r="Y298" s="373">
        <f t="shared" si="126"/>
        <v>-16.715780217893215</v>
      </c>
      <c r="AA298" s="372">
        <f t="shared" si="127"/>
        <v>24.722324211845685</v>
      </c>
      <c r="AB298" s="373">
        <f t="shared" si="128"/>
        <v>-101.36844779601221</v>
      </c>
      <c r="AD298">
        <f t="shared" si="132"/>
        <v>0</v>
      </c>
      <c r="AE298">
        <f t="shared" si="135"/>
        <v>0</v>
      </c>
    </row>
    <row r="299" spans="1:31" x14ac:dyDescent="0.2">
      <c r="A299" s="374">
        <v>20185</v>
      </c>
      <c r="B299" s="391">
        <f t="shared" si="129"/>
        <v>20.184999999999999</v>
      </c>
      <c r="C299" s="364">
        <f t="shared" si="110"/>
        <v>25.846231972376174</v>
      </c>
      <c r="D299" s="365">
        <f t="shared" si="111"/>
        <v>1.532096308164262</v>
      </c>
      <c r="E299" s="365">
        <f t="shared" si="112"/>
        <v>1.0287424780717869</v>
      </c>
      <c r="F299" s="366">
        <f t="shared" si="113"/>
        <v>0.2369409618533366</v>
      </c>
      <c r="G299" s="365">
        <f t="shared" si="114"/>
        <v>1</v>
      </c>
      <c r="H299" s="366">
        <f t="shared" si="115"/>
        <v>0</v>
      </c>
      <c r="I299" s="364">
        <f t="shared" si="116"/>
        <v>6852.7526266431969</v>
      </c>
      <c r="J299" s="367">
        <f t="shared" si="117"/>
        <v>1.5706504000326111</v>
      </c>
      <c r="K299" s="375">
        <f t="shared" si="133"/>
        <v>4.2623742526666204</v>
      </c>
      <c r="L299" s="376">
        <f t="shared" si="134"/>
        <v>1.3339779194550885</v>
      </c>
      <c r="M299" s="364">
        <f t="shared" si="118"/>
        <v>1.0014633526064127</v>
      </c>
      <c r="N299" s="367">
        <f t="shared" si="119"/>
        <v>5.4066076817614273E-2</v>
      </c>
      <c r="O299" s="368">
        <f t="shared" si="120"/>
        <v>1.0882268937759156</v>
      </c>
      <c r="P299" s="369">
        <f t="shared" si="121"/>
        <v>0.47546727554985951</v>
      </c>
      <c r="Q299" s="370">
        <f t="shared" si="122"/>
        <v>-2.8536335685552672</v>
      </c>
      <c r="R299" s="371">
        <f t="shared" si="123"/>
        <v>-118.10729575843192</v>
      </c>
      <c r="S299" s="373">
        <f t="shared" si="124"/>
        <v>61.892704241568083</v>
      </c>
      <c r="U299" s="346">
        <f t="shared" si="130"/>
        <v>20185</v>
      </c>
      <c r="V299" s="346">
        <f t="shared" si="131"/>
        <v>407434225</v>
      </c>
      <c r="X299" s="372">
        <f t="shared" si="125"/>
        <v>23.959703603915663</v>
      </c>
      <c r="Y299" s="373">
        <f t="shared" si="126"/>
        <v>-16.658092299498037</v>
      </c>
      <c r="AA299" s="372">
        <f t="shared" si="127"/>
        <v>24.667288182083446</v>
      </c>
      <c r="AB299" s="373">
        <f t="shared" si="128"/>
        <v>-101.44920345893388</v>
      </c>
      <c r="AD299">
        <f t="shared" si="132"/>
        <v>0</v>
      </c>
      <c r="AE299">
        <f t="shared" si="135"/>
        <v>0</v>
      </c>
    </row>
    <row r="300" spans="1:31" x14ac:dyDescent="0.2">
      <c r="A300" s="374">
        <v>20301</v>
      </c>
      <c r="B300" s="391">
        <f t="shared" si="129"/>
        <v>20.300999999999998</v>
      </c>
      <c r="C300" s="364">
        <f t="shared" si="110"/>
        <v>25.994544463359453</v>
      </c>
      <c r="D300" s="365">
        <f t="shared" si="111"/>
        <v>1.532317221395044</v>
      </c>
      <c r="E300" s="365">
        <f t="shared" si="112"/>
        <v>1.0290691041651641</v>
      </c>
      <c r="F300" s="366">
        <f t="shared" si="113"/>
        <v>0.23825181401087073</v>
      </c>
      <c r="G300" s="365">
        <f t="shared" si="114"/>
        <v>1</v>
      </c>
      <c r="H300" s="366">
        <f t="shared" si="115"/>
        <v>0</v>
      </c>
      <c r="I300" s="364">
        <f t="shared" si="116"/>
        <v>6892.1343104584785</v>
      </c>
      <c r="J300" s="367">
        <f t="shared" si="117"/>
        <v>1.5706512338587373</v>
      </c>
      <c r="K300" s="375">
        <f t="shared" si="133"/>
        <v>4.2855248115245805</v>
      </c>
      <c r="L300" s="376">
        <f t="shared" si="134"/>
        <v>1.3352814809419891</v>
      </c>
      <c r="M300" s="364">
        <f t="shared" si="118"/>
        <v>1.0014802077815157</v>
      </c>
      <c r="N300" s="367">
        <f t="shared" si="119"/>
        <v>5.437617564515005E-2</v>
      </c>
      <c r="O300" s="368">
        <f t="shared" si="120"/>
        <v>1.0892078443624782</v>
      </c>
      <c r="P300" s="369">
        <f t="shared" si="121"/>
        <v>0.4779613610941722</v>
      </c>
      <c r="Q300" s="370">
        <f t="shared" si="122"/>
        <v>-2.9112728690112371</v>
      </c>
      <c r="R300" s="371">
        <f t="shared" si="123"/>
        <v>-118.13087399069505</v>
      </c>
      <c r="S300" s="373">
        <f t="shared" si="124"/>
        <v>61.869126009304949</v>
      </c>
      <c r="U300" s="346">
        <f t="shared" si="130"/>
        <v>20301</v>
      </c>
      <c r="V300" s="346">
        <f t="shared" si="131"/>
        <v>412130601</v>
      </c>
      <c r="X300" s="372">
        <f t="shared" si="125"/>
        <v>23.956832550455275</v>
      </c>
      <c r="Y300" s="373">
        <f t="shared" si="126"/>
        <v>-16.601218856665476</v>
      </c>
      <c r="AA300" s="372">
        <f t="shared" si="127"/>
        <v>24.612519935087867</v>
      </c>
      <c r="AB300" s="373">
        <f t="shared" si="128"/>
        <v>-101.52965513402961</v>
      </c>
      <c r="AD300">
        <f t="shared" si="132"/>
        <v>0</v>
      </c>
      <c r="AE300">
        <f t="shared" si="135"/>
        <v>0</v>
      </c>
    </row>
    <row r="301" spans="1:31" x14ac:dyDescent="0.2">
      <c r="A301" s="374">
        <v>20417</v>
      </c>
      <c r="B301" s="391">
        <f t="shared" si="129"/>
        <v>20.417000000000002</v>
      </c>
      <c r="C301" s="364">
        <f t="shared" si="110"/>
        <v>26.142858208551537</v>
      </c>
      <c r="D301" s="365">
        <f t="shared" si="111"/>
        <v>1.5325356280651168</v>
      </c>
      <c r="E301" s="365">
        <f t="shared" si="112"/>
        <v>1.0293974974184135</v>
      </c>
      <c r="F301" s="366">
        <f t="shared" si="113"/>
        <v>0.23956183205522971</v>
      </c>
      <c r="G301" s="365">
        <f t="shared" si="114"/>
        <v>1</v>
      </c>
      <c r="H301" s="366">
        <f t="shared" si="115"/>
        <v>0</v>
      </c>
      <c r="I301" s="364">
        <f t="shared" si="116"/>
        <v>6931.5159942784976</v>
      </c>
      <c r="J301" s="367">
        <f t="shared" si="117"/>
        <v>1.570652058210031</v>
      </c>
      <c r="K301" s="375">
        <f t="shared" si="133"/>
        <v>4.3086825743946937</v>
      </c>
      <c r="L301" s="376">
        <f t="shared" si="134"/>
        <v>1.336571032165351</v>
      </c>
      <c r="M301" s="364">
        <f t="shared" si="118"/>
        <v>1.001497159256993</v>
      </c>
      <c r="N301" s="367">
        <f t="shared" si="119"/>
        <v>5.4686264004954646E-2</v>
      </c>
      <c r="O301" s="368">
        <f t="shared" si="120"/>
        <v>1.0901936555896232</v>
      </c>
      <c r="P301" s="369">
        <f t="shared" si="121"/>
        <v>0.48045185236330556</v>
      </c>
      <c r="Q301" s="370">
        <f t="shared" si="122"/>
        <v>-2.9686036627700818</v>
      </c>
      <c r="R301" s="371">
        <f t="shared" si="123"/>
        <v>-118.15495204832138</v>
      </c>
      <c r="S301" s="373">
        <f t="shared" si="124"/>
        <v>61.845047951678623</v>
      </c>
      <c r="U301" s="346">
        <f t="shared" si="130"/>
        <v>20417</v>
      </c>
      <c r="V301" s="346">
        <f t="shared" si="131"/>
        <v>416853889</v>
      </c>
      <c r="X301" s="372">
        <f t="shared" si="125"/>
        <v>23.954005309157296</v>
      </c>
      <c r="Y301" s="373">
        <f t="shared" si="126"/>
        <v>-16.545147000179735</v>
      </c>
      <c r="AA301" s="372">
        <f t="shared" si="127"/>
        <v>24.558016382627002</v>
      </c>
      <c r="AB301" s="373">
        <f t="shared" si="128"/>
        <v>-101.60980504814162</v>
      </c>
      <c r="AD301">
        <f t="shared" si="132"/>
        <v>0</v>
      </c>
      <c r="AE301">
        <f t="shared" si="135"/>
        <v>0</v>
      </c>
    </row>
    <row r="302" spans="1:31" x14ac:dyDescent="0.2">
      <c r="A302" s="374">
        <v>20536</v>
      </c>
      <c r="B302" s="391">
        <f t="shared" si="129"/>
        <v>20.536000000000001</v>
      </c>
      <c r="C302" s="364">
        <f t="shared" si="110"/>
        <v>26.295008935090074</v>
      </c>
      <c r="D302" s="365">
        <f t="shared" si="111"/>
        <v>1.5327571229790047</v>
      </c>
      <c r="E302" s="365">
        <f t="shared" si="112"/>
        <v>1.0297362181330387</v>
      </c>
      <c r="F302" s="366">
        <f t="shared" si="113"/>
        <v>0.24090485925283353</v>
      </c>
      <c r="G302" s="365">
        <f t="shared" si="114"/>
        <v>1</v>
      </c>
      <c r="H302" s="366">
        <f t="shared" si="115"/>
        <v>0</v>
      </c>
      <c r="I302" s="364">
        <f t="shared" si="116"/>
        <v>6971.9161699262877</v>
      </c>
      <c r="J302" s="367">
        <f t="shared" si="117"/>
        <v>1.5706528942034748</v>
      </c>
      <c r="K302" s="375">
        <f t="shared" si="133"/>
        <v>4.3324466097369632</v>
      </c>
      <c r="L302" s="376">
        <f t="shared" si="134"/>
        <v>1.3378796064089828</v>
      </c>
      <c r="M302" s="364">
        <f t="shared" si="118"/>
        <v>1.001514649195943</v>
      </c>
      <c r="N302" s="367">
        <f t="shared" si="119"/>
        <v>5.5004360952056616E-2</v>
      </c>
      <c r="O302" s="368">
        <f t="shared" si="120"/>
        <v>1.0912100012805661</v>
      </c>
      <c r="P302" s="369">
        <f t="shared" si="121"/>
        <v>0.48300300951576541</v>
      </c>
      <c r="Q302" s="370">
        <f t="shared" si="122"/>
        <v>-3.0271007582193361</v>
      </c>
      <c r="R302" s="371">
        <f t="shared" si="123"/>
        <v>-118.1801612497175</v>
      </c>
      <c r="S302" s="373">
        <f t="shared" si="124"/>
        <v>61.8198387502825</v>
      </c>
      <c r="U302" s="346">
        <f t="shared" si="130"/>
        <v>20536</v>
      </c>
      <c r="V302" s="346">
        <f t="shared" si="131"/>
        <v>421727296</v>
      </c>
      <c r="X302" s="372">
        <f t="shared" si="125"/>
        <v>23.951149468562342</v>
      </c>
      <c r="Y302" s="373">
        <f t="shared" si="126"/>
        <v>-16.488444730216283</v>
      </c>
      <c r="AA302" s="372">
        <f t="shared" si="127"/>
        <v>24.502375127772694</v>
      </c>
      <c r="AB302" s="373">
        <f t="shared" si="128"/>
        <v>-101.6917165195012</v>
      </c>
      <c r="AD302">
        <f t="shared" si="132"/>
        <v>0</v>
      </c>
      <c r="AE302">
        <f t="shared" si="135"/>
        <v>0</v>
      </c>
    </row>
    <row r="303" spans="1:31" x14ac:dyDescent="0.2">
      <c r="A303" s="374">
        <v>20655</v>
      </c>
      <c r="B303" s="391">
        <f t="shared" si="129"/>
        <v>20.655000000000001</v>
      </c>
      <c r="C303" s="364">
        <f t="shared" si="110"/>
        <v>26.447160936818491</v>
      </c>
      <c r="D303" s="365">
        <f t="shared" si="111"/>
        <v>1.5329760693581809</v>
      </c>
      <c r="E303" s="365">
        <f t="shared" si="112"/>
        <v>1.0300767949821243</v>
      </c>
      <c r="F303" s="366">
        <f t="shared" si="113"/>
        <v>0.24224700077312117</v>
      </c>
      <c r="G303" s="365">
        <f t="shared" si="114"/>
        <v>1</v>
      </c>
      <c r="H303" s="366">
        <f t="shared" si="115"/>
        <v>0</v>
      </c>
      <c r="I303" s="364">
        <f t="shared" si="116"/>
        <v>7012.3163455788936</v>
      </c>
      <c r="J303" s="367">
        <f t="shared" si="117"/>
        <v>1.5706537205640725</v>
      </c>
      <c r="K303" s="375">
        <f t="shared" si="133"/>
        <v>4.3562179828671601</v>
      </c>
      <c r="L303" s="376">
        <f t="shared" si="134"/>
        <v>1.3391739013749573</v>
      </c>
      <c r="M303" s="364">
        <f t="shared" si="118"/>
        <v>1.0015322404702762</v>
      </c>
      <c r="N303" s="367">
        <f t="shared" si="119"/>
        <v>5.5322446757003818E-2</v>
      </c>
      <c r="O303" s="368">
        <f t="shared" si="120"/>
        <v>1.0922314389106005</v>
      </c>
      <c r="P303" s="369">
        <f t="shared" si="121"/>
        <v>0.48555036702185328</v>
      </c>
      <c r="Q303" s="370">
        <f t="shared" si="122"/>
        <v>-3.0852816141034607</v>
      </c>
      <c r="R303" s="371">
        <f t="shared" si="123"/>
        <v>-118.20587442472713</v>
      </c>
      <c r="S303" s="373">
        <f t="shared" si="124"/>
        <v>61.794125575272872</v>
      </c>
      <c r="U303" s="346">
        <f t="shared" si="130"/>
        <v>20655</v>
      </c>
      <c r="V303" s="346">
        <f t="shared" si="131"/>
        <v>426629025</v>
      </c>
      <c r="X303" s="372">
        <f t="shared" si="125"/>
        <v>23.948337713972371</v>
      </c>
      <c r="Y303" s="373">
        <f t="shared" si="126"/>
        <v>-16.432559412278163</v>
      </c>
      <c r="AA303" s="372">
        <f t="shared" si="127"/>
        <v>24.447006026478544</v>
      </c>
      <c r="AB303" s="373">
        <f t="shared" si="128"/>
        <v>-101.77331501244893</v>
      </c>
      <c r="AD303">
        <f t="shared" si="132"/>
        <v>0</v>
      </c>
      <c r="AE303">
        <f t="shared" si="135"/>
        <v>0</v>
      </c>
    </row>
    <row r="304" spans="1:31" x14ac:dyDescent="0.2">
      <c r="A304" s="374">
        <v>20774</v>
      </c>
      <c r="B304" s="391">
        <f t="shared" si="129"/>
        <v>20.774000000000001</v>
      </c>
      <c r="C304" s="364">
        <f t="shared" si="110"/>
        <v>26.59931419185396</v>
      </c>
      <c r="D304" s="365">
        <f t="shared" si="111"/>
        <v>1.5331925109158155</v>
      </c>
      <c r="E304" s="365">
        <f t="shared" si="112"/>
        <v>1.0304192261251872</v>
      </c>
      <c r="F304" s="366">
        <f t="shared" si="113"/>
        <v>0.24358825266139145</v>
      </c>
      <c r="G304" s="365">
        <f t="shared" si="114"/>
        <v>1</v>
      </c>
      <c r="H304" s="366">
        <f t="shared" si="115"/>
        <v>0</v>
      </c>
      <c r="I304" s="364">
        <f t="shared" si="116"/>
        <v>7052.7165212362333</v>
      </c>
      <c r="J304" s="367">
        <f t="shared" si="117"/>
        <v>1.5706545374573642</v>
      </c>
      <c r="K304" s="375">
        <f t="shared" si="133"/>
        <v>4.3799965743130738</v>
      </c>
      <c r="L304" s="376">
        <f t="shared" si="134"/>
        <v>1.3404541452537797</v>
      </c>
      <c r="M304" s="364">
        <f t="shared" si="118"/>
        <v>1.0015499330746531</v>
      </c>
      <c r="N304" s="367">
        <f t="shared" si="119"/>
        <v>5.564052135601813E-2</v>
      </c>
      <c r="O304" s="368">
        <f t="shared" si="120"/>
        <v>1.0932579566284637</v>
      </c>
      <c r="P304" s="369">
        <f t="shared" si="121"/>
        <v>0.48809391648609174</v>
      </c>
      <c r="Q304" s="370">
        <f t="shared" si="122"/>
        <v>-3.143150372110167</v>
      </c>
      <c r="R304" s="371">
        <f t="shared" si="123"/>
        <v>-118.23208075497034</v>
      </c>
      <c r="S304" s="373">
        <f t="shared" si="124"/>
        <v>61.76791924502966</v>
      </c>
      <c r="U304" s="346">
        <f t="shared" si="130"/>
        <v>20774</v>
      </c>
      <c r="V304" s="346">
        <f t="shared" si="131"/>
        <v>431559076</v>
      </c>
      <c r="X304" s="372">
        <f t="shared" si="125"/>
        <v>23.945569062740955</v>
      </c>
      <c r="Y304" s="373">
        <f t="shared" si="126"/>
        <v>-16.377477977843004</v>
      </c>
      <c r="AA304" s="372">
        <f t="shared" si="127"/>
        <v>24.391905919703252</v>
      </c>
      <c r="AB304" s="373">
        <f t="shared" si="128"/>
        <v>-101.85460277712731</v>
      </c>
      <c r="AD304">
        <f t="shared" si="132"/>
        <v>0</v>
      </c>
      <c r="AE304">
        <f t="shared" si="135"/>
        <v>0</v>
      </c>
    </row>
    <row r="305" spans="1:31" x14ac:dyDescent="0.2">
      <c r="A305" s="374">
        <v>20893</v>
      </c>
      <c r="B305" s="391">
        <f t="shared" si="129"/>
        <v>20.893000000000001</v>
      </c>
      <c r="C305" s="364">
        <f t="shared" si="110"/>
        <v>26.751468678811332</v>
      </c>
      <c r="D305" s="365">
        <f t="shared" si="111"/>
        <v>1.5334064903715194</v>
      </c>
      <c r="E305" s="365">
        <f t="shared" si="112"/>
        <v>1.0307635097141756</v>
      </c>
      <c r="F305" s="366">
        <f t="shared" si="113"/>
        <v>0.24492861098098748</v>
      </c>
      <c r="G305" s="365">
        <f t="shared" si="114"/>
        <v>1</v>
      </c>
      <c r="H305" s="366">
        <f t="shared" si="115"/>
        <v>0</v>
      </c>
      <c r="I305" s="364">
        <f t="shared" si="116"/>
        <v>7093.1166968982261</v>
      </c>
      <c r="J305" s="367">
        <f t="shared" si="117"/>
        <v>1.5706553450451179</v>
      </c>
      <c r="K305" s="375">
        <f t="shared" si="133"/>
        <v>4.4037822671470037</v>
      </c>
      <c r="L305" s="376">
        <f t="shared" si="134"/>
        <v>1.3417205614924423</v>
      </c>
      <c r="M305" s="364">
        <f t="shared" si="118"/>
        <v>1.0015677270037036</v>
      </c>
      <c r="N305" s="367">
        <f t="shared" si="119"/>
        <v>5.5958584685334982E-2</v>
      </c>
      <c r="O305" s="368">
        <f t="shared" si="120"/>
        <v>1.0942895425704773</v>
      </c>
      <c r="P305" s="369">
        <f t="shared" si="121"/>
        <v>0.49063364967479522</v>
      </c>
      <c r="Q305" s="370">
        <f t="shared" si="122"/>
        <v>-3.2007110910296488</v>
      </c>
      <c r="R305" s="371">
        <f t="shared" si="123"/>
        <v>-118.25876964494449</v>
      </c>
      <c r="S305" s="373">
        <f t="shared" si="124"/>
        <v>61.741230355055507</v>
      </c>
      <c r="U305" s="346">
        <f t="shared" si="130"/>
        <v>20893</v>
      </c>
      <c r="V305" s="346">
        <f t="shared" si="131"/>
        <v>436517449</v>
      </c>
      <c r="X305" s="372">
        <f t="shared" si="125"/>
        <v>23.942842558697059</v>
      </c>
      <c r="Y305" s="373">
        <f t="shared" si="126"/>
        <v>-16.323187629956387</v>
      </c>
      <c r="AA305" s="372">
        <f t="shared" si="127"/>
        <v>24.337071704827672</v>
      </c>
      <c r="AB305" s="373">
        <f t="shared" si="128"/>
        <v>-101.93558201498813</v>
      </c>
      <c r="AD305">
        <f t="shared" si="132"/>
        <v>0</v>
      </c>
      <c r="AE305">
        <f t="shared" si="135"/>
        <v>0</v>
      </c>
    </row>
    <row r="306" spans="1:31" x14ac:dyDescent="0.2">
      <c r="A306" s="374">
        <v>21014.75</v>
      </c>
      <c r="B306" s="391">
        <f t="shared" si="129"/>
        <v>21.014749999999999</v>
      </c>
      <c r="C306" s="364">
        <f t="shared" si="110"/>
        <v>26.907140594046055</v>
      </c>
      <c r="D306" s="365">
        <f t="shared" si="111"/>
        <v>1.5336229101650831</v>
      </c>
      <c r="E306" s="365">
        <f t="shared" si="112"/>
        <v>1.0311176646547939</v>
      </c>
      <c r="F306" s="366">
        <f t="shared" si="113"/>
        <v>0.24629901509923494</v>
      </c>
      <c r="G306" s="365">
        <f t="shared" si="114"/>
        <v>1</v>
      </c>
      <c r="H306" s="366">
        <f t="shared" si="115"/>
        <v>0</v>
      </c>
      <c r="I306" s="364">
        <f t="shared" si="116"/>
        <v>7134.4504900697457</v>
      </c>
      <c r="J306" s="367">
        <f t="shared" si="117"/>
        <v>1.5706561618298911</v>
      </c>
      <c r="K306" s="375">
        <f t="shared" si="133"/>
        <v>4.4281248594536793</v>
      </c>
      <c r="L306" s="376">
        <f t="shared" si="134"/>
        <v>1.3430021611852123</v>
      </c>
      <c r="M306" s="364">
        <f t="shared" si="118"/>
        <v>1.0015860369953986</v>
      </c>
      <c r="N306" s="367">
        <f t="shared" si="119"/>
        <v>5.6283986487796332E-2</v>
      </c>
      <c r="O306" s="368">
        <f t="shared" si="120"/>
        <v>1.0953502005600704</v>
      </c>
      <c r="P306" s="369">
        <f t="shared" si="121"/>
        <v>0.49322811617734108</v>
      </c>
      <c r="Q306" s="370">
        <f t="shared" si="122"/>
        <v>-3.2592873436819527</v>
      </c>
      <c r="R306" s="371">
        <f t="shared" si="123"/>
        <v>-118.28656388905785</v>
      </c>
      <c r="S306" s="373">
        <f t="shared" si="124"/>
        <v>61.713436110942155</v>
      </c>
      <c r="U306" s="346">
        <f t="shared" si="130"/>
        <v>21014.75</v>
      </c>
      <c r="V306" s="346">
        <f t="shared" si="131"/>
        <v>441619717.5625</v>
      </c>
      <c r="X306" s="372">
        <f t="shared" si="125"/>
        <v>23.940095696320615</v>
      </c>
      <c r="Y306" s="373">
        <f t="shared" si="126"/>
        <v>-16.268448324720115</v>
      </c>
      <c r="AA306" s="372">
        <f t="shared" si="127"/>
        <v>24.281242314551807</v>
      </c>
      <c r="AB306" s="373">
        <f t="shared" si="128"/>
        <v>-102.01811556433772</v>
      </c>
      <c r="AD306">
        <f t="shared" si="132"/>
        <v>0</v>
      </c>
      <c r="AE306">
        <f t="shared" si="135"/>
        <v>0</v>
      </c>
    </row>
    <row r="307" spans="1:31" x14ac:dyDescent="0.2">
      <c r="A307" s="374">
        <v>21136.5</v>
      </c>
      <c r="B307" s="391">
        <f t="shared" si="129"/>
        <v>21.136500000000002</v>
      </c>
      <c r="C307" s="364">
        <f t="shared" si="110"/>
        <v>27.062813755045976</v>
      </c>
      <c r="D307" s="365">
        <f t="shared" si="111"/>
        <v>1.5338368401496132</v>
      </c>
      <c r="E307" s="365">
        <f t="shared" si="112"/>
        <v>1.0314737547101931</v>
      </c>
      <c r="F307" s="366">
        <f t="shared" si="113"/>
        <v>0.24766847559359306</v>
      </c>
      <c r="G307" s="365">
        <f t="shared" si="114"/>
        <v>1</v>
      </c>
      <c r="H307" s="366">
        <f t="shared" si="115"/>
        <v>0</v>
      </c>
      <c r="I307" s="364">
        <f t="shared" si="116"/>
        <v>7175.7842832459692</v>
      </c>
      <c r="J307" s="367">
        <f t="shared" si="117"/>
        <v>1.5706569692050132</v>
      </c>
      <c r="K307" s="375">
        <f t="shared" si="133"/>
        <v>4.4524746454106561</v>
      </c>
      <c r="L307" s="376">
        <f t="shared" si="134"/>
        <v>1.3442697452629369</v>
      </c>
      <c r="M307" s="364">
        <f t="shared" si="118"/>
        <v>1.0016044530374824</v>
      </c>
      <c r="N307" s="367">
        <f t="shared" si="119"/>
        <v>5.6609376358683322E-2</v>
      </c>
      <c r="O307" s="368">
        <f t="shared" si="120"/>
        <v>1.096416138565254</v>
      </c>
      <c r="P307" s="369">
        <f t="shared" si="121"/>
        <v>0.49581857106308819</v>
      </c>
      <c r="Q307" s="370">
        <f t="shared" si="122"/>
        <v>-3.3175494943279653</v>
      </c>
      <c r="R307" s="371">
        <f t="shared" si="123"/>
        <v>-118.3148415074043</v>
      </c>
      <c r="S307" s="373">
        <f t="shared" si="124"/>
        <v>61.685158492595704</v>
      </c>
      <c r="U307" s="346">
        <f t="shared" si="130"/>
        <v>21136.5</v>
      </c>
      <c r="V307" s="346">
        <f t="shared" si="131"/>
        <v>446751632.25</v>
      </c>
      <c r="X307" s="372">
        <f t="shared" si="125"/>
        <v>23.937391007997597</v>
      </c>
      <c r="Y307" s="373">
        <f t="shared" si="126"/>
        <v>-16.214510832311987</v>
      </c>
      <c r="AA307" s="372">
        <f t="shared" si="127"/>
        <v>24.22568485222881</v>
      </c>
      <c r="AB307" s="373">
        <f t="shared" si="128"/>
        <v>-102.10033067509228</v>
      </c>
      <c r="AD307">
        <f t="shared" si="132"/>
        <v>0</v>
      </c>
      <c r="AE307">
        <f t="shared" si="135"/>
        <v>0</v>
      </c>
    </row>
    <row r="308" spans="1:31" x14ac:dyDescent="0.2">
      <c r="A308" s="374">
        <v>21258.25</v>
      </c>
      <c r="B308" s="391">
        <f t="shared" si="129"/>
        <v>21.25825</v>
      </c>
      <c r="C308" s="364">
        <f t="shared" si="110"/>
        <v>27.218488140436047</v>
      </c>
      <c r="D308" s="365">
        <f t="shared" si="111"/>
        <v>1.5340483230262645</v>
      </c>
      <c r="E308" s="365">
        <f t="shared" si="112"/>
        <v>1.0318317778769208</v>
      </c>
      <c r="F308" s="366">
        <f t="shared" si="113"/>
        <v>0.24903698830704554</v>
      </c>
      <c r="G308" s="365">
        <f t="shared" si="114"/>
        <v>1</v>
      </c>
      <c r="H308" s="366">
        <f t="shared" si="115"/>
        <v>0</v>
      </c>
      <c r="I308" s="364">
        <f t="shared" si="116"/>
        <v>7217.1180764268174</v>
      </c>
      <c r="J308" s="367">
        <f t="shared" si="117"/>
        <v>1.5706577673321567</v>
      </c>
      <c r="K308" s="375">
        <f t="shared" si="133"/>
        <v>4.4768315076377014</v>
      </c>
      <c r="L308" s="376">
        <f t="shared" si="134"/>
        <v>1.3455235383806616</v>
      </c>
      <c r="M308" s="364">
        <f t="shared" si="118"/>
        <v>1.001622975124105</v>
      </c>
      <c r="N308" s="367">
        <f t="shared" si="119"/>
        <v>5.693475422975236E-2</v>
      </c>
      <c r="O308" s="368">
        <f t="shared" si="120"/>
        <v>1.0974873438443329</v>
      </c>
      <c r="P308" s="369">
        <f t="shared" si="121"/>
        <v>0.49840500603564197</v>
      </c>
      <c r="Q308" s="370">
        <f t="shared" si="122"/>
        <v>-3.3755016339761115</v>
      </c>
      <c r="R308" s="371">
        <f t="shared" si="123"/>
        <v>-118.34359184297797</v>
      </c>
      <c r="S308" s="373">
        <f t="shared" si="124"/>
        <v>61.656408157022028</v>
      </c>
      <c r="U308" s="346">
        <f t="shared" si="130"/>
        <v>21258.25</v>
      </c>
      <c r="V308" s="346">
        <f t="shared" si="131"/>
        <v>451913193.0625</v>
      </c>
      <c r="X308" s="372">
        <f t="shared" si="125"/>
        <v>23.934727550365697</v>
      </c>
      <c r="Y308" s="373">
        <f t="shared" si="126"/>
        <v>-16.161362286299131</v>
      </c>
      <c r="AA308" s="372">
        <f t="shared" si="127"/>
        <v>24.17039617021257</v>
      </c>
      <c r="AB308" s="373">
        <f t="shared" si="128"/>
        <v>-102.18222955667882</v>
      </c>
      <c r="AD308">
        <f t="shared" si="132"/>
        <v>0</v>
      </c>
      <c r="AE308">
        <f t="shared" si="135"/>
        <v>0</v>
      </c>
    </row>
    <row r="309" spans="1:31" x14ac:dyDescent="0.2">
      <c r="A309" s="374">
        <v>21380</v>
      </c>
      <c r="B309" s="391">
        <f t="shared" si="129"/>
        <v>21.38</v>
      </c>
      <c r="C309" s="364">
        <f t="shared" si="110"/>
        <v>27.374163729327275</v>
      </c>
      <c r="D309" s="365">
        <f t="shared" si="111"/>
        <v>1.5342574005257206</v>
      </c>
      <c r="E309" s="365">
        <f t="shared" si="112"/>
        <v>1.0321917321434364</v>
      </c>
      <c r="F309" s="366">
        <f t="shared" si="113"/>
        <v>0.25040454910252818</v>
      </c>
      <c r="G309" s="365">
        <f t="shared" si="114"/>
        <v>1</v>
      </c>
      <c r="H309" s="366">
        <f t="shared" si="115"/>
        <v>0</v>
      </c>
      <c r="I309" s="364">
        <f t="shared" si="116"/>
        <v>7258.4518696122104</v>
      </c>
      <c r="J309" s="367">
        <f t="shared" si="117"/>
        <v>1.5706585563693118</v>
      </c>
      <c r="K309" s="375">
        <f t="shared" si="133"/>
        <v>4.5011953312615072</v>
      </c>
      <c r="L309" s="376">
        <f t="shared" si="134"/>
        <v>1.3467637605049931</v>
      </c>
      <c r="M309" s="364">
        <f t="shared" si="118"/>
        <v>1.001641603249384</v>
      </c>
      <c r="N309" s="367">
        <f t="shared" si="119"/>
        <v>5.7260120032775065E-2</v>
      </c>
      <c r="O309" s="368">
        <f t="shared" si="120"/>
        <v>1.0985638036446745</v>
      </c>
      <c r="P309" s="369">
        <f t="shared" si="121"/>
        <v>0.50098741297286498</v>
      </c>
      <c r="Q309" s="370">
        <f t="shared" si="122"/>
        <v>-3.4331477718134735</v>
      </c>
      <c r="R309" s="371">
        <f t="shared" si="123"/>
        <v>-118.37280446042782</v>
      </c>
      <c r="S309" s="373">
        <f t="shared" si="124"/>
        <v>61.627195539572185</v>
      </c>
      <c r="U309" s="346">
        <f t="shared" si="130"/>
        <v>21380</v>
      </c>
      <c r="V309" s="346">
        <f t="shared" si="131"/>
        <v>457104400</v>
      </c>
      <c r="X309" s="372">
        <f t="shared" si="125"/>
        <v>23.93210440553306</v>
      </c>
      <c r="Y309" s="373">
        <f t="shared" si="126"/>
        <v>-16.108990088666296</v>
      </c>
      <c r="AA309" s="372">
        <f t="shared" si="127"/>
        <v>24.115373177207843</v>
      </c>
      <c r="AB309" s="373">
        <f t="shared" si="128"/>
        <v>-102.26381437176148</v>
      </c>
      <c r="AD309">
        <f t="shared" si="132"/>
        <v>0</v>
      </c>
      <c r="AE309">
        <f t="shared" si="135"/>
        <v>0</v>
      </c>
    </row>
    <row r="310" spans="1:31" x14ac:dyDescent="0.2">
      <c r="A310" s="374">
        <v>21504.5</v>
      </c>
      <c r="B310" s="391">
        <f t="shared" si="129"/>
        <v>21.5045</v>
      </c>
      <c r="C310" s="364">
        <f t="shared" si="110"/>
        <v>27.533356827934586</v>
      </c>
      <c r="D310" s="365">
        <f t="shared" si="111"/>
        <v>1.5344687555198513</v>
      </c>
      <c r="E310" s="365">
        <f t="shared" si="112"/>
        <v>1.0325618117093074</v>
      </c>
      <c r="F310" s="366">
        <f t="shared" si="113"/>
        <v>0.2518020106593794</v>
      </c>
      <c r="G310" s="365">
        <f t="shared" si="114"/>
        <v>1</v>
      </c>
      <c r="H310" s="366">
        <f t="shared" si="115"/>
        <v>0</v>
      </c>
      <c r="I310" s="364">
        <f t="shared" si="116"/>
        <v>7300.7192803074377</v>
      </c>
      <c r="J310" s="367">
        <f t="shared" si="117"/>
        <v>1.5706593539892411</v>
      </c>
      <c r="K310" s="375">
        <f t="shared" si="133"/>
        <v>4.5261165490228032</v>
      </c>
      <c r="L310" s="376">
        <f t="shared" si="134"/>
        <v>1.3480181860083345</v>
      </c>
      <c r="M310" s="364">
        <f t="shared" si="118"/>
        <v>1.0016607617853666</v>
      </c>
      <c r="N310" s="367">
        <f t="shared" si="119"/>
        <v>5.7592822409638256E-2</v>
      </c>
      <c r="O310" s="368">
        <f t="shared" si="120"/>
        <v>1.0996699983236562</v>
      </c>
      <c r="P310" s="369">
        <f t="shared" si="121"/>
        <v>0.50362397561302097</v>
      </c>
      <c r="Q310" s="370">
        <f t="shared" si="122"/>
        <v>-3.4917836247253082</v>
      </c>
      <c r="R310" s="371">
        <f t="shared" si="123"/>
        <v>-118.40314432729738</v>
      </c>
      <c r="S310" s="373">
        <f t="shared" si="124"/>
        <v>61.596855672702617</v>
      </c>
      <c r="U310" s="346">
        <f t="shared" si="130"/>
        <v>21504.5</v>
      </c>
      <c r="V310" s="346">
        <f t="shared" si="131"/>
        <v>462443520.25</v>
      </c>
      <c r="X310" s="372">
        <f t="shared" si="125"/>
        <v>23.929462769398974</v>
      </c>
      <c r="Y310" s="373">
        <f t="shared" si="126"/>
        <v>-16.056224943834799</v>
      </c>
      <c r="AA310" s="372">
        <f t="shared" si="127"/>
        <v>24.059378960430088</v>
      </c>
      <c r="AB310" s="373">
        <f t="shared" si="128"/>
        <v>-102.34691938346261</v>
      </c>
      <c r="AD310">
        <f t="shared" si="132"/>
        <v>0</v>
      </c>
      <c r="AE310">
        <f t="shared" si="135"/>
        <v>0</v>
      </c>
    </row>
    <row r="311" spans="1:31" x14ac:dyDescent="0.2">
      <c r="A311" s="374">
        <v>21629</v>
      </c>
      <c r="B311" s="391">
        <f t="shared" si="129"/>
        <v>21.629000000000001</v>
      </c>
      <c r="C311" s="364">
        <f t="shared" si="110"/>
        <v>27.69255114234177</v>
      </c>
      <c r="D311" s="365">
        <f t="shared" si="111"/>
        <v>1.5346776805186215</v>
      </c>
      <c r="E311" s="365">
        <f t="shared" si="112"/>
        <v>1.0329339063166727</v>
      </c>
      <c r="F311" s="366">
        <f t="shared" si="113"/>
        <v>0.25319846812434854</v>
      </c>
      <c r="G311" s="365">
        <f t="shared" si="114"/>
        <v>1</v>
      </c>
      <c r="H311" s="366">
        <f t="shared" si="115"/>
        <v>0</v>
      </c>
      <c r="I311" s="364">
        <f t="shared" si="116"/>
        <v>7342.9866910072569</v>
      </c>
      <c r="J311" s="367">
        <f t="shared" si="117"/>
        <v>1.5706601424267137</v>
      </c>
      <c r="K311" s="375">
        <f t="shared" si="133"/>
        <v>4.5510448109975954</v>
      </c>
      <c r="L311" s="376">
        <f t="shared" si="134"/>
        <v>1.3492588712622231</v>
      </c>
      <c r="M311" s="364">
        <f t="shared" si="118"/>
        <v>1.0016800311918035</v>
      </c>
      <c r="N311" s="367">
        <f t="shared" si="119"/>
        <v>5.7925512022876484E-2</v>
      </c>
      <c r="O311" s="368">
        <f t="shared" si="120"/>
        <v>1.1007816605714211</v>
      </c>
      <c r="P311" s="369">
        <f t="shared" si="121"/>
        <v>0.50625630957420698</v>
      </c>
      <c r="Q311" s="370">
        <f t="shared" si="122"/>
        <v>-3.5501077227082085</v>
      </c>
      <c r="R311" s="371">
        <f t="shared" si="123"/>
        <v>-118.43394621134361</v>
      </c>
      <c r="S311" s="373">
        <f t="shared" si="124"/>
        <v>61.56605378865639</v>
      </c>
      <c r="U311" s="346">
        <f t="shared" si="130"/>
        <v>21629</v>
      </c>
      <c r="V311" s="346">
        <f t="shared" si="131"/>
        <v>467813641</v>
      </c>
      <c r="X311" s="372">
        <f t="shared" si="125"/>
        <v>23.926861424461595</v>
      </c>
      <c r="Y311" s="373">
        <f t="shared" si="126"/>
        <v>-16.004245799889453</v>
      </c>
      <c r="AA311" s="372">
        <f t="shared" si="127"/>
        <v>24.003656207384573</v>
      </c>
      <c r="AB311" s="373">
        <f t="shared" si="128"/>
        <v>-102.42970041145416</v>
      </c>
      <c r="AD311">
        <f t="shared" si="132"/>
        <v>0</v>
      </c>
      <c r="AE311">
        <f t="shared" si="135"/>
        <v>0</v>
      </c>
    </row>
    <row r="312" spans="1:31" x14ac:dyDescent="0.2">
      <c r="A312" s="374">
        <v>21753.5</v>
      </c>
      <c r="B312" s="391">
        <f t="shared" si="129"/>
        <v>21.753499999999999</v>
      </c>
      <c r="C312" s="364">
        <f t="shared" si="110"/>
        <v>27.851746651701113</v>
      </c>
      <c r="D312" s="365">
        <f t="shared" si="111"/>
        <v>1.5348842171718664</v>
      </c>
      <c r="E312" s="365">
        <f t="shared" si="112"/>
        <v>1.0333080137886812</v>
      </c>
      <c r="F312" s="366">
        <f t="shared" si="113"/>
        <v>0.25459391713866519</v>
      </c>
      <c r="G312" s="365">
        <f t="shared" si="114"/>
        <v>1</v>
      </c>
      <c r="H312" s="366">
        <f t="shared" si="115"/>
        <v>0</v>
      </c>
      <c r="I312" s="364">
        <f t="shared" si="116"/>
        <v>7385.2541017115873</v>
      </c>
      <c r="J312" s="367">
        <f t="shared" si="117"/>
        <v>1.5706609218393888</v>
      </c>
      <c r="K312" s="375">
        <f t="shared" si="133"/>
        <v>4.5759800020630026</v>
      </c>
      <c r="L312" s="376">
        <f t="shared" si="134"/>
        <v>1.350486037033489</v>
      </c>
      <c r="M312" s="364">
        <f t="shared" si="118"/>
        <v>1.0016994114622961</v>
      </c>
      <c r="N312" s="367">
        <f t="shared" si="119"/>
        <v>5.8258188799582715E-2</v>
      </c>
      <c r="O312" s="368">
        <f t="shared" si="120"/>
        <v>1.1018987767203745</v>
      </c>
      <c r="P312" s="369">
        <f t="shared" si="121"/>
        <v>0.50888440673146751</v>
      </c>
      <c r="Q312" s="370">
        <f t="shared" si="122"/>
        <v>-3.6081241008382308</v>
      </c>
      <c r="R312" s="371">
        <f t="shared" si="123"/>
        <v>-118.46519963898793</v>
      </c>
      <c r="S312" s="373">
        <f t="shared" si="124"/>
        <v>61.534800361012074</v>
      </c>
      <c r="U312" s="346">
        <f t="shared" si="130"/>
        <v>21753.5</v>
      </c>
      <c r="V312" s="346">
        <f t="shared" si="131"/>
        <v>473214762.25</v>
      </c>
      <c r="X312" s="372">
        <f t="shared" si="125"/>
        <v>23.924299466646367</v>
      </c>
      <c r="Y312" s="373">
        <f t="shared" si="126"/>
        <v>-15.953040012678553</v>
      </c>
      <c r="AA312" s="372">
        <f t="shared" si="127"/>
        <v>23.948201787069777</v>
      </c>
      <c r="AB312" s="373">
        <f t="shared" si="128"/>
        <v>-102.51215962630938</v>
      </c>
      <c r="AD312">
        <f t="shared" si="132"/>
        <v>0</v>
      </c>
      <c r="AE312">
        <f t="shared" si="135"/>
        <v>0</v>
      </c>
    </row>
    <row r="313" spans="1:31" x14ac:dyDescent="0.2">
      <c r="A313" s="374">
        <v>21878</v>
      </c>
      <c r="B313" s="391">
        <f t="shared" si="129"/>
        <v>21.878</v>
      </c>
      <c r="C313" s="364">
        <f t="shared" si="110"/>
        <v>28.010943335638682</v>
      </c>
      <c r="D313" s="365">
        <f t="shared" si="111"/>
        <v>1.5350884061834</v>
      </c>
      <c r="E313" s="365">
        <f t="shared" si="112"/>
        <v>1.0336841319398649</v>
      </c>
      <c r="F313" s="366">
        <f t="shared" si="113"/>
        <v>0.25598835336556169</v>
      </c>
      <c r="G313" s="365">
        <f t="shared" si="114"/>
        <v>1</v>
      </c>
      <c r="H313" s="366">
        <f t="shared" si="115"/>
        <v>0</v>
      </c>
      <c r="I313" s="364">
        <f t="shared" si="116"/>
        <v>7427.5215124203532</v>
      </c>
      <c r="J313" s="367">
        <f t="shared" si="117"/>
        <v>1.5706616923813377</v>
      </c>
      <c r="K313" s="375">
        <f t="shared" si="133"/>
        <v>4.6009220095601755</v>
      </c>
      <c r="L313" s="376">
        <f t="shared" si="134"/>
        <v>1.3516998994666538</v>
      </c>
      <c r="M313" s="364">
        <f t="shared" si="118"/>
        <v>1.0017189025904103</v>
      </c>
      <c r="N313" s="367">
        <f t="shared" si="119"/>
        <v>5.8590852666866922E-2</v>
      </c>
      <c r="O313" s="368">
        <f t="shared" si="120"/>
        <v>1.1030213330938659</v>
      </c>
      <c r="P313" s="369">
        <f t="shared" si="121"/>
        <v>0.51150825914681219</v>
      </c>
      <c r="Q313" s="370">
        <f t="shared" si="122"/>
        <v>-3.6658367135884036</v>
      </c>
      <c r="R313" s="371">
        <f t="shared" si="123"/>
        <v>-118.4968943565348</v>
      </c>
      <c r="S313" s="373">
        <f t="shared" si="124"/>
        <v>61.503105643465204</v>
      </c>
      <c r="U313" s="346">
        <f t="shared" si="130"/>
        <v>21878</v>
      </c>
      <c r="V313" s="346">
        <f t="shared" si="131"/>
        <v>478646884</v>
      </c>
      <c r="X313" s="372">
        <f t="shared" si="125"/>
        <v>23.921776016325474</v>
      </c>
      <c r="Y313" s="373">
        <f t="shared" si="126"/>
        <v>-15.902595202684573</v>
      </c>
      <c r="AA313" s="372">
        <f t="shared" si="127"/>
        <v>23.893012624640498</v>
      </c>
      <c r="AB313" s="373">
        <f t="shared" si="128"/>
        <v>-102.59429915385023</v>
      </c>
      <c r="AD313">
        <f t="shared" si="132"/>
        <v>0</v>
      </c>
      <c r="AE313">
        <f t="shared" si="135"/>
        <v>0</v>
      </c>
    </row>
    <row r="314" spans="1:31" x14ac:dyDescent="0.2">
      <c r="A314" s="374">
        <v>22005.25</v>
      </c>
      <c r="B314" s="391">
        <f t="shared" si="129"/>
        <v>22.00525</v>
      </c>
      <c r="C314" s="364">
        <f t="shared" si="110"/>
        <v>28.173657605247755</v>
      </c>
      <c r="D314" s="365">
        <f t="shared" si="111"/>
        <v>1.5352947208061543</v>
      </c>
      <c r="E314" s="365">
        <f t="shared" si="112"/>
        <v>1.0340706334262653</v>
      </c>
      <c r="F314" s="366">
        <f t="shared" si="113"/>
        <v>0.25741253931052155</v>
      </c>
      <c r="G314" s="365">
        <f t="shared" si="114"/>
        <v>1</v>
      </c>
      <c r="H314" s="366">
        <f t="shared" si="115"/>
        <v>0</v>
      </c>
      <c r="I314" s="364">
        <f t="shared" si="116"/>
        <v>7470.722540639239</v>
      </c>
      <c r="J314" s="367">
        <f t="shared" si="117"/>
        <v>1.5706624709332251</v>
      </c>
      <c r="K314" s="375">
        <f t="shared" si="133"/>
        <v>4.6264218741089911</v>
      </c>
      <c r="L314" s="376">
        <f t="shared" si="134"/>
        <v>1.3529270470546151</v>
      </c>
      <c r="M314" s="364">
        <f t="shared" si="118"/>
        <v>1.0017389387963724</v>
      </c>
      <c r="N314" s="367">
        <f t="shared" si="119"/>
        <v>5.8930851115067025E-2</v>
      </c>
      <c r="O314" s="368">
        <f t="shared" si="120"/>
        <v>1.1041742924434239</v>
      </c>
      <c r="P314" s="369">
        <f t="shared" si="121"/>
        <v>0.51418567365655443</v>
      </c>
      <c r="Q314" s="370">
        <f t="shared" si="122"/>
        <v>-3.724514233278557</v>
      </c>
      <c r="R314" s="371">
        <f t="shared" si="123"/>
        <v>-118.52973472746552</v>
      </c>
      <c r="S314" s="373">
        <f t="shared" si="124"/>
        <v>61.470265272534476</v>
      </c>
      <c r="U314" s="346">
        <f t="shared" si="130"/>
        <v>22005.25</v>
      </c>
      <c r="V314" s="346">
        <f t="shared" si="131"/>
        <v>484231027.5625</v>
      </c>
      <c r="X314" s="372">
        <f t="shared" si="125"/>
        <v>23.919235728968033</v>
      </c>
      <c r="Y314" s="373">
        <f t="shared" si="126"/>
        <v>-15.851809908856852</v>
      </c>
      <c r="AA314" s="372">
        <f t="shared" si="127"/>
        <v>23.836875392307789</v>
      </c>
      <c r="AB314" s="373">
        <f t="shared" si="128"/>
        <v>-102.67792481860869</v>
      </c>
      <c r="AD314">
        <f t="shared" si="132"/>
        <v>0</v>
      </c>
      <c r="AE314">
        <f t="shared" si="135"/>
        <v>0</v>
      </c>
    </row>
    <row r="315" spans="1:31" x14ac:dyDescent="0.2">
      <c r="A315" s="374">
        <v>22132.5</v>
      </c>
      <c r="B315" s="391">
        <f t="shared" si="129"/>
        <v>22.1325</v>
      </c>
      <c r="C315" s="364">
        <f t="shared" si="110"/>
        <v>28.336373060316365</v>
      </c>
      <c r="D315" s="365">
        <f t="shared" si="111"/>
        <v>1.5354986660038703</v>
      </c>
      <c r="E315" s="365">
        <f t="shared" si="112"/>
        <v>1.0344592307541505</v>
      </c>
      <c r="F315" s="366">
        <f t="shared" si="113"/>
        <v>0.25883565814181458</v>
      </c>
      <c r="G315" s="365">
        <f t="shared" si="114"/>
        <v>1</v>
      </c>
      <c r="H315" s="366">
        <f t="shared" si="115"/>
        <v>0</v>
      </c>
      <c r="I315" s="364">
        <f t="shared" si="116"/>
        <v>7513.9235688626022</v>
      </c>
      <c r="J315" s="367">
        <f t="shared" si="117"/>
        <v>1.5706632405326013</v>
      </c>
      <c r="K315" s="375">
        <f t="shared" si="133"/>
        <v>4.6519286291607811</v>
      </c>
      <c r="L315" s="376">
        <f t="shared" si="134"/>
        <v>1.3541407394316074</v>
      </c>
      <c r="M315" s="364">
        <f t="shared" si="118"/>
        <v>1.001759090797659</v>
      </c>
      <c r="N315" s="367">
        <f t="shared" si="119"/>
        <v>5.9270835923332391E-2</v>
      </c>
      <c r="O315" s="368">
        <f t="shared" si="120"/>
        <v>1.1053329060865171</v>
      </c>
      <c r="P315" s="369">
        <f t="shared" si="121"/>
        <v>0.5168586376599158</v>
      </c>
      <c r="Q315" s="370">
        <f t="shared" si="122"/>
        <v>-3.7828825246847293</v>
      </c>
      <c r="R315" s="371">
        <f t="shared" si="123"/>
        <v>-118.5630151185685</v>
      </c>
      <c r="S315" s="373">
        <f t="shared" si="124"/>
        <v>61.436984881431499</v>
      </c>
      <c r="U315" s="346">
        <f t="shared" si="130"/>
        <v>22132.5</v>
      </c>
      <c r="V315" s="346">
        <f t="shared" si="131"/>
        <v>489847556.25</v>
      </c>
      <c r="X315" s="372">
        <f t="shared" si="125"/>
        <v>23.916733885698143</v>
      </c>
      <c r="Y315" s="373">
        <f t="shared" si="126"/>
        <v>-15.80179424737919</v>
      </c>
      <c r="AA315" s="372">
        <f t="shared" si="127"/>
        <v>23.781008944171504</v>
      </c>
      <c r="AB315" s="373">
        <f t="shared" si="128"/>
        <v>-102.76122087118929</v>
      </c>
      <c r="AD315">
        <f t="shared" si="132"/>
        <v>0</v>
      </c>
      <c r="AE315">
        <f t="shared" si="135"/>
        <v>0</v>
      </c>
    </row>
    <row r="316" spans="1:31" x14ac:dyDescent="0.2">
      <c r="A316" s="374">
        <v>22259.75</v>
      </c>
      <c r="B316" s="391">
        <f t="shared" si="129"/>
        <v>22.25975</v>
      </c>
      <c r="C316" s="364">
        <f t="shared" si="110"/>
        <v>28.499089680539381</v>
      </c>
      <c r="D316" s="365">
        <f t="shared" si="111"/>
        <v>1.5357002823443988</v>
      </c>
      <c r="E316" s="365">
        <f t="shared" si="112"/>
        <v>1.0348499215624869</v>
      </c>
      <c r="F316" s="366">
        <f t="shared" si="113"/>
        <v>0.2602577053004464</v>
      </c>
      <c r="G316" s="365">
        <f t="shared" si="114"/>
        <v>1</v>
      </c>
      <c r="H316" s="366">
        <f t="shared" si="115"/>
        <v>0</v>
      </c>
      <c r="I316" s="364">
        <f t="shared" si="116"/>
        <v>7557.1245970903637</v>
      </c>
      <c r="J316" s="367">
        <f t="shared" si="117"/>
        <v>1.5706640013330002</v>
      </c>
      <c r="K316" s="375">
        <f t="shared" si="133"/>
        <v>4.6774421619908786</v>
      </c>
      <c r="L316" s="376">
        <f t="shared" si="134"/>
        <v>1.3553411931704213</v>
      </c>
      <c r="M316" s="364">
        <f t="shared" si="118"/>
        <v>1.0017793585872816</v>
      </c>
      <c r="N316" s="367">
        <f t="shared" si="119"/>
        <v>5.9610807013891084E-2</v>
      </c>
      <c r="O316" s="368">
        <f t="shared" si="120"/>
        <v>1.1064971593954034</v>
      </c>
      <c r="P316" s="369">
        <f t="shared" si="121"/>
        <v>0.51952714328053773</v>
      </c>
      <c r="Q316" s="370">
        <f t="shared" si="122"/>
        <v>-3.8409455623484954</v>
      </c>
      <c r="R316" s="371">
        <f t="shared" si="123"/>
        <v>-118.59672525977318</v>
      </c>
      <c r="S316" s="373">
        <f t="shared" si="124"/>
        <v>61.40327474022682</v>
      </c>
      <c r="U316" s="346">
        <f t="shared" si="130"/>
        <v>22259.75</v>
      </c>
      <c r="V316" s="346">
        <f t="shared" si="131"/>
        <v>495496470.0625</v>
      </c>
      <c r="X316" s="372">
        <f t="shared" si="125"/>
        <v>23.914269621486113</v>
      </c>
      <c r="Y316" s="373">
        <f t="shared" si="126"/>
        <v>-15.752535813885537</v>
      </c>
      <c r="AA316" s="372">
        <f t="shared" si="127"/>
        <v>23.725410170719769</v>
      </c>
      <c r="AB316" s="373">
        <f t="shared" si="128"/>
        <v>-102.84418944588764</v>
      </c>
      <c r="AD316">
        <f t="shared" si="132"/>
        <v>0</v>
      </c>
      <c r="AE316">
        <f t="shared" si="135"/>
        <v>0</v>
      </c>
    </row>
    <row r="317" spans="1:31" x14ac:dyDescent="0.2">
      <c r="A317" s="374">
        <v>22387</v>
      </c>
      <c r="B317" s="391">
        <f t="shared" si="129"/>
        <v>22.387</v>
      </c>
      <c r="C317" s="364">
        <f t="shared" si="110"/>
        <v>28.661807446072618</v>
      </c>
      <c r="D317" s="365">
        <f t="shared" si="111"/>
        <v>1.5358996094751163</v>
      </c>
      <c r="E317" s="365">
        <f t="shared" si="112"/>
        <v>1.0352427034810956</v>
      </c>
      <c r="F317" s="366">
        <f t="shared" si="113"/>
        <v>0.26167867625162305</v>
      </c>
      <c r="G317" s="365">
        <f t="shared" si="114"/>
        <v>1</v>
      </c>
      <c r="H317" s="366">
        <f t="shared" si="115"/>
        <v>0</v>
      </c>
      <c r="I317" s="364">
        <f t="shared" si="116"/>
        <v>7600.3256253224499</v>
      </c>
      <c r="J317" s="367">
        <f t="shared" si="117"/>
        <v>1.5706647534844647</v>
      </c>
      <c r="K317" s="375">
        <f t="shared" si="133"/>
        <v>4.7029623622911068</v>
      </c>
      <c r="L317" s="376">
        <f t="shared" si="134"/>
        <v>1.3565286202975011</v>
      </c>
      <c r="M317" s="364">
        <f t="shared" si="118"/>
        <v>1.0017997421582125</v>
      </c>
      <c r="N317" s="367">
        <f t="shared" si="119"/>
        <v>5.9950764308990129E-2</v>
      </c>
      <c r="O317" s="368">
        <f t="shared" si="120"/>
        <v>1.1076670377356004</v>
      </c>
      <c r="P317" s="369">
        <f t="shared" si="121"/>
        <v>0.52219118284190102</v>
      </c>
      <c r="Q317" s="370">
        <f t="shared" si="122"/>
        <v>-3.8987072415515431</v>
      </c>
      <c r="R317" s="371">
        <f t="shared" si="123"/>
        <v>-118.63085509862097</v>
      </c>
      <c r="S317" s="373">
        <f t="shared" si="124"/>
        <v>61.36914490137903</v>
      </c>
      <c r="U317" s="346">
        <f t="shared" si="130"/>
        <v>22387</v>
      </c>
      <c r="V317" s="346">
        <f t="shared" si="131"/>
        <v>501177769</v>
      </c>
      <c r="X317" s="372">
        <f t="shared" si="125"/>
        <v>23.911842094715769</v>
      </c>
      <c r="Y317" s="373">
        <f t="shared" si="126"/>
        <v>-15.704022464297415</v>
      </c>
      <c r="AA317" s="372">
        <f t="shared" si="127"/>
        <v>23.670076018287062</v>
      </c>
      <c r="AB317" s="373">
        <f t="shared" si="128"/>
        <v>-102.92683263432353</v>
      </c>
      <c r="AD317">
        <f t="shared" si="132"/>
        <v>0</v>
      </c>
      <c r="AE317">
        <f t="shared" si="135"/>
        <v>0</v>
      </c>
    </row>
    <row r="318" spans="1:31" x14ac:dyDescent="0.2">
      <c r="A318" s="374">
        <v>22517.5</v>
      </c>
      <c r="B318" s="391">
        <f t="shared" si="129"/>
        <v>22.517499999999998</v>
      </c>
      <c r="C318" s="364">
        <f t="shared" si="110"/>
        <v>28.828682237339819</v>
      </c>
      <c r="D318" s="365">
        <f t="shared" si="111"/>
        <v>1.5361016904055089</v>
      </c>
      <c r="E318" s="365">
        <f t="shared" si="112"/>
        <v>1.0356476865692459</v>
      </c>
      <c r="F318" s="366">
        <f t="shared" si="113"/>
        <v>0.26313481667877264</v>
      </c>
      <c r="G318" s="365">
        <f t="shared" si="114"/>
        <v>1</v>
      </c>
      <c r="H318" s="366">
        <f t="shared" si="115"/>
        <v>0</v>
      </c>
      <c r="I318" s="364">
        <f t="shared" si="116"/>
        <v>7644.6300197024038</v>
      </c>
      <c r="J318" s="367">
        <f t="shared" si="117"/>
        <v>1.5706655160165759</v>
      </c>
      <c r="K318" s="375">
        <f t="shared" si="133"/>
        <v>4.729141167539078</v>
      </c>
      <c r="L318" s="376">
        <f t="shared" si="134"/>
        <v>1.357733062148871</v>
      </c>
      <c r="M318" s="364">
        <f t="shared" si="118"/>
        <v>1.0018207665784491</v>
      </c>
      <c r="N318" s="367">
        <f t="shared" si="119"/>
        <v>6.0299389797017641E-2</v>
      </c>
      <c r="O318" s="368">
        <f t="shared" si="120"/>
        <v>1.1088726221179901</v>
      </c>
      <c r="P318" s="369">
        <f t="shared" si="121"/>
        <v>0.52491861626246894</v>
      </c>
      <c r="Q318" s="370">
        <f t="shared" si="122"/>
        <v>-3.9576351668356025</v>
      </c>
      <c r="R318" s="371">
        <f t="shared" si="123"/>
        <v>-118.66628223035438</v>
      </c>
      <c r="S318" s="373">
        <f t="shared" si="124"/>
        <v>61.333717769645617</v>
      </c>
      <c r="U318" s="346">
        <f t="shared" si="130"/>
        <v>22517.5</v>
      </c>
      <c r="V318" s="346">
        <f t="shared" si="131"/>
        <v>507037806.25</v>
      </c>
      <c r="X318" s="372">
        <f t="shared" si="125"/>
        <v>23.909389867405729</v>
      </c>
      <c r="Y318" s="373">
        <f t="shared" si="126"/>
        <v>-15.655031488455402</v>
      </c>
      <c r="AA318" s="372">
        <f t="shared" si="127"/>
        <v>23.61360032031304</v>
      </c>
      <c r="AB318" s="373">
        <f t="shared" si="128"/>
        <v>-103.01125074189898</v>
      </c>
      <c r="AD318">
        <f t="shared" si="132"/>
        <v>0</v>
      </c>
      <c r="AE318">
        <f t="shared" si="135"/>
        <v>0</v>
      </c>
    </row>
    <row r="319" spans="1:31" x14ac:dyDescent="0.2">
      <c r="A319" s="374">
        <v>22648</v>
      </c>
      <c r="B319" s="391">
        <f t="shared" si="129"/>
        <v>22.648</v>
      </c>
      <c r="C319" s="364">
        <f t="shared" si="110"/>
        <v>28.99555819232452</v>
      </c>
      <c r="D319" s="365">
        <f t="shared" si="111"/>
        <v>1.5363014453016248</v>
      </c>
      <c r="E319" s="365">
        <f t="shared" si="112"/>
        <v>1.0360548638682843</v>
      </c>
      <c r="F319" s="366">
        <f t="shared" si="113"/>
        <v>0.26458981564088102</v>
      </c>
      <c r="G319" s="365">
        <f t="shared" si="114"/>
        <v>1</v>
      </c>
      <c r="H319" s="366">
        <f t="shared" si="115"/>
        <v>0</v>
      </c>
      <c r="I319" s="364">
        <f t="shared" si="116"/>
        <v>7688.9344140867515</v>
      </c>
      <c r="J319" s="367">
        <f t="shared" si="117"/>
        <v>1.5706662697611173</v>
      </c>
      <c r="K319" s="375">
        <f t="shared" si="133"/>
        <v>4.75532675771671</v>
      </c>
      <c r="L319" s="376">
        <f t="shared" si="134"/>
        <v>1.358924241000119</v>
      </c>
      <c r="M319" s="364">
        <f t="shared" si="118"/>
        <v>1.0018419127545928</v>
      </c>
      <c r="N319" s="367">
        <f t="shared" si="119"/>
        <v>6.0648000610329364E-2</v>
      </c>
      <c r="O319" s="368">
        <f t="shared" si="120"/>
        <v>1.1100840913360088</v>
      </c>
      <c r="P319" s="369">
        <f t="shared" si="121"/>
        <v>0.52764133686845627</v>
      </c>
      <c r="Q319" s="370">
        <f t="shared" si="122"/>
        <v>-4.0162541946976607</v>
      </c>
      <c r="R319" s="371">
        <f t="shared" si="123"/>
        <v>-118.7021300365262</v>
      </c>
      <c r="S319" s="373">
        <f t="shared" si="124"/>
        <v>61.297869963473801</v>
      </c>
      <c r="U319" s="346">
        <f t="shared" si="130"/>
        <v>22648</v>
      </c>
      <c r="V319" s="346">
        <f t="shared" si="131"/>
        <v>512931904</v>
      </c>
      <c r="X319" s="372">
        <f t="shared" si="125"/>
        <v>23.906974557488226</v>
      </c>
      <c r="Y319" s="373">
        <f t="shared" si="126"/>
        <v>-15.606799082254978</v>
      </c>
      <c r="AA319" s="372">
        <f t="shared" si="127"/>
        <v>23.557396602368492</v>
      </c>
      <c r="AB319" s="373">
        <f t="shared" si="128"/>
        <v>-103.09533095427123</v>
      </c>
      <c r="AD319">
        <f t="shared" si="132"/>
        <v>0</v>
      </c>
      <c r="AE319">
        <f t="shared" si="135"/>
        <v>0</v>
      </c>
    </row>
    <row r="320" spans="1:31" x14ac:dyDescent="0.2">
      <c r="A320" s="374">
        <v>22778.5</v>
      </c>
      <c r="B320" s="391">
        <f t="shared" si="129"/>
        <v>22.778500000000001</v>
      </c>
      <c r="C320" s="364">
        <f t="shared" si="110"/>
        <v>29.162435291049331</v>
      </c>
      <c r="D320" s="365">
        <f t="shared" si="111"/>
        <v>1.5364989140783967</v>
      </c>
      <c r="E320" s="365">
        <f t="shared" si="112"/>
        <v>1.0364642327922087</v>
      </c>
      <c r="F320" s="366">
        <f t="shared" si="113"/>
        <v>0.26604366832634346</v>
      </c>
      <c r="G320" s="365">
        <f t="shared" si="114"/>
        <v>1</v>
      </c>
      <c r="H320" s="366">
        <f t="shared" si="115"/>
        <v>0</v>
      </c>
      <c r="I320" s="364">
        <f t="shared" si="116"/>
        <v>7733.2388084754166</v>
      </c>
      <c r="J320" s="367">
        <f t="shared" si="117"/>
        <v>1.5706670148691235</v>
      </c>
      <c r="K320" s="375">
        <f t="shared" si="133"/>
        <v>4.7815190213527003</v>
      </c>
      <c r="L320" s="376">
        <f t="shared" si="134"/>
        <v>1.360102371399508</v>
      </c>
      <c r="M320" s="364">
        <f t="shared" si="118"/>
        <v>1.0018631806789342</v>
      </c>
      <c r="N320" s="367">
        <f t="shared" si="119"/>
        <v>6.0996596665124199E-2</v>
      </c>
      <c r="O320" s="368">
        <f t="shared" si="120"/>
        <v>1.111301429588029</v>
      </c>
      <c r="P320" s="369">
        <f t="shared" si="121"/>
        <v>0.53035933702761751</v>
      </c>
      <c r="Q320" s="370">
        <f t="shared" si="122"/>
        <v>-4.0745682799906762</v>
      </c>
      <c r="R320" s="371">
        <f t="shared" si="123"/>
        <v>-118.73838835362498</v>
      </c>
      <c r="S320" s="373">
        <f t="shared" si="124"/>
        <v>61.261611646375016</v>
      </c>
      <c r="U320" s="346">
        <f t="shared" si="130"/>
        <v>22778.5</v>
      </c>
      <c r="V320" s="346">
        <f t="shared" si="131"/>
        <v>518860062.25</v>
      </c>
      <c r="X320" s="372">
        <f t="shared" si="125"/>
        <v>23.904595329081481</v>
      </c>
      <c r="Y320" s="373">
        <f t="shared" si="126"/>
        <v>-15.55931295683836</v>
      </c>
      <c r="AA320" s="372">
        <f t="shared" si="127"/>
        <v>23.501461745482217</v>
      </c>
      <c r="AB320" s="373">
        <f t="shared" si="128"/>
        <v>-103.17907539678662</v>
      </c>
      <c r="AD320">
        <f t="shared" si="132"/>
        <v>0</v>
      </c>
      <c r="AE320">
        <f t="shared" si="135"/>
        <v>0</v>
      </c>
    </row>
    <row r="321" spans="1:31" x14ac:dyDescent="0.2">
      <c r="A321" s="374">
        <v>22909</v>
      </c>
      <c r="B321" s="391">
        <f t="shared" si="129"/>
        <v>22.908999999999999</v>
      </c>
      <c r="C321" s="364">
        <f t="shared" si="110"/>
        <v>29.32931351399138</v>
      </c>
      <c r="D321" s="365">
        <f t="shared" si="111"/>
        <v>1.5366941357430457</v>
      </c>
      <c r="E321" s="365">
        <f t="shared" si="112"/>
        <v>1.0368757907451926</v>
      </c>
      <c r="F321" s="366">
        <f t="shared" si="113"/>
        <v>0.26749636995051673</v>
      </c>
      <c r="G321" s="365">
        <f t="shared" si="114"/>
        <v>1</v>
      </c>
      <c r="H321" s="366">
        <f t="shared" si="115"/>
        <v>0</v>
      </c>
      <c r="I321" s="364">
        <f t="shared" si="116"/>
        <v>7777.5432028683272</v>
      </c>
      <c r="J321" s="367">
        <f t="shared" si="117"/>
        <v>1.570667751488187</v>
      </c>
      <c r="K321" s="375">
        <f t="shared" si="133"/>
        <v>4.8077178493768074</v>
      </c>
      <c r="L321" s="376">
        <f t="shared" si="134"/>
        <v>1.3612676633654097</v>
      </c>
      <c r="M321" s="364">
        <f t="shared" si="118"/>
        <v>1.00188457034372</v>
      </c>
      <c r="N321" s="367">
        <f t="shared" si="119"/>
        <v>6.134517787762251E-2</v>
      </c>
      <c r="O321" s="368">
        <f t="shared" si="120"/>
        <v>1.1125246210684141</v>
      </c>
      <c r="P321" s="369">
        <f t="shared" si="121"/>
        <v>0.53307260932378187</v>
      </c>
      <c r="Q321" s="370">
        <f t="shared" si="122"/>
        <v>-4.1325812985711892</v>
      </c>
      <c r="R321" s="371">
        <f t="shared" si="123"/>
        <v>-118.77504723631432</v>
      </c>
      <c r="S321" s="373">
        <f t="shared" si="124"/>
        <v>61.224952763685678</v>
      </c>
      <c r="U321" s="346">
        <f t="shared" si="130"/>
        <v>22909</v>
      </c>
      <c r="V321" s="346">
        <f t="shared" si="131"/>
        <v>524822281</v>
      </c>
      <c r="X321" s="372">
        <f t="shared" si="125"/>
        <v>23.90225136902345</v>
      </c>
      <c r="Y321" s="373">
        <f t="shared" si="126"/>
        <v>-15.512561082695424</v>
      </c>
      <c r="AA321" s="372">
        <f t="shared" si="127"/>
        <v>23.445792686959742</v>
      </c>
      <c r="AB321" s="373">
        <f t="shared" si="128"/>
        <v>-103.26248615361888</v>
      </c>
      <c r="AD321">
        <f t="shared" si="132"/>
        <v>0</v>
      </c>
      <c r="AE321">
        <f t="shared" si="135"/>
        <v>0</v>
      </c>
    </row>
    <row r="322" spans="1:31" x14ac:dyDescent="0.2">
      <c r="A322" s="374">
        <v>23042.25</v>
      </c>
      <c r="B322" s="391">
        <f t="shared" si="129"/>
        <v>23.042249999999999</v>
      </c>
      <c r="C322" s="364">
        <f t="shared" si="110"/>
        <v>29.499709468016309</v>
      </c>
      <c r="D322" s="365">
        <f t="shared" si="111"/>
        <v>1.5368911922440678</v>
      </c>
      <c r="E322" s="365">
        <f t="shared" si="112"/>
        <v>1.0372982773764341</v>
      </c>
      <c r="F322" s="366">
        <f t="shared" si="113"/>
        <v>0.26897849141662772</v>
      </c>
      <c r="G322" s="365">
        <f t="shared" si="114"/>
        <v>1</v>
      </c>
      <c r="H322" s="366">
        <f t="shared" si="115"/>
        <v>0</v>
      </c>
      <c r="I322" s="364">
        <f t="shared" si="116"/>
        <v>7822.7812147719051</v>
      </c>
      <c r="J322" s="367">
        <f t="shared" si="117"/>
        <v>1.5706684950205865</v>
      </c>
      <c r="K322" s="375">
        <f t="shared" si="133"/>
        <v>4.8344754224332176</v>
      </c>
      <c r="L322" s="376">
        <f t="shared" si="134"/>
        <v>1.3624444778123364</v>
      </c>
      <c r="M322" s="364">
        <f t="shared" si="118"/>
        <v>1.001906536356058</v>
      </c>
      <c r="N322" s="367">
        <f t="shared" si="119"/>
        <v>6.1701089269450914E-2</v>
      </c>
      <c r="O322" s="368">
        <f t="shared" si="120"/>
        <v>1.1137796117316836</v>
      </c>
      <c r="P322" s="369">
        <f t="shared" si="121"/>
        <v>0.5358381720177553</v>
      </c>
      <c r="Q322" s="370">
        <f t="shared" si="122"/>
        <v>-4.1915101106084958</v>
      </c>
      <c r="R322" s="371">
        <f t="shared" si="123"/>
        <v>-118.81288182862322</v>
      </c>
      <c r="S322" s="373">
        <f t="shared" si="124"/>
        <v>61.187118171376781</v>
      </c>
      <c r="U322" s="346">
        <f t="shared" si="130"/>
        <v>23042.25</v>
      </c>
      <c r="V322" s="346">
        <f t="shared" si="131"/>
        <v>530945285.0625</v>
      </c>
      <c r="X322" s="372">
        <f t="shared" si="125"/>
        <v>23.89989358417958</v>
      </c>
      <c r="Y322" s="373">
        <f t="shared" si="126"/>
        <v>-15.465569403463618</v>
      </c>
      <c r="AA322" s="372">
        <f t="shared" si="127"/>
        <v>23.389221659766299</v>
      </c>
      <c r="AB322" s="373">
        <f t="shared" si="128"/>
        <v>-103.34731242515961</v>
      </c>
      <c r="AD322">
        <f t="shared" si="132"/>
        <v>0</v>
      </c>
      <c r="AE322">
        <f t="shared" si="135"/>
        <v>0</v>
      </c>
    </row>
    <row r="323" spans="1:31" x14ac:dyDescent="0.2">
      <c r="A323" s="374">
        <v>23175.5</v>
      </c>
      <c r="B323" s="391">
        <f t="shared" si="129"/>
        <v>23.1755</v>
      </c>
      <c r="C323" s="364">
        <f t="shared" si="110"/>
        <v>29.670106554394852</v>
      </c>
      <c r="D323" s="365">
        <f t="shared" si="111"/>
        <v>1.5370859853395018</v>
      </c>
      <c r="E323" s="365">
        <f t="shared" si="112"/>
        <v>1.0377230407659488</v>
      </c>
      <c r="F323" s="366">
        <f t="shared" si="113"/>
        <v>0.27045940280229158</v>
      </c>
      <c r="G323" s="365">
        <f t="shared" si="114"/>
        <v>1</v>
      </c>
      <c r="H323" s="366">
        <f t="shared" si="115"/>
        <v>0</v>
      </c>
      <c r="I323" s="364">
        <f t="shared" si="116"/>
        <v>7868.0192266797594</v>
      </c>
      <c r="J323" s="367">
        <f t="shared" si="117"/>
        <v>1.5706692300029492</v>
      </c>
      <c r="K323" s="375">
        <f t="shared" si="133"/>
        <v>4.8612396170070893</v>
      </c>
      <c r="L323" s="376">
        <f t="shared" si="134"/>
        <v>1.3636083356426523</v>
      </c>
      <c r="M323" s="364">
        <f t="shared" si="118"/>
        <v>1.0019286292772471</v>
      </c>
      <c r="N323" s="367">
        <f t="shared" si="119"/>
        <v>6.2056985010387075E-2</v>
      </c>
      <c r="O323" s="368">
        <f t="shared" si="120"/>
        <v>1.1150406715963306</v>
      </c>
      <c r="P323" s="369">
        <f t="shared" si="121"/>
        <v>0.5385987905467009</v>
      </c>
      <c r="Q323" s="370">
        <f t="shared" si="122"/>
        <v>-4.2501329574855911</v>
      </c>
      <c r="R323" s="371">
        <f t="shared" si="123"/>
        <v>-118.85111376289574</v>
      </c>
      <c r="S323" s="373">
        <f t="shared" si="124"/>
        <v>61.148886237104264</v>
      </c>
      <c r="U323" s="346">
        <f t="shared" si="130"/>
        <v>23175.5</v>
      </c>
      <c r="V323" s="346">
        <f t="shared" si="131"/>
        <v>537103800.25</v>
      </c>
      <c r="X323" s="372">
        <f t="shared" si="125"/>
        <v>23.89757092559698</v>
      </c>
      <c r="Y323" s="373">
        <f t="shared" si="126"/>
        <v>-15.419318697070141</v>
      </c>
      <c r="AA323" s="372">
        <f t="shared" si="127"/>
        <v>23.332921471471803</v>
      </c>
      <c r="AB323" s="373">
        <f t="shared" si="128"/>
        <v>-103.4317950658256</v>
      </c>
      <c r="AD323">
        <f t="shared" si="132"/>
        <v>0</v>
      </c>
      <c r="AE323">
        <f t="shared" si="135"/>
        <v>0</v>
      </c>
    </row>
    <row r="324" spans="1:31" x14ac:dyDescent="0.2">
      <c r="A324" s="374">
        <v>23308.75</v>
      </c>
      <c r="B324" s="391">
        <f t="shared" si="129"/>
        <v>23.30875</v>
      </c>
      <c r="C324" s="364">
        <f t="shared" si="110"/>
        <v>29.840504753728911</v>
      </c>
      <c r="D324" s="365">
        <f t="shared" si="111"/>
        <v>1.537278553788604</v>
      </c>
      <c r="E324" s="365">
        <f t="shared" si="112"/>
        <v>1.0381500781191011</v>
      </c>
      <c r="F324" s="366">
        <f t="shared" si="113"/>
        <v>0.27193909910126818</v>
      </c>
      <c r="G324" s="365">
        <f t="shared" si="114"/>
        <v>1</v>
      </c>
      <c r="H324" s="366">
        <f t="shared" si="115"/>
        <v>0</v>
      </c>
      <c r="I324" s="364">
        <f t="shared" si="116"/>
        <v>7913.2572385918138</v>
      </c>
      <c r="J324" s="367">
        <f t="shared" si="117"/>
        <v>1.5706699565819096</v>
      </c>
      <c r="K324" s="375">
        <f t="shared" si="133"/>
        <v>4.888010324330498</v>
      </c>
      <c r="L324" s="376">
        <f t="shared" si="134"/>
        <v>1.3647594465599491</v>
      </c>
      <c r="M324" s="364">
        <f t="shared" si="118"/>
        <v>1.0019508490988924</v>
      </c>
      <c r="N324" s="367">
        <f t="shared" si="119"/>
        <v>6.2412865011312511E-2</v>
      </c>
      <c r="O324" s="368">
        <f t="shared" si="120"/>
        <v>1.1163077838288928</v>
      </c>
      <c r="P324" s="369">
        <f t="shared" si="121"/>
        <v>0.5413544577045406</v>
      </c>
      <c r="Q324" s="370">
        <f t="shared" si="122"/>
        <v>-4.308453723260838</v>
      </c>
      <c r="R324" s="371">
        <f t="shared" si="123"/>
        <v>-118.88973312199684</v>
      </c>
      <c r="S324" s="373">
        <f t="shared" si="124"/>
        <v>61.110266878003159</v>
      </c>
      <c r="U324" s="346">
        <f t="shared" si="130"/>
        <v>23308.75</v>
      </c>
      <c r="V324" s="346">
        <f t="shared" si="131"/>
        <v>543297826.5625</v>
      </c>
      <c r="X324" s="372">
        <f t="shared" si="125"/>
        <v>23.895282596295061</v>
      </c>
      <c r="Y324" s="373">
        <f t="shared" si="126"/>
        <v>-15.37379695167963</v>
      </c>
      <c r="AA324" s="372">
        <f t="shared" si="127"/>
        <v>23.276889034998476</v>
      </c>
      <c r="AB324" s="373">
        <f t="shared" si="128"/>
        <v>-103.51593617031722</v>
      </c>
      <c r="AD324">
        <f t="shared" si="132"/>
        <v>0</v>
      </c>
      <c r="AE324">
        <f t="shared" si="135"/>
        <v>0</v>
      </c>
    </row>
    <row r="325" spans="1:31" x14ac:dyDescent="0.2">
      <c r="A325" s="374">
        <v>23442</v>
      </c>
      <c r="B325" s="391">
        <f t="shared" si="129"/>
        <v>23.442</v>
      </c>
      <c r="C325" s="364">
        <f t="shared" si="110"/>
        <v>30.010904047060805</v>
      </c>
      <c r="D325" s="365">
        <f t="shared" si="111"/>
        <v>1.5374689354710127</v>
      </c>
      <c r="E325" s="365">
        <f t="shared" si="112"/>
        <v>1.0385793866309037</v>
      </c>
      <c r="F325" s="366">
        <f t="shared" si="113"/>
        <v>0.2734175753368131</v>
      </c>
      <c r="G325" s="365">
        <f t="shared" si="114"/>
        <v>1</v>
      </c>
      <c r="H325" s="366">
        <f t="shared" si="115"/>
        <v>0</v>
      </c>
      <c r="I325" s="364">
        <f t="shared" si="116"/>
        <v>7958.4952505079991</v>
      </c>
      <c r="J325" s="367">
        <f t="shared" si="117"/>
        <v>1.5706706749007691</v>
      </c>
      <c r="K325" s="375">
        <f t="shared" si="133"/>
        <v>4.9147874379791592</v>
      </c>
      <c r="L325" s="376">
        <f t="shared" si="134"/>
        <v>1.3658980158345242</v>
      </c>
      <c r="M325" s="364">
        <f t="shared" si="118"/>
        <v>1.0019731958125513</v>
      </c>
      <c r="N325" s="367">
        <f t="shared" si="119"/>
        <v>6.2768729183132574E-2</v>
      </c>
      <c r="O325" s="368">
        <f t="shared" si="120"/>
        <v>1.1175809315952507</v>
      </c>
      <c r="P325" s="369">
        <f t="shared" si="121"/>
        <v>0.5441051665143124</v>
      </c>
      <c r="Q325" s="370">
        <f t="shared" si="122"/>
        <v>-4.3664762146193201</v>
      </c>
      <c r="R325" s="371">
        <f t="shared" si="123"/>
        <v>-118.92873020365009</v>
      </c>
      <c r="S325" s="373">
        <f t="shared" si="124"/>
        <v>61.07126979634991</v>
      </c>
      <c r="U325" s="346">
        <f t="shared" si="130"/>
        <v>23442</v>
      </c>
      <c r="V325" s="346">
        <f t="shared" si="131"/>
        <v>549527364</v>
      </c>
      <c r="X325" s="372">
        <f t="shared" si="125"/>
        <v>23.893027820951446</v>
      </c>
      <c r="Y325" s="373">
        <f t="shared" si="126"/>
        <v>-15.328992409276205</v>
      </c>
      <c r="AA325" s="372">
        <f t="shared" si="127"/>
        <v>23.221121318983613</v>
      </c>
      <c r="AB325" s="373">
        <f t="shared" si="128"/>
        <v>-103.59973779437385</v>
      </c>
      <c r="AD325">
        <f t="shared" si="132"/>
        <v>0</v>
      </c>
      <c r="AE325">
        <f t="shared" si="135"/>
        <v>0</v>
      </c>
    </row>
    <row r="326" spans="1:31" x14ac:dyDescent="0.2">
      <c r="A326" s="374">
        <v>23578.5</v>
      </c>
      <c r="B326" s="391">
        <f t="shared" si="129"/>
        <v>23.578499999999998</v>
      </c>
      <c r="C326" s="364">
        <f t="shared" si="110"/>
        <v>30.185460535698798</v>
      </c>
      <c r="D326" s="365">
        <f t="shared" si="111"/>
        <v>1.537661731885495</v>
      </c>
      <c r="E326" s="365">
        <f t="shared" si="112"/>
        <v>1.0390215180644877</v>
      </c>
      <c r="F326" s="366">
        <f t="shared" si="113"/>
        <v>0.27493084173436105</v>
      </c>
      <c r="G326" s="365">
        <f t="shared" si="114"/>
        <v>1</v>
      </c>
      <c r="H326" s="366">
        <f t="shared" si="115"/>
        <v>0</v>
      </c>
      <c r="I326" s="364">
        <f t="shared" si="116"/>
        <v>8004.8366285726916</v>
      </c>
      <c r="J326" s="367">
        <f t="shared" si="117"/>
        <v>1.5706714023212314</v>
      </c>
      <c r="K326" s="375">
        <f t="shared" si="133"/>
        <v>4.9422241857217388</v>
      </c>
      <c r="L326" s="376">
        <f t="shared" si="134"/>
        <v>1.367051560908096</v>
      </c>
      <c r="M326" s="364">
        <f t="shared" si="118"/>
        <v>1.0019962191312795</v>
      </c>
      <c r="N326" s="367">
        <f t="shared" si="119"/>
        <v>6.3133256462865689E-2</v>
      </c>
      <c r="O326" s="368">
        <f t="shared" si="120"/>
        <v>1.118891372290735</v>
      </c>
      <c r="P326" s="369">
        <f t="shared" si="121"/>
        <v>0.54691781750327206</v>
      </c>
      <c r="Q326" s="370">
        <f t="shared" si="122"/>
        <v>-4.4256085129765284</v>
      </c>
      <c r="R326" s="371">
        <f t="shared" si="123"/>
        <v>-118.96906016617822</v>
      </c>
      <c r="S326" s="373">
        <f t="shared" si="124"/>
        <v>61.030939833821776</v>
      </c>
      <c r="U326" s="346">
        <f t="shared" si="130"/>
        <v>23578.5</v>
      </c>
      <c r="V326" s="346">
        <f t="shared" si="131"/>
        <v>555945662.25</v>
      </c>
      <c r="X326" s="372">
        <f t="shared" si="125"/>
        <v>23.890752054196057</v>
      </c>
      <c r="Y326" s="373">
        <f t="shared" si="126"/>
        <v>-15.283826697799345</v>
      </c>
      <c r="AA326" s="372">
        <f t="shared" si="127"/>
        <v>23.164264787381789</v>
      </c>
      <c r="AB326" s="373">
        <f t="shared" si="128"/>
        <v>-103.68523346837887</v>
      </c>
      <c r="AD326">
        <f t="shared" si="132"/>
        <v>0</v>
      </c>
      <c r="AE326">
        <f t="shared" si="135"/>
        <v>0</v>
      </c>
    </row>
    <row r="327" spans="1:31" x14ac:dyDescent="0.2">
      <c r="A327" s="374">
        <v>23715</v>
      </c>
      <c r="B327" s="391">
        <f t="shared" si="129"/>
        <v>23.715</v>
      </c>
      <c r="C327" s="364">
        <f t="shared" si="110"/>
        <v>30.360018133442061</v>
      </c>
      <c r="D327" s="365">
        <f t="shared" si="111"/>
        <v>1.5378523113070686</v>
      </c>
      <c r="E327" s="365">
        <f t="shared" si="112"/>
        <v>1.039466026804319</v>
      </c>
      <c r="F327" s="366">
        <f t="shared" si="113"/>
        <v>0.27644281735013321</v>
      </c>
      <c r="G327" s="365">
        <f t="shared" si="114"/>
        <v>1</v>
      </c>
      <c r="H327" s="366">
        <f t="shared" si="115"/>
        <v>0</v>
      </c>
      <c r="I327" s="364">
        <f t="shared" si="116"/>
        <v>8051.1780066415704</v>
      </c>
      <c r="J327" s="367">
        <f t="shared" si="117"/>
        <v>1.5706721213678465</v>
      </c>
      <c r="K327" s="375">
        <f t="shared" si="133"/>
        <v>4.9696674372950147</v>
      </c>
      <c r="L327" s="376">
        <f t="shared" si="134"/>
        <v>1.3681923673867289</v>
      </c>
      <c r="M327" s="364">
        <f t="shared" si="118"/>
        <v>1.0020193755892741</v>
      </c>
      <c r="N327" s="367">
        <f t="shared" si="119"/>
        <v>6.3497766942734887E-2</v>
      </c>
      <c r="O327" s="368">
        <f t="shared" si="120"/>
        <v>1.1202081107670763</v>
      </c>
      <c r="P327" s="369">
        <f t="shared" si="121"/>
        <v>0.54972525123297677</v>
      </c>
      <c r="Q327" s="370">
        <f t="shared" si="122"/>
        <v>-4.4844356558247576</v>
      </c>
      <c r="R327" s="371">
        <f t="shared" si="123"/>
        <v>-119.00976655916149</v>
      </c>
      <c r="S327" s="373">
        <f t="shared" si="124"/>
        <v>60.990233440838509</v>
      </c>
      <c r="U327" s="346">
        <f t="shared" si="130"/>
        <v>23715</v>
      </c>
      <c r="V327" s="346">
        <f t="shared" si="131"/>
        <v>562401225</v>
      </c>
      <c r="X327" s="372">
        <f t="shared" si="125"/>
        <v>23.888509917768772</v>
      </c>
      <c r="Y327" s="373">
        <f t="shared" si="126"/>
        <v>-15.239389411702827</v>
      </c>
      <c r="AA327" s="372">
        <f t="shared" si="127"/>
        <v>23.107679780960847</v>
      </c>
      <c r="AB327" s="373">
        <f t="shared" si="128"/>
        <v>-103.77037714745867</v>
      </c>
      <c r="AD327">
        <f t="shared" si="132"/>
        <v>0</v>
      </c>
      <c r="AE327">
        <f t="shared" si="135"/>
        <v>0</v>
      </c>
    </row>
    <row r="328" spans="1:31" x14ac:dyDescent="0.2">
      <c r="A328" s="374">
        <v>23851.5</v>
      </c>
      <c r="B328" s="391">
        <f t="shared" si="129"/>
        <v>23.851500000000001</v>
      </c>
      <c r="C328" s="364">
        <f t="shared" si="110"/>
        <v>30.534576821269273</v>
      </c>
      <c r="D328" s="365">
        <f t="shared" si="111"/>
        <v>1.5380407117437833</v>
      </c>
      <c r="E328" s="365">
        <f t="shared" si="112"/>
        <v>1.0399129098018729</v>
      </c>
      <c r="F328" s="366">
        <f t="shared" si="113"/>
        <v>0.27795349693083932</v>
      </c>
      <c r="G328" s="365">
        <f t="shared" si="114"/>
        <v>1</v>
      </c>
      <c r="H328" s="366">
        <f t="shared" si="115"/>
        <v>0</v>
      </c>
      <c r="I328" s="364">
        <f t="shared" si="116"/>
        <v>8097.5193847145638</v>
      </c>
      <c r="J328" s="367">
        <f t="shared" si="117"/>
        <v>1.570672832184383</v>
      </c>
      <c r="K328" s="375">
        <f t="shared" si="133"/>
        <v>4.9971170855454474</v>
      </c>
      <c r="L328" s="376">
        <f t="shared" si="134"/>
        <v>1.3693206421993234</v>
      </c>
      <c r="M328" s="364">
        <f t="shared" si="118"/>
        <v>1.0020426651773051</v>
      </c>
      <c r="N328" s="367">
        <f t="shared" si="119"/>
        <v>6.3862260527044801E-2</v>
      </c>
      <c r="O328" s="368">
        <f t="shared" si="120"/>
        <v>1.1215311289319361</v>
      </c>
      <c r="P328" s="369">
        <f t="shared" si="121"/>
        <v>0.55252746094143523</v>
      </c>
      <c r="Q328" s="370">
        <f t="shared" si="122"/>
        <v>-4.542961495462043</v>
      </c>
      <c r="R328" s="371">
        <f t="shared" si="123"/>
        <v>-119.05083962046035</v>
      </c>
      <c r="S328" s="373">
        <f t="shared" si="124"/>
        <v>60.949160379539649</v>
      </c>
      <c r="U328" s="346">
        <f t="shared" si="130"/>
        <v>23851.5</v>
      </c>
      <c r="V328" s="346">
        <f t="shared" si="131"/>
        <v>568894052.25</v>
      </c>
      <c r="X328" s="372">
        <f t="shared" si="125"/>
        <v>23.886300644434275</v>
      </c>
      <c r="Y328" s="373">
        <f t="shared" si="126"/>
        <v>-15.195668697588408</v>
      </c>
      <c r="AA328" s="372">
        <f t="shared" si="127"/>
        <v>23.051363214658057</v>
      </c>
      <c r="AB328" s="373">
        <f t="shared" si="128"/>
        <v>-103.85517092287193</v>
      </c>
      <c r="AD328">
        <f t="shared" si="132"/>
        <v>0</v>
      </c>
      <c r="AE328">
        <f t="shared" si="135"/>
        <v>0</v>
      </c>
    </row>
    <row r="329" spans="1:31" x14ac:dyDescent="0.2">
      <c r="A329" s="374">
        <v>23988</v>
      </c>
      <c r="B329" s="391">
        <f t="shared" si="129"/>
        <v>23.988</v>
      </c>
      <c r="C329" s="364">
        <f t="shared" si="110"/>
        <v>30.709136580591466</v>
      </c>
      <c r="D329" s="365">
        <f t="shared" si="111"/>
        <v>1.5382269703401212</v>
      </c>
      <c r="E329" s="365">
        <f t="shared" si="112"/>
        <v>1.0403621639975933</v>
      </c>
      <c r="F329" s="366">
        <f t="shared" si="113"/>
        <v>0.27946287525585317</v>
      </c>
      <c r="G329" s="365">
        <f t="shared" si="114"/>
        <v>1</v>
      </c>
      <c r="H329" s="366">
        <f t="shared" si="115"/>
        <v>0</v>
      </c>
      <c r="I329" s="364">
        <f t="shared" si="116"/>
        <v>8143.8607627916026</v>
      </c>
      <c r="J329" s="367">
        <f t="shared" si="117"/>
        <v>1.5706735349113368</v>
      </c>
      <c r="K329" s="375">
        <f t="shared" si="133"/>
        <v>5.0245730256363483</v>
      </c>
      <c r="L329" s="376">
        <f t="shared" si="134"/>
        <v>1.3704365878810767</v>
      </c>
      <c r="M329" s="364">
        <f t="shared" si="118"/>
        <v>1.0020660878860901</v>
      </c>
      <c r="N329" s="367">
        <f t="shared" si="119"/>
        <v>6.4226737120126817E-2</v>
      </c>
      <c r="O329" s="368">
        <f t="shared" si="120"/>
        <v>1.1228604086962626</v>
      </c>
      <c r="P329" s="369">
        <f t="shared" si="121"/>
        <v>0.55532444011224913</v>
      </c>
      <c r="Q329" s="370">
        <f t="shared" si="122"/>
        <v>-4.6011898074076027</v>
      </c>
      <c r="R329" s="371">
        <f t="shared" si="123"/>
        <v>-119.09226980221085</v>
      </c>
      <c r="S329" s="373">
        <f t="shared" si="124"/>
        <v>60.907730197789149</v>
      </c>
      <c r="U329" s="346">
        <f t="shared" si="130"/>
        <v>23988</v>
      </c>
      <c r="V329" s="346">
        <f t="shared" si="131"/>
        <v>575424144</v>
      </c>
      <c r="X329" s="372">
        <f t="shared" si="125"/>
        <v>23.884123487868575</v>
      </c>
      <c r="Y329" s="373">
        <f t="shared" si="126"/>
        <v>-15.152652953612442</v>
      </c>
      <c r="AA329" s="372">
        <f t="shared" si="127"/>
        <v>22.995312059278202</v>
      </c>
      <c r="AB329" s="373">
        <f t="shared" si="128"/>
        <v>-103.93961684859845</v>
      </c>
      <c r="AD329">
        <f t="shared" si="132"/>
        <v>0</v>
      </c>
      <c r="AE329">
        <f t="shared" si="135"/>
        <v>0</v>
      </c>
    </row>
    <row r="330" spans="1:31" x14ac:dyDescent="0.2">
      <c r="A330" s="374">
        <v>24127.75</v>
      </c>
      <c r="B330" s="391">
        <f t="shared" si="129"/>
        <v>24.127749999999999</v>
      </c>
      <c r="C330" s="364">
        <f t="shared" si="110"/>
        <v>30.887853615756129</v>
      </c>
      <c r="D330" s="365">
        <f t="shared" si="111"/>
        <v>1.538415482628781</v>
      </c>
      <c r="E330" s="365">
        <f t="shared" si="112"/>
        <v>1.0408245680713688</v>
      </c>
      <c r="F330" s="366">
        <f t="shared" si="113"/>
        <v>0.28100683764496154</v>
      </c>
      <c r="G330" s="365">
        <f t="shared" si="114"/>
        <v>1</v>
      </c>
      <c r="H330" s="366">
        <f t="shared" si="115"/>
        <v>0</v>
      </c>
      <c r="I330" s="364">
        <f t="shared" si="116"/>
        <v>8191.3055070174514</v>
      </c>
      <c r="J330" s="367">
        <f t="shared" si="117"/>
        <v>1.5706742461324641</v>
      </c>
      <c r="K330" s="375">
        <f t="shared" si="133"/>
        <v>5.0526890898151171</v>
      </c>
      <c r="L330" s="376">
        <f t="shared" si="134"/>
        <v>1.3715665377430699</v>
      </c>
      <c r="M330" s="364">
        <f t="shared" si="118"/>
        <v>1.0020902061814694</v>
      </c>
      <c r="N330" s="367">
        <f t="shared" si="119"/>
        <v>6.4599874024585585E-2</v>
      </c>
      <c r="O330" s="368">
        <f t="shared" si="120"/>
        <v>1.1242278060971835</v>
      </c>
      <c r="P330" s="369">
        <f t="shared" si="121"/>
        <v>0.55818258865168713</v>
      </c>
      <c r="Q330" s="370">
        <f t="shared" si="122"/>
        <v>-4.6605001336167815</v>
      </c>
      <c r="R330" s="371">
        <f t="shared" si="123"/>
        <v>-119.13504664231611</v>
      </c>
      <c r="S330" s="373">
        <f t="shared" si="124"/>
        <v>60.864953357683888</v>
      </c>
      <c r="U330" s="346">
        <f t="shared" si="130"/>
        <v>24127.75</v>
      </c>
      <c r="V330" s="346">
        <f t="shared" si="131"/>
        <v>582148320.0625</v>
      </c>
      <c r="X330" s="372">
        <f t="shared" si="125"/>
        <v>23.881927009068086</v>
      </c>
      <c r="Y330" s="373">
        <f t="shared" si="126"/>
        <v>-15.109331515184302</v>
      </c>
      <c r="AA330" s="372">
        <f t="shared" si="127"/>
        <v>22.938198211869508</v>
      </c>
      <c r="AB330" s="373">
        <f t="shared" si="128"/>
        <v>-104.02571512713182</v>
      </c>
      <c r="AD330">
        <f t="shared" si="132"/>
        <v>0</v>
      </c>
      <c r="AE330">
        <f t="shared" si="135"/>
        <v>0</v>
      </c>
    </row>
    <row r="331" spans="1:31" x14ac:dyDescent="0.2">
      <c r="A331" s="374">
        <v>24267.5</v>
      </c>
      <c r="B331" s="391">
        <f t="shared" si="129"/>
        <v>24.267499999999998</v>
      </c>
      <c r="C331" s="364">
        <f t="shared" si="110"/>
        <v>31.066571735949793</v>
      </c>
      <c r="D331" s="365">
        <f t="shared" si="111"/>
        <v>1.5386018259970806</v>
      </c>
      <c r="E331" s="365">
        <f t="shared" si="112"/>
        <v>1.0412894510763793</v>
      </c>
      <c r="F331" s="366">
        <f t="shared" si="113"/>
        <v>0.28254942510656222</v>
      </c>
      <c r="G331" s="365">
        <f t="shared" si="114"/>
        <v>1</v>
      </c>
      <c r="H331" s="366">
        <f t="shared" si="115"/>
        <v>0</v>
      </c>
      <c r="I331" s="364">
        <f t="shared" si="116"/>
        <v>8238.7502512473966</v>
      </c>
      <c r="J331" s="367">
        <f t="shared" si="117"/>
        <v>1.5706749491621295</v>
      </c>
      <c r="K331" s="375">
        <f t="shared" si="133"/>
        <v>5.0808115337962567</v>
      </c>
      <c r="L331" s="376">
        <f t="shared" si="134"/>
        <v>1.3726839804060242</v>
      </c>
      <c r="M331" s="364">
        <f t="shared" si="118"/>
        <v>1.0021144639922925</v>
      </c>
      <c r="N331" s="367">
        <f t="shared" si="119"/>
        <v>6.4972992916220468E-2</v>
      </c>
      <c r="O331" s="368">
        <f t="shared" si="120"/>
        <v>1.1256017284606212</v>
      </c>
      <c r="P331" s="369">
        <f t="shared" si="121"/>
        <v>0.56103524157291618</v>
      </c>
      <c r="Q331" s="370">
        <f t="shared" si="122"/>
        <v>-4.7195063664500347</v>
      </c>
      <c r="R331" s="371">
        <f t="shared" si="123"/>
        <v>-119.17817822257662</v>
      </c>
      <c r="S331" s="373">
        <f t="shared" si="124"/>
        <v>60.821821777423381</v>
      </c>
      <c r="U331" s="346">
        <f t="shared" si="130"/>
        <v>24267.5</v>
      </c>
      <c r="V331" s="346">
        <f t="shared" si="131"/>
        <v>588911556.25</v>
      </c>
      <c r="X331" s="372">
        <f t="shared" si="125"/>
        <v>23.879762675683608</v>
      </c>
      <c r="Y331" s="373">
        <f t="shared" si="126"/>
        <v>-15.066725185080442</v>
      </c>
      <c r="AA331" s="372">
        <f t="shared" si="127"/>
        <v>22.881356312420738</v>
      </c>
      <c r="AB331" s="373">
        <f t="shared" si="128"/>
        <v>-104.11145303749618</v>
      </c>
      <c r="AD331">
        <f t="shared" si="132"/>
        <v>0</v>
      </c>
      <c r="AE331">
        <f t="shared" si="135"/>
        <v>0</v>
      </c>
    </row>
    <row r="332" spans="1:31" x14ac:dyDescent="0.2">
      <c r="A332" s="374">
        <v>24407.25</v>
      </c>
      <c r="B332" s="391">
        <f t="shared" si="129"/>
        <v>24.407250000000001</v>
      </c>
      <c r="C332" s="364">
        <f t="shared" si="110"/>
        <v>31.245290922553863</v>
      </c>
      <c r="D332" s="365">
        <f t="shared" si="111"/>
        <v>1.5387860376498321</v>
      </c>
      <c r="E332" s="365">
        <f t="shared" si="112"/>
        <v>1.0417568096939622</v>
      </c>
      <c r="F332" s="366">
        <f t="shared" si="113"/>
        <v>0.2840906321448588</v>
      </c>
      <c r="G332" s="365">
        <f t="shared" si="114"/>
        <v>1</v>
      </c>
      <c r="H332" s="366">
        <f t="shared" si="115"/>
        <v>0</v>
      </c>
      <c r="I332" s="364">
        <f t="shared" si="116"/>
        <v>8286.1949954813645</v>
      </c>
      <c r="J332" s="367">
        <f t="shared" si="117"/>
        <v>1.5706756441410401</v>
      </c>
      <c r="K332" s="375">
        <f t="shared" si="133"/>
        <v>5.1089402522258416</v>
      </c>
      <c r="L332" s="376">
        <f t="shared" si="134"/>
        <v>1.3737891196417809</v>
      </c>
      <c r="M332" s="364">
        <f t="shared" si="118"/>
        <v>1.0021388613084283</v>
      </c>
      <c r="N332" s="367">
        <f t="shared" si="119"/>
        <v>6.5346093692453797E-2</v>
      </c>
      <c r="O332" s="368">
        <f t="shared" si="120"/>
        <v>1.1269821563916127</v>
      </c>
      <c r="P332" s="369">
        <f t="shared" si="121"/>
        <v>0.56388239267156148</v>
      </c>
      <c r="Q332" s="370">
        <f t="shared" si="122"/>
        <v>-4.7782123201289597</v>
      </c>
      <c r="R332" s="371">
        <f t="shared" si="123"/>
        <v>-119.22165496099075</v>
      </c>
      <c r="S332" s="373">
        <f t="shared" si="124"/>
        <v>60.778345039009253</v>
      </c>
      <c r="U332" s="346">
        <f t="shared" si="130"/>
        <v>24407.25</v>
      </c>
      <c r="V332" s="346">
        <f t="shared" si="131"/>
        <v>595713852.5625</v>
      </c>
      <c r="X332" s="372">
        <f t="shared" si="125"/>
        <v>23.877629750593009</v>
      </c>
      <c r="Y332" s="373">
        <f t="shared" si="126"/>
        <v>-15.024822290219047</v>
      </c>
      <c r="AA332" s="372">
        <f t="shared" si="127"/>
        <v>22.82478328383241</v>
      </c>
      <c r="AB332" s="373">
        <f t="shared" si="128"/>
        <v>-104.1968326707717</v>
      </c>
      <c r="AD332">
        <f t="shared" si="132"/>
        <v>0</v>
      </c>
      <c r="AE332">
        <f t="shared" si="135"/>
        <v>0</v>
      </c>
    </row>
    <row r="333" spans="1:31" x14ac:dyDescent="0.2">
      <c r="A333" s="374">
        <v>24547</v>
      </c>
      <c r="B333" s="391">
        <f t="shared" si="129"/>
        <v>24.547000000000001</v>
      </c>
      <c r="C333" s="364">
        <f t="shared" ref="C333:C396" si="136">SQRT(1+(A333/pole1)^2)</f>
        <v>31.424011157373222</v>
      </c>
      <c r="D333" s="365">
        <f t="shared" ref="D333:D396" si="137">ATAN(A333/pole1)</f>
        <v>1.5389681539460429</v>
      </c>
      <c r="E333" s="365">
        <f t="shared" ref="E333:E396" si="138">SQRT(1+(A333/Zero1)^2)</f>
        <v>1.0422266405937515</v>
      </c>
      <c r="F333" s="366">
        <f t="shared" ref="F333:F396" si="139">ATAN(A333/Zero1)</f>
        <v>0.28563045330011783</v>
      </c>
      <c r="G333" s="365">
        <f t="shared" ref="G333:G396" si="140">IF(VIN_nom&gt;Vout, 1, SQRT(1+(A333/z_RHP)^2))</f>
        <v>1</v>
      </c>
      <c r="H333" s="366">
        <f t="shared" ref="H333:H396" si="141">IF(VIN_nom&gt;Vout, 0, -ATAN(A333/z_RHP))</f>
        <v>0</v>
      </c>
      <c r="I333" s="364">
        <f t="shared" ref="I333:I396" si="142">SQRT(1+(A333/Pole2)^2)</f>
        <v>8333.6397397192904</v>
      </c>
      <c r="J333" s="367">
        <f t="shared" ref="J333:J396" si="143">ATAN(A333/Pole2)</f>
        <v>1.5706763312066985</v>
      </c>
      <c r="K333" s="375">
        <f t="shared" si="133"/>
        <v>5.1370751420342167</v>
      </c>
      <c r="L333" s="376">
        <f t="shared" si="134"/>
        <v>1.3748821548797976</v>
      </c>
      <c r="M333" s="364">
        <f t="shared" ref="M333:M396" si="144">SQRT(1+(A333/pole4)^2)</f>
        <v>1.0021633981196885</v>
      </c>
      <c r="N333" s="367">
        <f t="shared" ref="N333:N396" si="145">ATAN(A333/pole4)</f>
        <v>6.5719176250738046E-2</v>
      </c>
      <c r="O333" s="368">
        <f t="shared" ref="O333:O396" si="146">SQRT((1-(V333/pterm2))^2+(A333/pterm1)^2)</f>
        <v>1.1283690705031377</v>
      </c>
      <c r="P333" s="369">
        <f t="shared" ref="P333:P396" si="147">IF((ATAN((A333/pterm1)/(1-A333^2/pterm2))&gt;0),ATAN((A333/pterm1)/(1-A333^2/pterm2)),PI()+ATAN((A333/pterm1)/(1-A333^2/pterm2)))</f>
        <v>0.56672403600531185</v>
      </c>
      <c r="Q333" s="370">
        <f t="shared" ref="Q333:Q396" si="148">20*LOG10(((E333*K333*G333)/(C333*I333*O333*M333))*Adc)</f>
        <v>-4.8366217328648879</v>
      </c>
      <c r="R333" s="371">
        <f t="shared" ref="R333:R396" si="149">((F333+L333+H333)-(D333+J333+P333+N333))*radconv</f>
        <v>-119.26546748866299</v>
      </c>
      <c r="S333" s="373">
        <f t="shared" ref="S333:S396" si="150">IF(R333&gt;0,R333,R333+180)</f>
        <v>60.734532511337008</v>
      </c>
      <c r="U333" s="346">
        <f t="shared" si="130"/>
        <v>24547</v>
      </c>
      <c r="V333" s="346">
        <f t="shared" si="131"/>
        <v>602555209</v>
      </c>
      <c r="X333" s="372">
        <f t="shared" ref="X333:X396" si="151">20*LOG10((K333/(I333*M333))*AEA)</f>
        <v>23.875527516810827</v>
      </c>
      <c r="Y333" s="373">
        <f t="shared" ref="Y333:Y396" si="152">(L333-(J333+N333))*radconv</f>
        <v>-14.983611406136632</v>
      </c>
      <c r="AA333" s="372">
        <f t="shared" ref="AA333:AA396" si="153">20*LOG10((E333*G333/(C333*O333))*Acs*Am)</f>
        <v>22.768476104878662</v>
      </c>
      <c r="AB333" s="373">
        <f t="shared" ref="AB333:AB396" si="154">(F333+H333-(D333+P333))*radconv</f>
        <v>-104.28185608252636</v>
      </c>
      <c r="AD333">
        <f t="shared" si="132"/>
        <v>0</v>
      </c>
      <c r="AE333">
        <f t="shared" si="135"/>
        <v>0</v>
      </c>
    </row>
    <row r="334" spans="1:31" x14ac:dyDescent="0.2">
      <c r="A334" s="374">
        <v>24690</v>
      </c>
      <c r="B334" s="391">
        <f t="shared" ref="B334:B397" si="155">A334/1000</f>
        <v>24.69</v>
      </c>
      <c r="C334" s="364">
        <f t="shared" si="136"/>
        <v>31.606888743238564</v>
      </c>
      <c r="D334" s="365">
        <f t="shared" si="137"/>
        <v>1.5391523735546278</v>
      </c>
      <c r="E334" s="365">
        <f t="shared" si="138"/>
        <v>1.0427099535003539</v>
      </c>
      <c r="F334" s="366">
        <f t="shared" si="139"/>
        <v>0.28720464398952827</v>
      </c>
      <c r="G334" s="365">
        <f t="shared" si="140"/>
        <v>1</v>
      </c>
      <c r="H334" s="366">
        <f t="shared" si="141"/>
        <v>0</v>
      </c>
      <c r="I334" s="364">
        <f t="shared" si="142"/>
        <v>8382.1878501063111</v>
      </c>
      <c r="J334" s="367">
        <f t="shared" si="143"/>
        <v>1.5706770261993654</v>
      </c>
      <c r="K334" s="375">
        <f t="shared" si="133"/>
        <v>5.165870614746308</v>
      </c>
      <c r="L334" s="376">
        <f t="shared" si="134"/>
        <v>1.3759882836424679</v>
      </c>
      <c r="M334" s="364">
        <f t="shared" si="144"/>
        <v>1.0021886499427324</v>
      </c>
      <c r="N334" s="367">
        <f t="shared" si="145"/>
        <v>6.6100916182258065E-2</v>
      </c>
      <c r="O334" s="368">
        <f t="shared" si="146"/>
        <v>1.1297949324131569</v>
      </c>
      <c r="P334" s="369">
        <f t="shared" si="147"/>
        <v>0.56962605675610756</v>
      </c>
      <c r="Q334" s="370">
        <f t="shared" si="148"/>
        <v>-4.896086360375703</v>
      </c>
      <c r="R334" s="371">
        <f t="shared" si="149"/>
        <v>-119.31063695061333</v>
      </c>
      <c r="S334" s="373">
        <f t="shared" si="150"/>
        <v>60.689363049386671</v>
      </c>
      <c r="U334" s="346">
        <f t="shared" ref="U334:U397" si="156">IF(Q334&lt;0,A334,1000000000)</f>
        <v>24690</v>
      </c>
      <c r="V334" s="346">
        <f t="shared" ref="V334:V397" si="157">A334^2</f>
        <v>609596100</v>
      </c>
      <c r="X334" s="372">
        <f t="shared" si="151"/>
        <v>23.873407436602818</v>
      </c>
      <c r="Y334" s="373">
        <f t="shared" si="152"/>
        <v>-14.942146803484533</v>
      </c>
      <c r="AA334" s="372">
        <f t="shared" si="153"/>
        <v>22.711131557575854</v>
      </c>
      <c r="AB334" s="373">
        <f t="shared" si="154"/>
        <v>-104.3684901471288</v>
      </c>
      <c r="AD334">
        <f t="shared" ref="AD334:AD397" si="158">SUM((Q335&lt;0)*(Q334&gt;0))*A334</f>
        <v>0</v>
      </c>
      <c r="AE334">
        <f t="shared" si="135"/>
        <v>0</v>
      </c>
    </row>
    <row r="335" spans="1:31" x14ac:dyDescent="0.2">
      <c r="A335" s="374">
        <v>24833</v>
      </c>
      <c r="B335" s="391">
        <f t="shared" si="155"/>
        <v>24.832999999999998</v>
      </c>
      <c r="C335" s="364">
        <f t="shared" si="136"/>
        <v>31.789767389401398</v>
      </c>
      <c r="D335" s="365">
        <f t="shared" si="137"/>
        <v>1.5393344736299106</v>
      </c>
      <c r="E335" s="365">
        <f t="shared" si="138"/>
        <v>1.0431958479238175</v>
      </c>
      <c r="F335" s="366">
        <f t="shared" si="139"/>
        <v>0.28877737213629479</v>
      </c>
      <c r="G335" s="365">
        <f t="shared" si="140"/>
        <v>1</v>
      </c>
      <c r="H335" s="366">
        <f t="shared" si="141"/>
        <v>0</v>
      </c>
      <c r="I335" s="364">
        <f t="shared" si="142"/>
        <v>8430.7359604973335</v>
      </c>
      <c r="J335" s="367">
        <f t="shared" si="143"/>
        <v>1.5706777131878484</v>
      </c>
      <c r="K335" s="375">
        <f t="shared" si="133"/>
        <v>5.1946723379312321</v>
      </c>
      <c r="L335" s="376">
        <f t="shared" si="134"/>
        <v>1.3770821479279127</v>
      </c>
      <c r="M335" s="364">
        <f t="shared" si="144"/>
        <v>1.0022140478027215</v>
      </c>
      <c r="N335" s="367">
        <f t="shared" si="145"/>
        <v>6.648263682148467E-2</v>
      </c>
      <c r="O335" s="368">
        <f t="shared" si="146"/>
        <v>1.1312275446539786</v>
      </c>
      <c r="P335" s="369">
        <f t="shared" si="147"/>
        <v>0.57252229883127315</v>
      </c>
      <c r="Q335" s="370">
        <f t="shared" si="148"/>
        <v>-4.9552481778019448</v>
      </c>
      <c r="R335" s="371">
        <f t="shared" si="149"/>
        <v>-119.35613881485736</v>
      </c>
      <c r="S335" s="373">
        <f t="shared" si="150"/>
        <v>60.64386118514264</v>
      </c>
      <c r="U335" s="346">
        <f t="shared" si="156"/>
        <v>24833</v>
      </c>
      <c r="V335" s="346">
        <f t="shared" si="157"/>
        <v>616677889</v>
      </c>
      <c r="X335" s="372">
        <f t="shared" si="151"/>
        <v>23.871318034688137</v>
      </c>
      <c r="Y335" s="373">
        <f t="shared" si="152"/>
        <v>-14.901383339643237</v>
      </c>
      <c r="AA335" s="372">
        <f t="shared" si="153"/>
        <v>22.654059142064295</v>
      </c>
      <c r="AB335" s="373">
        <f t="shared" si="154"/>
        <v>-104.45475547521414</v>
      </c>
      <c r="AD335">
        <f t="shared" si="158"/>
        <v>0</v>
      </c>
      <c r="AE335">
        <f t="shared" si="135"/>
        <v>0</v>
      </c>
    </row>
    <row r="336" spans="1:31" x14ac:dyDescent="0.2">
      <c r="A336" s="374">
        <v>24976</v>
      </c>
      <c r="B336" s="391">
        <f t="shared" si="155"/>
        <v>24.975999999999999</v>
      </c>
      <c r="C336" s="364">
        <f t="shared" si="136"/>
        <v>31.97264707766751</v>
      </c>
      <c r="D336" s="365">
        <f t="shared" si="137"/>
        <v>1.5395144905301346</v>
      </c>
      <c r="E336" s="365">
        <f t="shared" si="138"/>
        <v>1.0436843202586137</v>
      </c>
      <c r="F336" s="366">
        <f t="shared" si="139"/>
        <v>0.29034863200835603</v>
      </c>
      <c r="G336" s="365">
        <f t="shared" si="140"/>
        <v>1</v>
      </c>
      <c r="H336" s="366">
        <f t="shared" si="141"/>
        <v>0</v>
      </c>
      <c r="I336" s="364">
        <f t="shared" si="142"/>
        <v>8479.2840708922904</v>
      </c>
      <c r="J336" s="367">
        <f t="shared" si="143"/>
        <v>1.5706783923096315</v>
      </c>
      <c r="K336" s="375">
        <f t="shared" si="133"/>
        <v>5.2234802081956291</v>
      </c>
      <c r="L336" s="376">
        <f t="shared" si="134"/>
        <v>1.3781639480149721</v>
      </c>
      <c r="M336" s="364">
        <f t="shared" si="144"/>
        <v>1.0022395916885538</v>
      </c>
      <c r="N336" s="367">
        <f t="shared" si="145"/>
        <v>6.6864338058647263E-2</v>
      </c>
      <c r="O336" s="368">
        <f t="shared" si="146"/>
        <v>1.1326668864870719</v>
      </c>
      <c r="P336" s="369">
        <f t="shared" si="147"/>
        <v>0.57541275670316494</v>
      </c>
      <c r="Q336" s="370">
        <f t="shared" si="148"/>
        <v>-5.0141109556498602</v>
      </c>
      <c r="R336" s="371">
        <f t="shared" si="149"/>
        <v>-119.40196370273688</v>
      </c>
      <c r="S336" s="373">
        <f t="shared" si="150"/>
        <v>60.598036297263121</v>
      </c>
      <c r="U336" s="346">
        <f t="shared" si="156"/>
        <v>24976</v>
      </c>
      <c r="V336" s="346">
        <f t="shared" si="157"/>
        <v>623800576</v>
      </c>
      <c r="X336" s="372">
        <f t="shared" si="151"/>
        <v>23.869258604188062</v>
      </c>
      <c r="Y336" s="373">
        <f t="shared" si="152"/>
        <v>-14.86130954106835</v>
      </c>
      <c r="AA336" s="372">
        <f t="shared" si="153"/>
        <v>22.597255794716457</v>
      </c>
      <c r="AB336" s="373">
        <f t="shared" si="154"/>
        <v>-104.54065416166853</v>
      </c>
      <c r="AD336">
        <f t="shared" si="158"/>
        <v>0</v>
      </c>
      <c r="AE336">
        <f t="shared" si="135"/>
        <v>0</v>
      </c>
    </row>
    <row r="337" spans="1:31" x14ac:dyDescent="0.2">
      <c r="A337" s="374">
        <v>25119</v>
      </c>
      <c r="B337" s="391">
        <f t="shared" si="155"/>
        <v>25.119</v>
      </c>
      <c r="C337" s="364">
        <f t="shared" si="136"/>
        <v>32.155527790256478</v>
      </c>
      <c r="D337" s="365">
        <f t="shared" si="137"/>
        <v>1.5396924597869575</v>
      </c>
      <c r="E337" s="365">
        <f t="shared" si="138"/>
        <v>1.0441753668868488</v>
      </c>
      <c r="F337" s="366">
        <f t="shared" si="139"/>
        <v>0.29191841791334799</v>
      </c>
      <c r="G337" s="365">
        <f t="shared" si="140"/>
        <v>1</v>
      </c>
      <c r="H337" s="366">
        <f t="shared" si="141"/>
        <v>0</v>
      </c>
      <c r="I337" s="364">
        <f t="shared" si="142"/>
        <v>8527.8321812911108</v>
      </c>
      <c r="J337" s="367">
        <f t="shared" si="143"/>
        <v>1.5706790636990673</v>
      </c>
      <c r="K337" s="375">
        <f t="shared" si="133"/>
        <v>5.2522941243926899</v>
      </c>
      <c r="L337" s="376">
        <f t="shared" si="134"/>
        <v>1.379233879901955</v>
      </c>
      <c r="M337" s="364">
        <f t="shared" si="144"/>
        <v>1.002265281589064</v>
      </c>
      <c r="N337" s="367">
        <f t="shared" si="145"/>
        <v>6.7246019784008987E-2</v>
      </c>
      <c r="O337" s="368">
        <f t="shared" si="146"/>
        <v>1.1341129371872627</v>
      </c>
      <c r="P337" s="369">
        <f t="shared" si="147"/>
        <v>0.57829742512251414</v>
      </c>
      <c r="Q337" s="370">
        <f t="shared" si="148"/>
        <v>-5.0726783893416902</v>
      </c>
      <c r="R337" s="371">
        <f t="shared" si="149"/>
        <v>-119.44810244698785</v>
      </c>
      <c r="S337" s="373">
        <f t="shared" si="150"/>
        <v>60.551897553012154</v>
      </c>
      <c r="U337" s="346">
        <f t="shared" si="156"/>
        <v>25119</v>
      </c>
      <c r="V337" s="346">
        <f t="shared" si="157"/>
        <v>630964161</v>
      </c>
      <c r="X337" s="372">
        <f t="shared" si="151"/>
        <v>23.867228457566917</v>
      </c>
      <c r="Y337" s="373">
        <f t="shared" si="152"/>
        <v>-14.821914179294323</v>
      </c>
      <c r="AA337" s="372">
        <f t="shared" si="153"/>
        <v>22.540718507645767</v>
      </c>
      <c r="AB337" s="373">
        <f t="shared" si="154"/>
        <v>-104.62618826769352</v>
      </c>
      <c r="AD337">
        <f t="shared" si="158"/>
        <v>0</v>
      </c>
      <c r="AE337">
        <f t="shared" si="135"/>
        <v>0</v>
      </c>
    </row>
    <row r="338" spans="1:31" x14ac:dyDescent="0.2">
      <c r="A338" s="374">
        <v>25265.25</v>
      </c>
      <c r="B338" s="391">
        <f t="shared" si="155"/>
        <v>25.265250000000002</v>
      </c>
      <c r="C338" s="364">
        <f t="shared" si="136"/>
        <v>32.342565924075444</v>
      </c>
      <c r="D338" s="365">
        <f t="shared" si="137"/>
        <v>1.5398723920101554</v>
      </c>
      <c r="E338" s="365">
        <f t="shared" si="138"/>
        <v>1.0446802326006672</v>
      </c>
      <c r="F338" s="366">
        <f t="shared" si="139"/>
        <v>0.29352235028325246</v>
      </c>
      <c r="G338" s="365">
        <f t="shared" si="140"/>
        <v>1</v>
      </c>
      <c r="H338" s="366">
        <f t="shared" si="141"/>
        <v>0</v>
      </c>
      <c r="I338" s="364">
        <f t="shared" si="142"/>
        <v>8577.4836578392915</v>
      </c>
      <c r="J338" s="367">
        <f t="shared" si="143"/>
        <v>1.5706797424862398</v>
      </c>
      <c r="K338" s="375">
        <f t="shared" si="133"/>
        <v>5.2817690528045977</v>
      </c>
      <c r="L338" s="376">
        <f t="shared" si="134"/>
        <v>1.3803160524579838</v>
      </c>
      <c r="M338" s="364">
        <f t="shared" si="144"/>
        <v>1.0022917063694099</v>
      </c>
      <c r="N338" s="367">
        <f t="shared" si="145"/>
        <v>6.7636355797692435E-2</v>
      </c>
      <c r="O338" s="368">
        <f t="shared" si="146"/>
        <v>1.1355987704029631</v>
      </c>
      <c r="P338" s="369">
        <f t="shared" si="147"/>
        <v>0.5812416606909534</v>
      </c>
      <c r="Q338" s="370">
        <f t="shared" si="148"/>
        <v>-5.1322751867338443</v>
      </c>
      <c r="R338" s="371">
        <f t="shared" si="149"/>
        <v>-119.49560509822456</v>
      </c>
      <c r="S338" s="373">
        <f t="shared" si="150"/>
        <v>60.504394901775441</v>
      </c>
      <c r="U338" s="346">
        <f t="shared" si="156"/>
        <v>25265.25</v>
      </c>
      <c r="V338" s="346">
        <f t="shared" si="157"/>
        <v>638332857.5625</v>
      </c>
      <c r="X338" s="372">
        <f t="shared" si="151"/>
        <v>23.865181764079132</v>
      </c>
      <c r="Y338" s="373">
        <f t="shared" si="152"/>
        <v>-14.782313756899928</v>
      </c>
      <c r="AA338" s="372">
        <f t="shared" si="153"/>
        <v>22.483168403741402</v>
      </c>
      <c r="AB338" s="373">
        <f t="shared" si="154"/>
        <v>-104.71329134132463</v>
      </c>
      <c r="AD338">
        <f t="shared" si="158"/>
        <v>0</v>
      </c>
      <c r="AE338">
        <f t="shared" si="135"/>
        <v>0</v>
      </c>
    </row>
    <row r="339" spans="1:31" x14ac:dyDescent="0.2">
      <c r="A339" s="374">
        <v>25411.5</v>
      </c>
      <c r="B339" s="391">
        <f t="shared" si="155"/>
        <v>25.4115</v>
      </c>
      <c r="C339" s="364">
        <f t="shared" si="136"/>
        <v>32.529605092963216</v>
      </c>
      <c r="D339" s="365">
        <f t="shared" si="137"/>
        <v>1.5400502550855339</v>
      </c>
      <c r="E339" s="365">
        <f t="shared" si="138"/>
        <v>1.0451877832574532</v>
      </c>
      <c r="F339" s="366">
        <f t="shared" si="139"/>
        <v>0.2951247290100652</v>
      </c>
      <c r="G339" s="365">
        <f t="shared" si="140"/>
        <v>1</v>
      </c>
      <c r="H339" s="366">
        <f t="shared" si="141"/>
        <v>0</v>
      </c>
      <c r="I339" s="364">
        <f t="shared" si="142"/>
        <v>8627.1351343913775</v>
      </c>
      <c r="J339" s="367">
        <f t="shared" si="143"/>
        <v>1.5706804134602077</v>
      </c>
      <c r="K339" s="375">
        <f t="shared" si="133"/>
        <v>5.3112500980256998</v>
      </c>
      <c r="L339" s="376">
        <f t="shared" si="134"/>
        <v>1.3813862126704033</v>
      </c>
      <c r="M339" s="364">
        <f t="shared" si="144"/>
        <v>1.0023182838530629</v>
      </c>
      <c r="N339" s="367">
        <f t="shared" si="145"/>
        <v>6.8026671170533709E-2</v>
      </c>
      <c r="O339" s="368">
        <f t="shared" si="146"/>
        <v>1.1370915770986976</v>
      </c>
      <c r="P339" s="369">
        <f t="shared" si="147"/>
        <v>0.5841798304349477</v>
      </c>
      <c r="Q339" s="370">
        <f t="shared" si="148"/>
        <v>-5.1915706489632729</v>
      </c>
      <c r="R339" s="371">
        <f t="shared" si="149"/>
        <v>-119.54341729337054</v>
      </c>
      <c r="S339" s="373">
        <f t="shared" si="150"/>
        <v>60.456582706629462</v>
      </c>
      <c r="U339" s="346">
        <f t="shared" si="156"/>
        <v>25411.5</v>
      </c>
      <c r="V339" s="346">
        <f t="shared" si="157"/>
        <v>645744332.25</v>
      </c>
      <c r="X339" s="372">
        <f t="shared" si="151"/>
        <v>23.863164305308857</v>
      </c>
      <c r="Y339" s="373">
        <f t="shared" si="152"/>
        <v>-14.743399960800412</v>
      </c>
      <c r="AA339" s="372">
        <f t="shared" si="153"/>
        <v>22.425890400282249</v>
      </c>
      <c r="AB339" s="373">
        <f t="shared" si="154"/>
        <v>-104.80001733257014</v>
      </c>
      <c r="AD339">
        <f t="shared" si="158"/>
        <v>0</v>
      </c>
      <c r="AE339">
        <f t="shared" si="135"/>
        <v>0</v>
      </c>
    </row>
    <row r="340" spans="1:31" x14ac:dyDescent="0.2">
      <c r="A340" s="374">
        <v>25557.75</v>
      </c>
      <c r="B340" s="391">
        <f t="shared" si="155"/>
        <v>25.557749999999999</v>
      </c>
      <c r="C340" s="364">
        <f t="shared" si="136"/>
        <v>32.716645279167508</v>
      </c>
      <c r="D340" s="365">
        <f t="shared" si="137"/>
        <v>1.5402260844895306</v>
      </c>
      <c r="E340" s="365">
        <f t="shared" si="138"/>
        <v>1.0456980149476325</v>
      </c>
      <c r="F340" s="366">
        <f t="shared" si="139"/>
        <v>0.29672554813348206</v>
      </c>
      <c r="G340" s="365">
        <f t="shared" si="140"/>
        <v>1</v>
      </c>
      <c r="H340" s="366">
        <f t="shared" si="141"/>
        <v>0</v>
      </c>
      <c r="I340" s="364">
        <f t="shared" si="142"/>
        <v>8676.7866109473034</v>
      </c>
      <c r="J340" s="367">
        <f t="shared" si="143"/>
        <v>1.5706810767551005</v>
      </c>
      <c r="K340" s="375">
        <f t="shared" si="133"/>
        <v>5.3407371587610308</v>
      </c>
      <c r="L340" s="376">
        <f t="shared" si="134"/>
        <v>1.3824445570336967</v>
      </c>
      <c r="M340" s="364">
        <f t="shared" si="144"/>
        <v>1.0023450140278765</v>
      </c>
      <c r="N340" s="367">
        <f t="shared" si="145"/>
        <v>6.8416965785253428E-2</v>
      </c>
      <c r="O340" s="368">
        <f t="shared" si="146"/>
        <v>1.1385913351546231</v>
      </c>
      <c r="P340" s="369">
        <f t="shared" si="147"/>
        <v>0.58711192962761305</v>
      </c>
      <c r="Q340" s="370">
        <f t="shared" si="148"/>
        <v>-5.2505684978384783</v>
      </c>
      <c r="R340" s="371">
        <f t="shared" si="149"/>
        <v>-119.59152987840653</v>
      </c>
      <c r="S340" s="373">
        <f t="shared" si="150"/>
        <v>60.408470121593467</v>
      </c>
      <c r="U340" s="346">
        <f t="shared" si="156"/>
        <v>25557.75</v>
      </c>
      <c r="V340" s="346">
        <f t="shared" si="157"/>
        <v>653198585.0625</v>
      </c>
      <c r="X340" s="372">
        <f t="shared" si="151"/>
        <v>23.861175404541658</v>
      </c>
      <c r="Y340" s="373">
        <f t="shared" si="152"/>
        <v>-14.705161533656591</v>
      </c>
      <c r="AA340" s="372">
        <f t="shared" si="153"/>
        <v>22.368881452174239</v>
      </c>
      <c r="AB340" s="373">
        <f t="shared" si="154"/>
        <v>-104.88636834474994</v>
      </c>
      <c r="AD340">
        <f t="shared" si="158"/>
        <v>0</v>
      </c>
      <c r="AE340">
        <f t="shared" si="135"/>
        <v>0</v>
      </c>
    </row>
    <row r="341" spans="1:31" x14ac:dyDescent="0.2">
      <c r="A341" s="374">
        <v>25704</v>
      </c>
      <c r="B341" s="391">
        <f t="shared" si="155"/>
        <v>25.704000000000001</v>
      </c>
      <c r="C341" s="364">
        <f t="shared" si="136"/>
        <v>32.90368646533959</v>
      </c>
      <c r="D341" s="365">
        <f t="shared" si="137"/>
        <v>1.5403999148924277</v>
      </c>
      <c r="E341" s="365">
        <f t="shared" si="138"/>
        <v>1.046210923748627</v>
      </c>
      <c r="F341" s="366">
        <f t="shared" si="139"/>
        <v>0.29832480173676906</v>
      </c>
      <c r="G341" s="365">
        <f t="shared" si="140"/>
        <v>1</v>
      </c>
      <c r="H341" s="366">
        <f t="shared" si="141"/>
        <v>0</v>
      </c>
      <c r="I341" s="364">
        <f t="shared" si="142"/>
        <v>8726.4380875070037</v>
      </c>
      <c r="J341" s="367">
        <f t="shared" si="143"/>
        <v>1.5706817325019948</v>
      </c>
      <c r="K341" s="375">
        <f t="shared" si="133"/>
        <v>5.3702301359199609</v>
      </c>
      <c r="L341" s="376">
        <f t="shared" si="134"/>
        <v>1.3834912778330097</v>
      </c>
      <c r="M341" s="364">
        <f t="shared" si="144"/>
        <v>1.0023718968816349</v>
      </c>
      <c r="N341" s="367">
        <f t="shared" si="145"/>
        <v>6.8807239524609959E-2</v>
      </c>
      <c r="O341" s="368">
        <f t="shared" si="146"/>
        <v>1.1400980224704689</v>
      </c>
      <c r="P341" s="369">
        <f t="shared" si="147"/>
        <v>0.5900379538364301</v>
      </c>
      <c r="Q341" s="370">
        <f t="shared" si="148"/>
        <v>-5.3092723811520575</v>
      </c>
      <c r="R341" s="371">
        <f t="shared" si="149"/>
        <v>-119.63993390849798</v>
      </c>
      <c r="S341" s="373">
        <f t="shared" si="150"/>
        <v>60.36006609150202</v>
      </c>
      <c r="U341" s="346">
        <f t="shared" si="156"/>
        <v>25704</v>
      </c>
      <c r="V341" s="346">
        <f t="shared" si="157"/>
        <v>660695616</v>
      </c>
      <c r="X341" s="372">
        <f t="shared" si="151"/>
        <v>23.85921440360141</v>
      </c>
      <c r="Y341" s="373">
        <f t="shared" si="152"/>
        <v>-14.667587459133859</v>
      </c>
      <c r="AA341" s="372">
        <f t="shared" si="153"/>
        <v>22.312138569800911</v>
      </c>
      <c r="AB341" s="373">
        <f t="shared" si="154"/>
        <v>-104.97234644936414</v>
      </c>
      <c r="AD341">
        <f t="shared" si="158"/>
        <v>0</v>
      </c>
      <c r="AE341">
        <f t="shared" si="135"/>
        <v>0</v>
      </c>
    </row>
    <row r="342" spans="1:31" x14ac:dyDescent="0.2">
      <c r="A342" s="374">
        <v>25853.75</v>
      </c>
      <c r="B342" s="391">
        <f t="shared" si="155"/>
        <v>25.853750000000002</v>
      </c>
      <c r="C342" s="364">
        <f t="shared" si="136"/>
        <v>33.095204869281403</v>
      </c>
      <c r="D342" s="365">
        <f t="shared" si="137"/>
        <v>1.540575869394972</v>
      </c>
      <c r="E342" s="365">
        <f t="shared" si="138"/>
        <v>1.0467388771585473</v>
      </c>
      <c r="F342" s="366">
        <f t="shared" si="139"/>
        <v>0.29996069977534667</v>
      </c>
      <c r="G342" s="365">
        <f t="shared" si="140"/>
        <v>1</v>
      </c>
      <c r="H342" s="366">
        <f t="shared" si="141"/>
        <v>0</v>
      </c>
      <c r="I342" s="364">
        <f t="shared" si="142"/>
        <v>8777.2778045352243</v>
      </c>
      <c r="J342" s="367">
        <f t="shared" si="143"/>
        <v>1.5706823962546503</v>
      </c>
      <c r="K342" s="375">
        <f t="shared" si="133"/>
        <v>5.4004349571776871</v>
      </c>
      <c r="L342" s="376">
        <f t="shared" si="134"/>
        <v>1.3845512007384126</v>
      </c>
      <c r="M342" s="364">
        <f t="shared" si="144"/>
        <v>1.0023995812763584</v>
      </c>
      <c r="N342" s="367">
        <f t="shared" si="145"/>
        <v>6.9206831395201007E-2</v>
      </c>
      <c r="O342" s="368">
        <f t="shared" si="146"/>
        <v>1.1416479241866235</v>
      </c>
      <c r="P342" s="369">
        <f t="shared" si="147"/>
        <v>0.59302770343339251</v>
      </c>
      <c r="Q342" s="370">
        <f t="shared" si="148"/>
        <v>-5.3690802755436255</v>
      </c>
      <c r="R342" s="371">
        <f t="shared" si="149"/>
        <v>-119.68978918816933</v>
      </c>
      <c r="S342" s="373">
        <f t="shared" si="150"/>
        <v>60.310210811830672</v>
      </c>
      <c r="U342" s="346">
        <f t="shared" si="156"/>
        <v>25853.75</v>
      </c>
      <c r="V342" s="346">
        <f t="shared" si="157"/>
        <v>668416389.0625</v>
      </c>
      <c r="X342" s="372">
        <f t="shared" si="151"/>
        <v>23.857234713483248</v>
      </c>
      <c r="Y342" s="373">
        <f t="shared" si="152"/>
        <v>-14.629791307940245</v>
      </c>
      <c r="AA342" s="372">
        <f t="shared" si="153"/>
        <v>22.254310365527505</v>
      </c>
      <c r="AB342" s="373">
        <f t="shared" si="154"/>
        <v>-105.05999788022906</v>
      </c>
      <c r="AD342">
        <f t="shared" si="158"/>
        <v>0</v>
      </c>
      <c r="AE342">
        <f t="shared" si="135"/>
        <v>0</v>
      </c>
    </row>
    <row r="343" spans="1:31" x14ac:dyDescent="0.2">
      <c r="A343" s="374">
        <v>26003.5</v>
      </c>
      <c r="B343" s="391">
        <f t="shared" si="155"/>
        <v>26.003499999999999</v>
      </c>
      <c r="C343" s="364">
        <f t="shared" si="136"/>
        <v>33.286724286059716</v>
      </c>
      <c r="D343" s="365">
        <f t="shared" si="137"/>
        <v>1.5407497991494725</v>
      </c>
      <c r="E343" s="365">
        <f t="shared" si="138"/>
        <v>1.047269628982969</v>
      </c>
      <c r="F343" s="366">
        <f t="shared" si="139"/>
        <v>0.30159494405131049</v>
      </c>
      <c r="G343" s="365">
        <f t="shared" si="140"/>
        <v>1</v>
      </c>
      <c r="H343" s="366">
        <f t="shared" si="141"/>
        <v>0</v>
      </c>
      <c r="I343" s="364">
        <f t="shared" si="142"/>
        <v>8828.1175215672665</v>
      </c>
      <c r="J343" s="367">
        <f t="shared" si="143"/>
        <v>1.5706830523624147</v>
      </c>
      <c r="K343" s="375">
        <f t="shared" ref="K343:K406" si="159">SQRT(1+(A343/Zero2)^2)</f>
        <v>5.4306457779887047</v>
      </c>
      <c r="L343" s="376">
        <f t="shared" ref="L343:L406" si="160">ATAN(A343/Zero2)</f>
        <v>1.3855993320541828</v>
      </c>
      <c r="M343" s="364">
        <f t="shared" si="144"/>
        <v>1.0024274257190395</v>
      </c>
      <c r="N343" s="367">
        <f t="shared" si="145"/>
        <v>6.9606401130650267E-2</v>
      </c>
      <c r="O343" s="368">
        <f t="shared" si="146"/>
        <v>1.1432050439602828</v>
      </c>
      <c r="P343" s="369">
        <f t="shared" si="147"/>
        <v>0.59601107532754827</v>
      </c>
      <c r="Q343" s="370">
        <f t="shared" si="148"/>
        <v>-5.428587476692682</v>
      </c>
      <c r="R343" s="371">
        <f t="shared" si="149"/>
        <v>-119.73993169853725</v>
      </c>
      <c r="S343" s="373">
        <f t="shared" si="150"/>
        <v>60.260068301462752</v>
      </c>
      <c r="U343" s="346">
        <f t="shared" si="156"/>
        <v>26003.5</v>
      </c>
      <c r="V343" s="346">
        <f t="shared" si="157"/>
        <v>676182012.25</v>
      </c>
      <c r="X343" s="372">
        <f t="shared" si="151"/>
        <v>23.855282934902782</v>
      </c>
      <c r="Y343" s="373">
        <f t="shared" si="152"/>
        <v>-14.592669058796908</v>
      </c>
      <c r="AA343" s="372">
        <f t="shared" si="153"/>
        <v>22.196754942958915</v>
      </c>
      <c r="AB343" s="373">
        <f t="shared" si="154"/>
        <v>-105.14726263974032</v>
      </c>
      <c r="AD343">
        <f t="shared" si="158"/>
        <v>0</v>
      </c>
      <c r="AE343">
        <f t="shared" si="135"/>
        <v>0</v>
      </c>
    </row>
    <row r="344" spans="1:31" x14ac:dyDescent="0.2">
      <c r="A344" s="374">
        <v>26153.25</v>
      </c>
      <c r="B344" s="391">
        <f t="shared" si="155"/>
        <v>26.15325</v>
      </c>
      <c r="C344" s="364">
        <f t="shared" si="136"/>
        <v>33.478244698292102</v>
      </c>
      <c r="D344" s="365">
        <f t="shared" si="137"/>
        <v>1.5409217388945002</v>
      </c>
      <c r="E344" s="365">
        <f t="shared" si="138"/>
        <v>1.0478031749693848</v>
      </c>
      <c r="F344" s="366">
        <f t="shared" si="139"/>
        <v>0.30322752835506495</v>
      </c>
      <c r="G344" s="365">
        <f t="shared" si="140"/>
        <v>1</v>
      </c>
      <c r="H344" s="366">
        <f t="shared" si="141"/>
        <v>0</v>
      </c>
      <c r="I344" s="364">
        <f t="shared" si="142"/>
        <v>8878.9572386030668</v>
      </c>
      <c r="J344" s="367">
        <f t="shared" si="143"/>
        <v>1.5706837009566095</v>
      </c>
      <c r="K344" s="375">
        <f t="shared" si="159"/>
        <v>5.4608624987800454</v>
      </c>
      <c r="L344" s="376">
        <f t="shared" si="160"/>
        <v>1.3866358651981421</v>
      </c>
      <c r="M344" s="364">
        <f t="shared" si="144"/>
        <v>1.0024554301963413</v>
      </c>
      <c r="N344" s="367">
        <f t="shared" si="145"/>
        <v>7.0005948605220192E-2</v>
      </c>
      <c r="O344" s="368">
        <f t="shared" si="146"/>
        <v>1.1447693581379321</v>
      </c>
      <c r="P344" s="369">
        <f t="shared" si="147"/>
        <v>0.59898806570266094</v>
      </c>
      <c r="Q344" s="370">
        <f t="shared" si="148"/>
        <v>-5.4877976716107382</v>
      </c>
      <c r="R344" s="371">
        <f t="shared" si="149"/>
        <v>-119.79035248539975</v>
      </c>
      <c r="S344" s="373">
        <f t="shared" si="150"/>
        <v>60.209647514600249</v>
      </c>
      <c r="U344" s="346">
        <f t="shared" si="156"/>
        <v>26153.25</v>
      </c>
      <c r="V344" s="346">
        <f t="shared" si="157"/>
        <v>683992485.5625</v>
      </c>
      <c r="X344" s="372">
        <f t="shared" si="151"/>
        <v>23.853358417843445</v>
      </c>
      <c r="Y344" s="373">
        <f t="shared" si="152"/>
        <v>-14.556209629998902</v>
      </c>
      <c r="AA344" s="372">
        <f t="shared" si="153"/>
        <v>22.139469265100193</v>
      </c>
      <c r="AB344" s="373">
        <f t="shared" si="154"/>
        <v>-105.23414285540083</v>
      </c>
      <c r="AD344">
        <f t="shared" si="158"/>
        <v>0</v>
      </c>
      <c r="AE344">
        <f t="shared" si="135"/>
        <v>0</v>
      </c>
    </row>
    <row r="345" spans="1:31" x14ac:dyDescent="0.2">
      <c r="A345" s="374">
        <v>26303</v>
      </c>
      <c r="B345" s="391">
        <f t="shared" si="155"/>
        <v>26.303000000000001</v>
      </c>
      <c r="C345" s="364">
        <f t="shared" si="136"/>
        <v>33.669766088991523</v>
      </c>
      <c r="D345" s="365">
        <f t="shared" si="137"/>
        <v>1.5410917225786989</v>
      </c>
      <c r="E345" s="365">
        <f t="shared" si="138"/>
        <v>1.0483395108515796</v>
      </c>
      <c r="F345" s="366">
        <f t="shared" si="139"/>
        <v>0.30485844652501737</v>
      </c>
      <c r="G345" s="365">
        <f t="shared" si="140"/>
        <v>1</v>
      </c>
      <c r="H345" s="366">
        <f t="shared" si="141"/>
        <v>0</v>
      </c>
      <c r="I345" s="364">
        <f t="shared" si="142"/>
        <v>8929.7969556425596</v>
      </c>
      <c r="J345" s="367">
        <f t="shared" si="143"/>
        <v>1.5706843421655643</v>
      </c>
      <c r="K345" s="375">
        <f t="shared" si="159"/>
        <v>5.4910850221512577</v>
      </c>
      <c r="L345" s="376">
        <f t="shared" si="160"/>
        <v>1.3876609894308232</v>
      </c>
      <c r="M345" s="364">
        <f t="shared" si="144"/>
        <v>1.002483594694852</v>
      </c>
      <c r="N345" s="367">
        <f t="shared" si="145"/>
        <v>7.0405473693215676E-2</v>
      </c>
      <c r="O345" s="368">
        <f t="shared" si="146"/>
        <v>1.1463408430928717</v>
      </c>
      <c r="P345" s="369">
        <f t="shared" si="147"/>
        <v>0.60195867105442313</v>
      </c>
      <c r="Q345" s="370">
        <f t="shared" si="148"/>
        <v>-5.5467144740060608</v>
      </c>
      <c r="R345" s="371">
        <f t="shared" si="149"/>
        <v>-119.84104280244323</v>
      </c>
      <c r="S345" s="373">
        <f t="shared" si="150"/>
        <v>60.158957197556774</v>
      </c>
      <c r="U345" s="346">
        <f t="shared" si="156"/>
        <v>26303</v>
      </c>
      <c r="V345" s="346">
        <f t="shared" si="157"/>
        <v>691847809</v>
      </c>
      <c r="X345" s="372">
        <f t="shared" si="151"/>
        <v>23.851460530135032</v>
      </c>
      <c r="Y345" s="373">
        <f t="shared" si="152"/>
        <v>-14.520402177867396</v>
      </c>
      <c r="AA345" s="372">
        <f t="shared" si="153"/>
        <v>22.082450350413289</v>
      </c>
      <c r="AB345" s="373">
        <f t="shared" si="154"/>
        <v>-105.32064062457583</v>
      </c>
      <c r="AD345">
        <f t="shared" si="158"/>
        <v>0</v>
      </c>
      <c r="AE345">
        <f t="shared" si="135"/>
        <v>0</v>
      </c>
    </row>
    <row r="346" spans="1:31" x14ac:dyDescent="0.2">
      <c r="A346" s="374">
        <v>26456</v>
      </c>
      <c r="B346" s="391">
        <f t="shared" si="155"/>
        <v>26.456</v>
      </c>
      <c r="C346" s="364">
        <f t="shared" si="136"/>
        <v>33.865445030700599</v>
      </c>
      <c r="D346" s="365">
        <f t="shared" si="137"/>
        <v>1.5412634097043798</v>
      </c>
      <c r="E346" s="365">
        <f t="shared" si="138"/>
        <v>1.0488903636682165</v>
      </c>
      <c r="F346" s="366">
        <f t="shared" si="139"/>
        <v>0.30652303312253354</v>
      </c>
      <c r="G346" s="365">
        <f t="shared" si="140"/>
        <v>1</v>
      </c>
      <c r="H346" s="366">
        <f t="shared" si="141"/>
        <v>0</v>
      </c>
      <c r="I346" s="364">
        <f t="shared" si="142"/>
        <v>8981.7400388318983</v>
      </c>
      <c r="J346" s="367">
        <f t="shared" si="143"/>
        <v>1.5706849897936315</v>
      </c>
      <c r="K346" s="375">
        <f t="shared" si="159"/>
        <v>5.5219693537871271</v>
      </c>
      <c r="L346" s="376">
        <f t="shared" si="160"/>
        <v>1.3886967714094576</v>
      </c>
      <c r="M346" s="364">
        <f t="shared" si="144"/>
        <v>1.0025125356971496</v>
      </c>
      <c r="N346" s="367">
        <f t="shared" si="145"/>
        <v>7.0813646358162147E-2</v>
      </c>
      <c r="O346" s="368">
        <f t="shared" si="146"/>
        <v>1.1479538150881552</v>
      </c>
      <c r="P346" s="369">
        <f t="shared" si="147"/>
        <v>0.60498714926406361</v>
      </c>
      <c r="Q346" s="370">
        <f t="shared" si="148"/>
        <v>-5.6066106099381159</v>
      </c>
      <c r="R346" s="371">
        <f t="shared" si="149"/>
        <v>-119.89310272478653</v>
      </c>
      <c r="S346" s="373">
        <f t="shared" si="150"/>
        <v>60.10689727521347</v>
      </c>
      <c r="U346" s="346">
        <f t="shared" si="156"/>
        <v>26456</v>
      </c>
      <c r="V346" s="346">
        <f t="shared" si="157"/>
        <v>699919936</v>
      </c>
      <c r="X346" s="372">
        <f t="shared" si="151"/>
        <v>23.849548315831008</v>
      </c>
      <c r="Y346" s="373">
        <f t="shared" si="152"/>
        <v>-14.484479919323874</v>
      </c>
      <c r="AA346" s="372">
        <f t="shared" si="153"/>
        <v>22.024466428785257</v>
      </c>
      <c r="AB346" s="373">
        <f t="shared" si="154"/>
        <v>-105.40862280546261</v>
      </c>
      <c r="AD346">
        <f t="shared" si="158"/>
        <v>0</v>
      </c>
      <c r="AE346">
        <f t="shared" ref="AE346:AE409" si="161">IF(AD346&gt;0,S346,0)</f>
        <v>0</v>
      </c>
    </row>
    <row r="347" spans="1:31" x14ac:dyDescent="0.2">
      <c r="A347" s="374">
        <v>26609</v>
      </c>
      <c r="B347" s="391">
        <f t="shared" si="155"/>
        <v>26.609000000000002</v>
      </c>
      <c r="C347" s="364">
        <f t="shared" si="136"/>
        <v>34.061124959173824</v>
      </c>
      <c r="D347" s="365">
        <f t="shared" si="137"/>
        <v>1.5414331241623858</v>
      </c>
      <c r="E347" s="365">
        <f t="shared" si="138"/>
        <v>1.0494441197454436</v>
      </c>
      <c r="F347" s="366">
        <f t="shared" si="139"/>
        <v>0.30818586763166195</v>
      </c>
      <c r="G347" s="365">
        <f t="shared" si="140"/>
        <v>1</v>
      </c>
      <c r="H347" s="366">
        <f t="shared" si="141"/>
        <v>0</v>
      </c>
      <c r="I347" s="364">
        <f t="shared" si="142"/>
        <v>9033.6831220249624</v>
      </c>
      <c r="J347" s="367">
        <f t="shared" si="143"/>
        <v>1.5706856299740612</v>
      </c>
      <c r="K347" s="375">
        <f t="shared" si="159"/>
        <v>5.5528595437331862</v>
      </c>
      <c r="L347" s="376">
        <f t="shared" si="160"/>
        <v>1.3897210305036771</v>
      </c>
      <c r="M347" s="364">
        <f t="shared" si="144"/>
        <v>1.0025416437133128</v>
      </c>
      <c r="N347" s="367">
        <f t="shared" si="145"/>
        <v>7.1221795389153811E-2</v>
      </c>
      <c r="O347" s="368">
        <f t="shared" si="146"/>
        <v>1.14957422271984</v>
      </c>
      <c r="P347" s="369">
        <f t="shared" si="147"/>
        <v>0.60800895588420267</v>
      </c>
      <c r="Q347" s="370">
        <f t="shared" si="148"/>
        <v>-5.6662078806498855</v>
      </c>
      <c r="R347" s="371">
        <f t="shared" si="149"/>
        <v>-119.94542618674753</v>
      </c>
      <c r="S347" s="373">
        <f t="shared" si="150"/>
        <v>60.054573813252475</v>
      </c>
      <c r="U347" s="346">
        <f t="shared" si="156"/>
        <v>26609</v>
      </c>
      <c r="V347" s="346">
        <f t="shared" si="157"/>
        <v>708038881</v>
      </c>
      <c r="X347" s="372">
        <f t="shared" si="151"/>
        <v>23.847662619652638</v>
      </c>
      <c r="Y347" s="373">
        <f t="shared" si="152"/>
        <v>-14.449216092581841</v>
      </c>
      <c r="AA347" s="372">
        <f t="shared" si="153"/>
        <v>21.966754854251857</v>
      </c>
      <c r="AB347" s="373">
        <f t="shared" si="154"/>
        <v>-105.49621009416569</v>
      </c>
      <c r="AD347">
        <f t="shared" si="158"/>
        <v>0</v>
      </c>
      <c r="AE347">
        <f t="shared" si="161"/>
        <v>0</v>
      </c>
    </row>
    <row r="348" spans="1:31" x14ac:dyDescent="0.2">
      <c r="A348" s="374">
        <v>26762</v>
      </c>
      <c r="B348" s="391">
        <f t="shared" si="155"/>
        <v>26.762</v>
      </c>
      <c r="C348" s="364">
        <f t="shared" si="136"/>
        <v>34.256805857501583</v>
      </c>
      <c r="D348" s="365">
        <f t="shared" si="137"/>
        <v>1.5416008997475295</v>
      </c>
      <c r="E348" s="365">
        <f t="shared" si="138"/>
        <v>1.0500007744898407</v>
      </c>
      <c r="F348" s="366">
        <f t="shared" si="139"/>
        <v>0.30984694363624687</v>
      </c>
      <c r="G348" s="365">
        <f t="shared" si="140"/>
        <v>1</v>
      </c>
      <c r="H348" s="366">
        <f t="shared" si="141"/>
        <v>0</v>
      </c>
      <c r="I348" s="364">
        <f t="shared" si="142"/>
        <v>9085.6262052216862</v>
      </c>
      <c r="J348" s="367">
        <f t="shared" si="143"/>
        <v>1.5706862628345892</v>
      </c>
      <c r="K348" s="375">
        <f t="shared" si="159"/>
        <v>5.5837554947622294</v>
      </c>
      <c r="L348" s="376">
        <f t="shared" si="160"/>
        <v>1.3907339558210836</v>
      </c>
      <c r="M348" s="364">
        <f t="shared" si="144"/>
        <v>1.0025709187287952</v>
      </c>
      <c r="N348" s="367">
        <f t="shared" si="145"/>
        <v>7.1629920652271639E-2</v>
      </c>
      <c r="O348" s="368">
        <f t="shared" si="146"/>
        <v>1.151202040884401</v>
      </c>
      <c r="P348" s="369">
        <f t="shared" si="147"/>
        <v>0.61102408816686227</v>
      </c>
      <c r="Q348" s="370">
        <f t="shared" si="148"/>
        <v>-5.7255099152192948</v>
      </c>
      <c r="R348" s="371">
        <f t="shared" si="149"/>
        <v>-119.9980044993758</v>
      </c>
      <c r="S348" s="373">
        <f t="shared" si="150"/>
        <v>60.001995500624204</v>
      </c>
      <c r="U348" s="346">
        <f t="shared" si="156"/>
        <v>26762</v>
      </c>
      <c r="V348" s="346">
        <f t="shared" si="157"/>
        <v>716204644</v>
      </c>
      <c r="X348" s="372">
        <f t="shared" si="151"/>
        <v>23.845802821392947</v>
      </c>
      <c r="Y348" s="373">
        <f t="shared" si="152"/>
        <v>-14.414599862219537</v>
      </c>
      <c r="AA348" s="372">
        <f t="shared" si="153"/>
        <v>21.909312617942135</v>
      </c>
      <c r="AB348" s="373">
        <f t="shared" si="154"/>
        <v>-105.58340463715625</v>
      </c>
      <c r="AD348">
        <f t="shared" si="158"/>
        <v>0</v>
      </c>
      <c r="AE348">
        <f t="shared" si="161"/>
        <v>0</v>
      </c>
    </row>
    <row r="349" spans="1:31" x14ac:dyDescent="0.2">
      <c r="A349" s="374">
        <v>26915</v>
      </c>
      <c r="B349" s="391">
        <f t="shared" si="155"/>
        <v>26.914999999999999</v>
      </c>
      <c r="C349" s="364">
        <f t="shared" si="136"/>
        <v>34.452487709158319</v>
      </c>
      <c r="D349" s="365">
        <f t="shared" si="137"/>
        <v>1.5417667694872796</v>
      </c>
      <c r="E349" s="365">
        <f t="shared" si="138"/>
        <v>1.0505603232937042</v>
      </c>
      <c r="F349" s="366">
        <f t="shared" si="139"/>
        <v>0.31150625477251181</v>
      </c>
      <c r="G349" s="365">
        <f t="shared" si="140"/>
        <v>1</v>
      </c>
      <c r="H349" s="366">
        <f t="shared" si="141"/>
        <v>0</v>
      </c>
      <c r="I349" s="364">
        <f t="shared" si="142"/>
        <v>9137.569288422008</v>
      </c>
      <c r="J349" s="367">
        <f t="shared" si="143"/>
        <v>1.5706868885000469</v>
      </c>
      <c r="K349" s="375">
        <f t="shared" si="159"/>
        <v>5.6146571117691781</v>
      </c>
      <c r="L349" s="376">
        <f t="shared" si="160"/>
        <v>1.391735732400281</v>
      </c>
      <c r="M349" s="364">
        <f t="shared" si="144"/>
        <v>1.0026003607289675</v>
      </c>
      <c r="N349" s="367">
        <f t="shared" si="145"/>
        <v>7.2038022013643843E-2</v>
      </c>
      <c r="O349" s="368">
        <f t="shared" si="146"/>
        <v>1.1528372445131188</v>
      </c>
      <c r="P349" s="369">
        <f t="shared" si="147"/>
        <v>0.6140325436908477</v>
      </c>
      <c r="Q349" s="370">
        <f t="shared" si="148"/>
        <v>-5.7845202707583763</v>
      </c>
      <c r="R349" s="371">
        <f t="shared" si="149"/>
        <v>-120.05082917845012</v>
      </c>
      <c r="S349" s="373">
        <f t="shared" si="150"/>
        <v>59.949170821549885</v>
      </c>
      <c r="U349" s="346">
        <f t="shared" si="156"/>
        <v>26915</v>
      </c>
      <c r="V349" s="346">
        <f t="shared" si="157"/>
        <v>724417225</v>
      </c>
      <c r="X349" s="372">
        <f t="shared" si="151"/>
        <v>23.843968317873177</v>
      </c>
      <c r="Y349" s="373">
        <f t="shared" si="152"/>
        <v>-14.380620625787923</v>
      </c>
      <c r="AA349" s="372">
        <f t="shared" si="153"/>
        <v>21.852136765922822</v>
      </c>
      <c r="AB349" s="373">
        <f t="shared" si="154"/>
        <v>-105.67020855266222</v>
      </c>
      <c r="AD349">
        <f t="shared" si="158"/>
        <v>0</v>
      </c>
      <c r="AE349">
        <f t="shared" si="161"/>
        <v>0</v>
      </c>
    </row>
    <row r="350" spans="1:31" x14ac:dyDescent="0.2">
      <c r="A350" s="374">
        <v>27071.75</v>
      </c>
      <c r="B350" s="391">
        <f t="shared" si="155"/>
        <v>27.071750000000002</v>
      </c>
      <c r="C350" s="364">
        <f t="shared" si="136"/>
        <v>34.652966656408857</v>
      </c>
      <c r="D350" s="365">
        <f t="shared" si="137"/>
        <v>1.5419347619232884</v>
      </c>
      <c r="E350" s="365">
        <f t="shared" si="138"/>
        <v>1.0511365830246422</v>
      </c>
      <c r="F350" s="366">
        <f t="shared" si="139"/>
        <v>0.31320439841762332</v>
      </c>
      <c r="G350" s="365">
        <f t="shared" si="140"/>
        <v>1</v>
      </c>
      <c r="H350" s="366">
        <f t="shared" si="141"/>
        <v>0</v>
      </c>
      <c r="I350" s="364">
        <f t="shared" si="142"/>
        <v>9190.7854864103156</v>
      </c>
      <c r="J350" s="367">
        <f t="shared" si="143"/>
        <v>1.5706875221662333</v>
      </c>
      <c r="K350" s="375">
        <f t="shared" si="159"/>
        <v>5.646321900073648</v>
      </c>
      <c r="L350" s="376">
        <f t="shared" si="160"/>
        <v>1.3927506896582285</v>
      </c>
      <c r="M350" s="364">
        <f t="shared" si="144"/>
        <v>1.0026306975054002</v>
      </c>
      <c r="N350" s="367">
        <f t="shared" si="145"/>
        <v>7.2456100931779829E-2</v>
      </c>
      <c r="O350" s="368">
        <f t="shared" si="146"/>
        <v>1.1545201596968169</v>
      </c>
      <c r="P350" s="369">
        <f t="shared" si="147"/>
        <v>0.61710780944540766</v>
      </c>
      <c r="Q350" s="370">
        <f t="shared" si="148"/>
        <v>-5.8446781137495201</v>
      </c>
      <c r="R350" s="371">
        <f t="shared" si="149"/>
        <v>-120.10519541747534</v>
      </c>
      <c r="S350" s="373">
        <f t="shared" si="150"/>
        <v>59.894804582524657</v>
      </c>
      <c r="U350" s="346">
        <f t="shared" si="156"/>
        <v>27071.75</v>
      </c>
      <c r="V350" s="346">
        <f t="shared" si="157"/>
        <v>732879648.0625</v>
      </c>
      <c r="X350" s="372">
        <f t="shared" si="151"/>
        <v>23.842114470003292</v>
      </c>
      <c r="Y350" s="373">
        <f t="shared" si="152"/>
        <v>-14.346458322393023</v>
      </c>
      <c r="AA350" s="372">
        <f t="shared" si="153"/>
        <v>21.793832770801561</v>
      </c>
      <c r="AB350" s="373">
        <f t="shared" si="154"/>
        <v>-105.75873709508232</v>
      </c>
      <c r="AD350">
        <f t="shared" si="158"/>
        <v>0</v>
      </c>
      <c r="AE350">
        <f t="shared" si="161"/>
        <v>0</v>
      </c>
    </row>
    <row r="351" spans="1:31" x14ac:dyDescent="0.2">
      <c r="A351" s="374">
        <v>27228.5</v>
      </c>
      <c r="B351" s="391">
        <f t="shared" si="155"/>
        <v>27.2285</v>
      </c>
      <c r="C351" s="364">
        <f t="shared" si="136"/>
        <v>34.853446570366117</v>
      </c>
      <c r="D351" s="365">
        <f t="shared" si="137"/>
        <v>1.5421008217511025</v>
      </c>
      <c r="E351" s="365">
        <f t="shared" si="138"/>
        <v>1.0517158705827905</v>
      </c>
      <c r="F351" s="366">
        <f t="shared" si="139"/>
        <v>0.31490067626682589</v>
      </c>
      <c r="G351" s="365">
        <f t="shared" si="140"/>
        <v>1</v>
      </c>
      <c r="H351" s="366">
        <f t="shared" si="141"/>
        <v>0</v>
      </c>
      <c r="I351" s="364">
        <f t="shared" si="142"/>
        <v>9244.0016844022739</v>
      </c>
      <c r="J351" s="367">
        <f t="shared" si="143"/>
        <v>1.5706881485365956</v>
      </c>
      <c r="K351" s="375">
        <f t="shared" si="159"/>
        <v>5.6779924399923907</v>
      </c>
      <c r="L351" s="376">
        <f t="shared" si="160"/>
        <v>1.3937543255427418</v>
      </c>
      <c r="M351" s="364">
        <f t="shared" si="144"/>
        <v>1.0026612095210117</v>
      </c>
      <c r="N351" s="367">
        <f t="shared" si="145"/>
        <v>7.2874154477837613E-2</v>
      </c>
      <c r="O351" s="368">
        <f t="shared" si="146"/>
        <v>1.1562107736615703</v>
      </c>
      <c r="P351" s="369">
        <f t="shared" si="147"/>
        <v>0.6201760630304306</v>
      </c>
      <c r="Q351" s="370">
        <f t="shared" si="148"/>
        <v>-5.9045371395892534</v>
      </c>
      <c r="R351" s="371">
        <f t="shared" si="149"/>
        <v>-120.15980285590234</v>
      </c>
      <c r="S351" s="373">
        <f t="shared" si="150"/>
        <v>59.840197144097658</v>
      </c>
      <c r="U351" s="346">
        <f t="shared" si="156"/>
        <v>27228.5</v>
      </c>
      <c r="V351" s="346">
        <f t="shared" si="157"/>
        <v>741391212.25</v>
      </c>
      <c r="X351" s="372">
        <f t="shared" si="151"/>
        <v>23.840285942690642</v>
      </c>
      <c r="Y351" s="373">
        <f t="shared" si="152"/>
        <v>-14.312942814181978</v>
      </c>
      <c r="AA351" s="372">
        <f t="shared" si="153"/>
        <v>21.735802272274483</v>
      </c>
      <c r="AB351" s="373">
        <f t="shared" si="154"/>
        <v>-105.84686004172033</v>
      </c>
      <c r="AD351">
        <f t="shared" si="158"/>
        <v>0</v>
      </c>
      <c r="AE351">
        <f t="shared" si="161"/>
        <v>0</v>
      </c>
    </row>
    <row r="352" spans="1:31" x14ac:dyDescent="0.2">
      <c r="A352" s="374">
        <v>27385.25</v>
      </c>
      <c r="B352" s="391">
        <f t="shared" si="155"/>
        <v>27.385249999999999</v>
      </c>
      <c r="C352" s="364">
        <f t="shared" si="136"/>
        <v>35.053927434443771</v>
      </c>
      <c r="D352" s="365">
        <f t="shared" si="137"/>
        <v>1.5422649821204755</v>
      </c>
      <c r="E352" s="365">
        <f t="shared" si="138"/>
        <v>1.0522981809677152</v>
      </c>
      <c r="F352" s="366">
        <f t="shared" si="139"/>
        <v>0.3165950816479553</v>
      </c>
      <c r="G352" s="365">
        <f t="shared" si="140"/>
        <v>1</v>
      </c>
      <c r="H352" s="366">
        <f t="shared" si="141"/>
        <v>0</v>
      </c>
      <c r="I352" s="364">
        <f t="shared" si="142"/>
        <v>9297.2178823978193</v>
      </c>
      <c r="J352" s="367">
        <f t="shared" si="143"/>
        <v>1.5706887677364152</v>
      </c>
      <c r="K352" s="375">
        <f t="shared" si="159"/>
        <v>5.7096686358157891</v>
      </c>
      <c r="L352" s="376">
        <f t="shared" si="160"/>
        <v>1.3947468264416358</v>
      </c>
      <c r="M352" s="364">
        <f t="shared" si="144"/>
        <v>1.002691896759804</v>
      </c>
      <c r="N352" s="367">
        <f t="shared" si="145"/>
        <v>7.3292182508014697E-2</v>
      </c>
      <c r="O352" s="368">
        <f t="shared" si="146"/>
        <v>1.1579090595723731</v>
      </c>
      <c r="P352" s="369">
        <f t="shared" si="147"/>
        <v>0.62323730288742452</v>
      </c>
      <c r="Q352" s="370">
        <f t="shared" si="148"/>
        <v>-5.9641009503238829</v>
      </c>
      <c r="R352" s="371">
        <f t="shared" si="149"/>
        <v>-120.21464300576744</v>
      </c>
      <c r="S352" s="373">
        <f t="shared" si="150"/>
        <v>59.785356994232558</v>
      </c>
      <c r="U352" s="346">
        <f t="shared" si="156"/>
        <v>27385.25</v>
      </c>
      <c r="V352" s="346">
        <f t="shared" si="157"/>
        <v>749951917.5625</v>
      </c>
      <c r="X352" s="372">
        <f t="shared" si="151"/>
        <v>23.838482139348759</v>
      </c>
      <c r="Y352" s="373">
        <f t="shared" si="152"/>
        <v>-14.280063420858497</v>
      </c>
      <c r="AA352" s="372">
        <f t="shared" si="153"/>
        <v>21.678042264881732</v>
      </c>
      <c r="AB352" s="373">
        <f t="shared" si="154"/>
        <v>-105.93457958490895</v>
      </c>
      <c r="AD352">
        <f t="shared" si="158"/>
        <v>0</v>
      </c>
      <c r="AE352">
        <f t="shared" si="161"/>
        <v>0</v>
      </c>
    </row>
    <row r="353" spans="1:31" x14ac:dyDescent="0.2">
      <c r="A353" s="374">
        <v>27542</v>
      </c>
      <c r="B353" s="391">
        <f t="shared" si="155"/>
        <v>27.542000000000002</v>
      </c>
      <c r="C353" s="364">
        <f t="shared" si="136"/>
        <v>35.254409232432693</v>
      </c>
      <c r="D353" s="365">
        <f t="shared" si="137"/>
        <v>1.5424272754275228</v>
      </c>
      <c r="E353" s="365">
        <f t="shared" si="138"/>
        <v>1.0528835091639799</v>
      </c>
      <c r="F353" s="366">
        <f t="shared" si="139"/>
        <v>0.3182876079465764</v>
      </c>
      <c r="G353" s="365">
        <f t="shared" si="140"/>
        <v>1</v>
      </c>
      <c r="H353" s="366">
        <f t="shared" si="141"/>
        <v>0</v>
      </c>
      <c r="I353" s="364">
        <f t="shared" si="142"/>
        <v>9350.4340803968862</v>
      </c>
      <c r="J353" s="367">
        <f t="shared" si="143"/>
        <v>1.5706893798881212</v>
      </c>
      <c r="K353" s="375">
        <f t="shared" si="159"/>
        <v>5.7413503939295252</v>
      </c>
      <c r="L353" s="376">
        <f t="shared" si="160"/>
        <v>1.3957283747175011</v>
      </c>
      <c r="M353" s="364">
        <f t="shared" si="144"/>
        <v>1.00272275920569</v>
      </c>
      <c r="N353" s="367">
        <f t="shared" si="145"/>
        <v>7.3710184878561846E-2</v>
      </c>
      <c r="O353" s="368">
        <f t="shared" si="146"/>
        <v>1.1596149906384972</v>
      </c>
      <c r="P353" s="369">
        <f t="shared" si="147"/>
        <v>0.62629152780302422</v>
      </c>
      <c r="Q353" s="370">
        <f t="shared" si="148"/>
        <v>-6.0233730765724802</v>
      </c>
      <c r="R353" s="371">
        <f t="shared" si="149"/>
        <v>-120.26970758286166</v>
      </c>
      <c r="S353" s="373">
        <f t="shared" si="150"/>
        <v>59.730292417138344</v>
      </c>
      <c r="U353" s="346">
        <f t="shared" si="156"/>
        <v>27542</v>
      </c>
      <c r="V353" s="346">
        <f t="shared" si="157"/>
        <v>758561764</v>
      </c>
      <c r="X353" s="372">
        <f t="shared" si="151"/>
        <v>23.836702479814669</v>
      </c>
      <c r="Y353" s="373">
        <f t="shared" si="152"/>
        <v>-14.24780969259422</v>
      </c>
      <c r="AA353" s="372">
        <f t="shared" si="153"/>
        <v>21.620549798167229</v>
      </c>
      <c r="AB353" s="373">
        <f t="shared" si="154"/>
        <v>-106.02189789026744</v>
      </c>
      <c r="AD353">
        <f t="shared" si="158"/>
        <v>0</v>
      </c>
      <c r="AE353">
        <f t="shared" si="161"/>
        <v>0</v>
      </c>
    </row>
    <row r="354" spans="1:31" x14ac:dyDescent="0.2">
      <c r="A354" s="374">
        <v>27702.5</v>
      </c>
      <c r="B354" s="391">
        <f t="shared" si="155"/>
        <v>27.702500000000001</v>
      </c>
      <c r="C354" s="364">
        <f t="shared" si="136"/>
        <v>35.459688196832325</v>
      </c>
      <c r="D354" s="365">
        <f t="shared" si="137"/>
        <v>1.5425915498193654</v>
      </c>
      <c r="E354" s="365">
        <f t="shared" si="138"/>
        <v>1.0534859621428794</v>
      </c>
      <c r="F354" s="366">
        <f t="shared" si="139"/>
        <v>0.32001867140585361</v>
      </c>
      <c r="G354" s="365">
        <f t="shared" si="140"/>
        <v>1</v>
      </c>
      <c r="H354" s="366">
        <f t="shared" si="141"/>
        <v>0</v>
      </c>
      <c r="I354" s="364">
        <f t="shared" si="142"/>
        <v>9404.92339318421</v>
      </c>
      <c r="J354" s="367">
        <f t="shared" si="143"/>
        <v>1.5706899995065098</v>
      </c>
      <c r="K354" s="375">
        <f t="shared" si="159"/>
        <v>5.773795756693791</v>
      </c>
      <c r="L354" s="376">
        <f t="shared" si="160"/>
        <v>1.3967222425648516</v>
      </c>
      <c r="M354" s="364">
        <f t="shared" si="144"/>
        <v>1.0027545415152725</v>
      </c>
      <c r="N354" s="367">
        <f t="shared" si="145"/>
        <v>7.4138160567967237E-2</v>
      </c>
      <c r="O354" s="368">
        <f t="shared" si="146"/>
        <v>1.1613696272102869</v>
      </c>
      <c r="P354" s="369">
        <f t="shared" si="147"/>
        <v>0.62941155071051147</v>
      </c>
      <c r="Q354" s="370">
        <f t="shared" si="148"/>
        <v>-6.0837645755603607</v>
      </c>
      <c r="R354" s="371">
        <f t="shared" si="149"/>
        <v>-120.32631359576703</v>
      </c>
      <c r="S354" s="373">
        <f t="shared" si="150"/>
        <v>59.673686404232967</v>
      </c>
      <c r="U354" s="346">
        <f t="shared" si="156"/>
        <v>27702.5</v>
      </c>
      <c r="V354" s="346">
        <f t="shared" si="157"/>
        <v>767428506.25</v>
      </c>
      <c r="X354" s="372">
        <f t="shared" si="151"/>
        <v>23.834904672562537</v>
      </c>
      <c r="Y354" s="373">
        <f t="shared" si="152"/>
        <v>-14.215421961765975</v>
      </c>
      <c r="AA354" s="372">
        <f t="shared" si="153"/>
        <v>21.561956106431481</v>
      </c>
      <c r="AB354" s="373">
        <f t="shared" si="154"/>
        <v>-106.11089163400104</v>
      </c>
      <c r="AD354">
        <f t="shared" si="158"/>
        <v>0</v>
      </c>
      <c r="AE354">
        <f t="shared" si="161"/>
        <v>0</v>
      </c>
    </row>
    <row r="355" spans="1:31" x14ac:dyDescent="0.2">
      <c r="A355" s="374">
        <v>27863</v>
      </c>
      <c r="B355" s="391">
        <f t="shared" si="155"/>
        <v>27.863</v>
      </c>
      <c r="C355" s="364">
        <f t="shared" si="136"/>
        <v>35.664968107134193</v>
      </c>
      <c r="D355" s="365">
        <f t="shared" si="137"/>
        <v>1.542753933159186</v>
      </c>
      <c r="E355" s="365">
        <f t="shared" si="138"/>
        <v>1.0540915683634426</v>
      </c>
      <c r="F355" s="366">
        <f t="shared" si="139"/>
        <v>0.32174775094904151</v>
      </c>
      <c r="G355" s="365">
        <f t="shared" si="140"/>
        <v>1</v>
      </c>
      <c r="H355" s="366">
        <f t="shared" si="141"/>
        <v>0</v>
      </c>
      <c r="I355" s="364">
        <f t="shared" si="142"/>
        <v>9459.412705975099</v>
      </c>
      <c r="J355" s="367">
        <f t="shared" si="143"/>
        <v>1.5706906119864887</v>
      </c>
      <c r="K355" s="375">
        <f t="shared" si="159"/>
        <v>5.8062467589169806</v>
      </c>
      <c r="L355" s="376">
        <f t="shared" si="160"/>
        <v>1.3977050019570967</v>
      </c>
      <c r="M355" s="364">
        <f t="shared" si="144"/>
        <v>1.0027865074809146</v>
      </c>
      <c r="N355" s="367">
        <f t="shared" si="145"/>
        <v>7.4566109050471174E-2</v>
      </c>
      <c r="O355" s="368">
        <f t="shared" si="146"/>
        <v>1.1631322224105223</v>
      </c>
      <c r="P355" s="369">
        <f t="shared" si="147"/>
        <v>0.63252421753635546</v>
      </c>
      <c r="Q355" s="370">
        <f t="shared" si="148"/>
        <v>-6.1438575370231954</v>
      </c>
      <c r="R355" s="371">
        <f t="shared" si="149"/>
        <v>-120.3831379567129</v>
      </c>
      <c r="S355" s="373">
        <f t="shared" si="150"/>
        <v>59.616862043287099</v>
      </c>
      <c r="U355" s="346">
        <f t="shared" si="156"/>
        <v>27863</v>
      </c>
      <c r="V355" s="346">
        <f t="shared" si="157"/>
        <v>776346769</v>
      </c>
      <c r="X355" s="372">
        <f t="shared" si="151"/>
        <v>23.833130997550125</v>
      </c>
      <c r="Y355" s="373">
        <f t="shared" si="152"/>
        <v>-14.183668730691545</v>
      </c>
      <c r="AA355" s="372">
        <f t="shared" si="153"/>
        <v>21.503636819981054</v>
      </c>
      <c r="AB355" s="373">
        <f t="shared" si="154"/>
        <v>-106.19946922602138</v>
      </c>
      <c r="AD355">
        <f t="shared" si="158"/>
        <v>0</v>
      </c>
      <c r="AE355">
        <f t="shared" si="161"/>
        <v>0</v>
      </c>
    </row>
    <row r="356" spans="1:31" x14ac:dyDescent="0.2">
      <c r="A356" s="374">
        <v>28023.5</v>
      </c>
      <c r="B356" s="391">
        <f t="shared" si="155"/>
        <v>28.023499999999999</v>
      </c>
      <c r="C356" s="364">
        <f t="shared" si="136"/>
        <v>35.870248947098546</v>
      </c>
      <c r="D356" s="365">
        <f t="shared" si="137"/>
        <v>1.5429144579050922</v>
      </c>
      <c r="E356" s="365">
        <f t="shared" si="138"/>
        <v>1.0547003223939198</v>
      </c>
      <c r="F356" s="366">
        <f t="shared" si="139"/>
        <v>0.3234748396636381</v>
      </c>
      <c r="G356" s="365">
        <f t="shared" si="140"/>
        <v>1</v>
      </c>
      <c r="H356" s="366">
        <f t="shared" si="141"/>
        <v>0</v>
      </c>
      <c r="I356" s="364">
        <f t="shared" si="142"/>
        <v>9513.9020187695005</v>
      </c>
      <c r="J356" s="367">
        <f t="shared" si="143"/>
        <v>1.5706912174507108</v>
      </c>
      <c r="K356" s="375">
        <f t="shared" si="159"/>
        <v>5.838703306568239</v>
      </c>
      <c r="L356" s="376">
        <f t="shared" si="160"/>
        <v>1.3986768362310216</v>
      </c>
      <c r="M356" s="364">
        <f t="shared" si="144"/>
        <v>1.0028186570850535</v>
      </c>
      <c r="N356" s="367">
        <f t="shared" si="145"/>
        <v>7.499403017193404E-2</v>
      </c>
      <c r="O356" s="368">
        <f t="shared" si="146"/>
        <v>1.1649027476330283</v>
      </c>
      <c r="P356" s="369">
        <f t="shared" si="147"/>
        <v>0.63562952807791484</v>
      </c>
      <c r="Q356" s="370">
        <f t="shared" si="148"/>
        <v>-6.2036555301396836</v>
      </c>
      <c r="R356" s="371">
        <f t="shared" si="149"/>
        <v>-120.44017240363056</v>
      </c>
      <c r="S356" s="373">
        <f t="shared" si="150"/>
        <v>59.559827596369445</v>
      </c>
      <c r="U356" s="346">
        <f t="shared" si="156"/>
        <v>28023.5</v>
      </c>
      <c r="V356" s="346">
        <f t="shared" si="157"/>
        <v>785316552.25</v>
      </c>
      <c r="X356" s="372">
        <f t="shared" si="151"/>
        <v>23.831380882054155</v>
      </c>
      <c r="Y356" s="373">
        <f t="shared" si="152"/>
        <v>-14.152539493142815</v>
      </c>
      <c r="AA356" s="372">
        <f t="shared" si="153"/>
        <v>21.445588942360537</v>
      </c>
      <c r="AB356" s="373">
        <f t="shared" si="154"/>
        <v>-106.28763291048773</v>
      </c>
      <c r="AD356">
        <f t="shared" si="158"/>
        <v>0</v>
      </c>
      <c r="AE356">
        <f t="shared" si="161"/>
        <v>0</v>
      </c>
    </row>
    <row r="357" spans="1:31" x14ac:dyDescent="0.2">
      <c r="A357" s="374">
        <v>28184</v>
      </c>
      <c r="B357" s="391">
        <f t="shared" si="155"/>
        <v>28.184000000000001</v>
      </c>
      <c r="C357" s="364">
        <f t="shared" si="136"/>
        <v>36.075530700855182</v>
      </c>
      <c r="D357" s="365">
        <f t="shared" si="137"/>
        <v>1.5430731557767898</v>
      </c>
      <c r="E357" s="365">
        <f t="shared" si="138"/>
        <v>1.055312218786894</v>
      </c>
      <c r="F357" s="366">
        <f t="shared" si="139"/>
        <v>0.32519993070055625</v>
      </c>
      <c r="G357" s="365">
        <f t="shared" si="140"/>
        <v>1</v>
      </c>
      <c r="H357" s="366">
        <f t="shared" si="141"/>
        <v>0</v>
      </c>
      <c r="I357" s="364">
        <f t="shared" si="142"/>
        <v>9568.3913315673472</v>
      </c>
      <c r="J357" s="367">
        <f t="shared" si="143"/>
        <v>1.570691816019034</v>
      </c>
      <c r="K357" s="375">
        <f t="shared" si="159"/>
        <v>5.8711653076800712</v>
      </c>
      <c r="L357" s="376">
        <f t="shared" si="160"/>
        <v>1.3996379247522841</v>
      </c>
      <c r="M357" s="364">
        <f t="shared" si="144"/>
        <v>1.0028509903100273</v>
      </c>
      <c r="N357" s="367">
        <f t="shared" si="145"/>
        <v>7.5421923778275987E-2</v>
      </c>
      <c r="O357" s="368">
        <f t="shared" si="146"/>
        <v>1.1666811743265624</v>
      </c>
      <c r="P357" s="369">
        <f t="shared" si="147"/>
        <v>0.6387274824950937</v>
      </c>
      <c r="Q357" s="370">
        <f t="shared" si="148"/>
        <v>-6.2631620533727128</v>
      </c>
      <c r="R357" s="371">
        <f t="shared" si="149"/>
        <v>-120.49740887665483</v>
      </c>
      <c r="S357" s="373">
        <f t="shared" si="150"/>
        <v>59.502591123345169</v>
      </c>
      <c r="U357" s="346">
        <f t="shared" si="156"/>
        <v>28184</v>
      </c>
      <c r="V357" s="346">
        <f t="shared" si="157"/>
        <v>794337856</v>
      </c>
      <c r="X357" s="372">
        <f t="shared" si="151"/>
        <v>23.829653769150013</v>
      </c>
      <c r="Y357" s="373">
        <f t="shared" si="152"/>
        <v>-14.122023970263827</v>
      </c>
      <c r="AA357" s="372">
        <f t="shared" si="153"/>
        <v>21.387809532031646</v>
      </c>
      <c r="AB357" s="373">
        <f t="shared" si="154"/>
        <v>-106.37538490639098</v>
      </c>
      <c r="AD357">
        <f t="shared" si="158"/>
        <v>0</v>
      </c>
      <c r="AE357">
        <f t="shared" si="161"/>
        <v>0</v>
      </c>
    </row>
    <row r="358" spans="1:31" x14ac:dyDescent="0.2">
      <c r="A358" s="374">
        <v>28348</v>
      </c>
      <c r="B358" s="391">
        <f t="shared" si="155"/>
        <v>28.347999999999999</v>
      </c>
      <c r="C358" s="364">
        <f t="shared" si="136"/>
        <v>36.285289931522513</v>
      </c>
      <c r="D358" s="365">
        <f t="shared" si="137"/>
        <v>1.5432334595360291</v>
      </c>
      <c r="E358" s="365">
        <f t="shared" si="138"/>
        <v>1.0559406989281575</v>
      </c>
      <c r="F358" s="366">
        <f t="shared" si="139"/>
        <v>0.32696056998801232</v>
      </c>
      <c r="G358" s="365">
        <f t="shared" si="140"/>
        <v>1</v>
      </c>
      <c r="H358" s="366">
        <f t="shared" si="141"/>
        <v>0</v>
      </c>
      <c r="I358" s="364">
        <f t="shared" si="142"/>
        <v>9624.0688848346945</v>
      </c>
      <c r="J358" s="367">
        <f t="shared" si="143"/>
        <v>1.5706924206390112</v>
      </c>
      <c r="K358" s="375">
        <f t="shared" si="159"/>
        <v>5.9043407424502981</v>
      </c>
      <c r="L358" s="376">
        <f t="shared" si="160"/>
        <v>1.4006090543649634</v>
      </c>
      <c r="M358" s="364">
        <f t="shared" si="144"/>
        <v>1.0028842182732089</v>
      </c>
      <c r="N358" s="367">
        <f t="shared" si="145"/>
        <v>7.5859119815899448E-2</v>
      </c>
      <c r="O358" s="368">
        <f t="shared" si="146"/>
        <v>1.1685065150724336</v>
      </c>
      <c r="P358" s="369">
        <f t="shared" si="147"/>
        <v>0.64188539559749513</v>
      </c>
      <c r="Q358" s="370">
        <f t="shared" si="148"/>
        <v>-6.3236687213318312</v>
      </c>
      <c r="R358" s="371">
        <f t="shared" si="149"/>
        <v>-120.55609399976876</v>
      </c>
      <c r="S358" s="373">
        <f t="shared" si="150"/>
        <v>59.443906000231237</v>
      </c>
      <c r="U358" s="346">
        <f t="shared" si="156"/>
        <v>28348</v>
      </c>
      <c r="V358" s="346">
        <f t="shared" si="157"/>
        <v>803609104</v>
      </c>
      <c r="X358" s="372">
        <f t="shared" si="151"/>
        <v>23.827912190358251</v>
      </c>
      <c r="Y358" s="373">
        <f t="shared" si="152"/>
        <v>-14.091466472010783</v>
      </c>
      <c r="AA358" s="372">
        <f t="shared" si="153"/>
        <v>21.329044442864287</v>
      </c>
      <c r="AB358" s="373">
        <f t="shared" si="154"/>
        <v>-106.46462752775797</v>
      </c>
      <c r="AD358">
        <f t="shared" si="158"/>
        <v>0</v>
      </c>
      <c r="AE358">
        <f t="shared" si="161"/>
        <v>0</v>
      </c>
    </row>
    <row r="359" spans="1:31" x14ac:dyDescent="0.2">
      <c r="A359" s="374">
        <v>28512</v>
      </c>
      <c r="B359" s="391">
        <f t="shared" si="155"/>
        <v>28.512</v>
      </c>
      <c r="C359" s="364">
        <f t="shared" si="136"/>
        <v>36.495050083905113</v>
      </c>
      <c r="D359" s="365">
        <f t="shared" si="137"/>
        <v>1.5433919205649642</v>
      </c>
      <c r="E359" s="365">
        <f t="shared" si="138"/>
        <v>1.0565724484279622</v>
      </c>
      <c r="F359" s="366">
        <f t="shared" si="139"/>
        <v>0.32871910926603781</v>
      </c>
      <c r="G359" s="365">
        <f t="shared" si="140"/>
        <v>1</v>
      </c>
      <c r="H359" s="366">
        <f t="shared" si="141"/>
        <v>0</v>
      </c>
      <c r="I359" s="364">
        <f t="shared" si="142"/>
        <v>9679.7464381055161</v>
      </c>
      <c r="J359" s="367">
        <f t="shared" si="143"/>
        <v>1.570693018303484</v>
      </c>
      <c r="K359" s="375">
        <f t="shared" si="159"/>
        <v>5.9375216833329469</v>
      </c>
      <c r="L359" s="376">
        <f t="shared" si="160"/>
        <v>1.401569330853268</v>
      </c>
      <c r="M359" s="364">
        <f t="shared" si="144"/>
        <v>1.0029176379153331</v>
      </c>
      <c r="N359" s="367">
        <f t="shared" si="145"/>
        <v>7.6296286800219132E-2</v>
      </c>
      <c r="O359" s="368">
        <f t="shared" si="146"/>
        <v>1.1703400455709714</v>
      </c>
      <c r="P359" s="369">
        <f t="shared" si="147"/>
        <v>0.64503562972656514</v>
      </c>
      <c r="Q359" s="370">
        <f t="shared" si="148"/>
        <v>-6.3838782357222401</v>
      </c>
      <c r="R359" s="371">
        <f t="shared" si="149"/>
        <v>-120.61497366619659</v>
      </c>
      <c r="S359" s="373">
        <f t="shared" si="150"/>
        <v>59.38502633380341</v>
      </c>
      <c r="U359" s="346">
        <f t="shared" si="156"/>
        <v>28512</v>
      </c>
      <c r="V359" s="346">
        <f t="shared" si="157"/>
        <v>812934144</v>
      </c>
      <c r="X359" s="372">
        <f t="shared" si="151"/>
        <v>23.826193500940501</v>
      </c>
      <c r="Y359" s="373">
        <f t="shared" si="152"/>
        <v>-14.061528748826905</v>
      </c>
      <c r="AA359" s="372">
        <f t="shared" si="153"/>
        <v>21.270553617891636</v>
      </c>
      <c r="AB359" s="373">
        <f t="shared" si="154"/>
        <v>-106.55344491736969</v>
      </c>
      <c r="AD359">
        <f t="shared" si="158"/>
        <v>0</v>
      </c>
      <c r="AE359">
        <f t="shared" si="161"/>
        <v>0</v>
      </c>
    </row>
    <row r="360" spans="1:31" x14ac:dyDescent="0.2">
      <c r="A360" s="374">
        <v>28676</v>
      </c>
      <c r="B360" s="391">
        <f t="shared" si="155"/>
        <v>28.675999999999998</v>
      </c>
      <c r="C360" s="364">
        <f t="shared" si="136"/>
        <v>36.704811142200754</v>
      </c>
      <c r="D360" s="365">
        <f t="shared" si="137"/>
        <v>1.5435485704481342</v>
      </c>
      <c r="E360" s="365">
        <f t="shared" si="138"/>
        <v>1.057207461425351</v>
      </c>
      <c r="F360" s="366">
        <f t="shared" si="139"/>
        <v>0.33047554143265823</v>
      </c>
      <c r="G360" s="365">
        <f t="shared" si="140"/>
        <v>1</v>
      </c>
      <c r="H360" s="366">
        <f t="shared" si="141"/>
        <v>0</v>
      </c>
      <c r="I360" s="364">
        <f t="shared" si="142"/>
        <v>9735.4239913797574</v>
      </c>
      <c r="J360" s="367">
        <f t="shared" si="143"/>
        <v>1.5706936091317887</v>
      </c>
      <c r="K360" s="375">
        <f t="shared" si="159"/>
        <v>5.9707080385308711</v>
      </c>
      <c r="L360" s="376">
        <f t="shared" si="160"/>
        <v>1.4025189334025907</v>
      </c>
      <c r="M360" s="364">
        <f t="shared" si="144"/>
        <v>1.0029512492172388</v>
      </c>
      <c r="N360" s="367">
        <f t="shared" si="145"/>
        <v>7.673342456704936E-2</v>
      </c>
      <c r="O360" s="368">
        <f t="shared" si="146"/>
        <v>1.1721817355495934</v>
      </c>
      <c r="P360" s="369">
        <f t="shared" si="147"/>
        <v>0.64817818619814827</v>
      </c>
      <c r="Q360" s="370">
        <f t="shared" si="148"/>
        <v>-6.4437941117538777</v>
      </c>
      <c r="R360" s="371">
        <f t="shared" si="149"/>
        <v>-120.67403989876817</v>
      </c>
      <c r="S360" s="373">
        <f t="shared" si="150"/>
        <v>59.325960101231829</v>
      </c>
      <c r="U360" s="346">
        <f t="shared" si="156"/>
        <v>28676</v>
      </c>
      <c r="V360" s="346">
        <f t="shared" si="157"/>
        <v>822312976</v>
      </c>
      <c r="X360" s="372">
        <f t="shared" si="151"/>
        <v>23.824497154562113</v>
      </c>
      <c r="Y360" s="373">
        <f t="shared" si="152"/>
        <v>-14.03220053157577</v>
      </c>
      <c r="AA360" s="372">
        <f t="shared" si="153"/>
        <v>21.212334088238389</v>
      </c>
      <c r="AB360" s="373">
        <f t="shared" si="154"/>
        <v>-106.64183936719242</v>
      </c>
      <c r="AD360">
        <f t="shared" si="158"/>
        <v>0</v>
      </c>
      <c r="AE360">
        <f t="shared" si="161"/>
        <v>0</v>
      </c>
    </row>
    <row r="361" spans="1:31" x14ac:dyDescent="0.2">
      <c r="A361" s="374">
        <v>28840</v>
      </c>
      <c r="B361" s="391">
        <f t="shared" si="155"/>
        <v>28.84</v>
      </c>
      <c r="C361" s="364">
        <f t="shared" si="136"/>
        <v>36.914573090966336</v>
      </c>
      <c r="D361" s="365">
        <f t="shared" si="137"/>
        <v>1.54370344005254</v>
      </c>
      <c r="E361" s="365">
        <f t="shared" si="138"/>
        <v>1.0578457320432013</v>
      </c>
      <c r="F361" s="366">
        <f t="shared" si="139"/>
        <v>0.33222985945491246</v>
      </c>
      <c r="G361" s="365">
        <f t="shared" si="140"/>
        <v>1</v>
      </c>
      <c r="H361" s="366">
        <f t="shared" si="141"/>
        <v>0</v>
      </c>
      <c r="I361" s="364">
        <f t="shared" si="142"/>
        <v>9791.1015446573583</v>
      </c>
      <c r="J361" s="367">
        <f t="shared" si="143"/>
        <v>1.5706941932405485</v>
      </c>
      <c r="K361" s="375">
        <f t="shared" si="159"/>
        <v>6.0038997182617315</v>
      </c>
      <c r="L361" s="376">
        <f t="shared" si="160"/>
        <v>1.4034580373138983</v>
      </c>
      <c r="M361" s="364">
        <f t="shared" si="144"/>
        <v>1.0029850521596577</v>
      </c>
      <c r="N361" s="367">
        <f t="shared" si="145"/>
        <v>7.7170532952271137E-2</v>
      </c>
      <c r="O361" s="368">
        <f t="shared" si="146"/>
        <v>1.1740315548021145</v>
      </c>
      <c r="P361" s="369">
        <f t="shared" si="147"/>
        <v>0.65131306670458289</v>
      </c>
      <c r="Q361" s="370">
        <f t="shared" si="148"/>
        <v>-6.5034197952085684</v>
      </c>
      <c r="R361" s="371">
        <f t="shared" si="149"/>
        <v>-120.73328491922835</v>
      </c>
      <c r="S361" s="373">
        <f t="shared" si="150"/>
        <v>59.266715080771647</v>
      </c>
      <c r="U361" s="346">
        <f t="shared" si="156"/>
        <v>28840</v>
      </c>
      <c r="V361" s="346">
        <f t="shared" si="157"/>
        <v>831745600</v>
      </c>
      <c r="X361" s="372">
        <f t="shared" si="151"/>
        <v>23.822822619958515</v>
      </c>
      <c r="Y361" s="373">
        <f t="shared" si="152"/>
        <v>-14.003471773530487</v>
      </c>
      <c r="AA361" s="372">
        <f t="shared" si="153"/>
        <v>21.154382939387297</v>
      </c>
      <c r="AB361" s="373">
        <f t="shared" si="154"/>
        <v>-106.72981314569788</v>
      </c>
      <c r="AD361">
        <f t="shared" si="158"/>
        <v>0</v>
      </c>
      <c r="AE361">
        <f t="shared" si="161"/>
        <v>0</v>
      </c>
    </row>
    <row r="362" spans="1:31" x14ac:dyDescent="0.2">
      <c r="A362" s="374">
        <v>29008</v>
      </c>
      <c r="B362" s="391">
        <f t="shared" si="155"/>
        <v>29.007999999999999</v>
      </c>
      <c r="C362" s="364">
        <f t="shared" si="136"/>
        <v>37.129452092360808</v>
      </c>
      <c r="D362" s="365">
        <f t="shared" si="137"/>
        <v>1.5438602725563737</v>
      </c>
      <c r="E362" s="365">
        <f t="shared" si="138"/>
        <v>1.0585029418475544</v>
      </c>
      <c r="F362" s="366">
        <f t="shared" si="139"/>
        <v>0.33402476632255829</v>
      </c>
      <c r="G362" s="365">
        <f t="shared" si="140"/>
        <v>1</v>
      </c>
      <c r="H362" s="366">
        <f t="shared" si="141"/>
        <v>0</v>
      </c>
      <c r="I362" s="364">
        <f t="shared" si="142"/>
        <v>9848.1370870427163</v>
      </c>
      <c r="J362" s="367">
        <f t="shared" si="143"/>
        <v>1.570694784747616</v>
      </c>
      <c r="K362" s="375">
        <f t="shared" si="159"/>
        <v>6.0379063802840687</v>
      </c>
      <c r="L362" s="376">
        <f t="shared" si="160"/>
        <v>1.4044093396100337</v>
      </c>
      <c r="M362" s="364">
        <f t="shared" si="144"/>
        <v>1.0030198782525861</v>
      </c>
      <c r="N362" s="367">
        <f t="shared" si="145"/>
        <v>7.7618271880850326E-2</v>
      </c>
      <c r="O362" s="368">
        <f t="shared" si="146"/>
        <v>1.1759348891983059</v>
      </c>
      <c r="P362" s="369">
        <f t="shared" si="147"/>
        <v>0.65451645079486753</v>
      </c>
      <c r="Q362" s="370">
        <f t="shared" si="148"/>
        <v>-6.5642023987244302</v>
      </c>
      <c r="R362" s="371">
        <f t="shared" si="149"/>
        <v>-120.79415239543576</v>
      </c>
      <c r="S362" s="373">
        <f t="shared" si="150"/>
        <v>59.205847604564241</v>
      </c>
      <c r="U362" s="346">
        <f t="shared" si="156"/>
        <v>29008</v>
      </c>
      <c r="V362" s="346">
        <f t="shared" si="157"/>
        <v>841464064</v>
      </c>
      <c r="X362" s="372">
        <f t="shared" si="151"/>
        <v>23.821129319291813</v>
      </c>
      <c r="Y362" s="373">
        <f t="shared" si="152"/>
        <v>-13.974653608677707</v>
      </c>
      <c r="AA362" s="372">
        <f t="shared" si="153"/>
        <v>21.095293636538134</v>
      </c>
      <c r="AB362" s="373">
        <f t="shared" si="154"/>
        <v>-106.81949878675802</v>
      </c>
      <c r="AD362">
        <f t="shared" si="158"/>
        <v>0</v>
      </c>
      <c r="AE362">
        <f t="shared" si="161"/>
        <v>0</v>
      </c>
    </row>
    <row r="363" spans="1:31" x14ac:dyDescent="0.2">
      <c r="A363" s="374">
        <v>29176</v>
      </c>
      <c r="B363" s="391">
        <f t="shared" si="155"/>
        <v>29.175999999999998</v>
      </c>
      <c r="C363" s="364">
        <f t="shared" si="136"/>
        <v>37.344331996497701</v>
      </c>
      <c r="D363" s="365">
        <f t="shared" si="137"/>
        <v>1.5440153002303407</v>
      </c>
      <c r="E363" s="365">
        <f t="shared" si="138"/>
        <v>1.0591635575825364</v>
      </c>
      <c r="F363" s="366">
        <f t="shared" si="139"/>
        <v>0.33581743994055219</v>
      </c>
      <c r="G363" s="365">
        <f t="shared" si="140"/>
        <v>1</v>
      </c>
      <c r="H363" s="366">
        <f t="shared" si="141"/>
        <v>0</v>
      </c>
      <c r="I363" s="364">
        <f t="shared" si="142"/>
        <v>9905.1726294314776</v>
      </c>
      <c r="J363" s="367">
        <f t="shared" si="143"/>
        <v>1.5706953694427019</v>
      </c>
      <c r="K363" s="375">
        <f t="shared" si="159"/>
        <v>6.0719184452586052</v>
      </c>
      <c r="L363" s="376">
        <f t="shared" si="160"/>
        <v>1.4053499852428843</v>
      </c>
      <c r="M363" s="364">
        <f t="shared" si="144"/>
        <v>1.0030549054070719</v>
      </c>
      <c r="N363" s="367">
        <f t="shared" si="145"/>
        <v>7.8065979628663545E-2</v>
      </c>
      <c r="O363" s="368">
        <f t="shared" si="146"/>
        <v>1.1778466903062959</v>
      </c>
      <c r="P363" s="369">
        <f t="shared" si="147"/>
        <v>0.65771178470217373</v>
      </c>
      <c r="Q363" s="370">
        <f t="shared" si="148"/>
        <v>-6.624687585663585</v>
      </c>
      <c r="R363" s="371">
        <f t="shared" si="149"/>
        <v>-120.85519158178569</v>
      </c>
      <c r="S363" s="373">
        <f t="shared" si="150"/>
        <v>59.144808418214311</v>
      </c>
      <c r="U363" s="346">
        <f t="shared" si="156"/>
        <v>29176</v>
      </c>
      <c r="V363" s="346">
        <f t="shared" si="157"/>
        <v>851238976</v>
      </c>
      <c r="X363" s="372">
        <f t="shared" si="151"/>
        <v>23.8194578251397</v>
      </c>
      <c r="Y363" s="373">
        <f t="shared" si="152"/>
        <v>-13.946443848831453</v>
      </c>
      <c r="AA363" s="372">
        <f t="shared" si="153"/>
        <v>21.036479943751093</v>
      </c>
      <c r="AB363" s="373">
        <f t="shared" si="154"/>
        <v>-106.90874773295423</v>
      </c>
      <c r="AD363">
        <f t="shared" si="158"/>
        <v>0</v>
      </c>
      <c r="AE363">
        <f t="shared" si="161"/>
        <v>0</v>
      </c>
    </row>
    <row r="364" spans="1:31" x14ac:dyDescent="0.2">
      <c r="A364" s="374">
        <v>29344</v>
      </c>
      <c r="B364" s="391">
        <f t="shared" si="155"/>
        <v>29.344000000000001</v>
      </c>
      <c r="C364" s="364">
        <f t="shared" si="136"/>
        <v>37.559212787882977</v>
      </c>
      <c r="D364" s="365">
        <f t="shared" si="137"/>
        <v>1.544168554043873</v>
      </c>
      <c r="E364" s="365">
        <f t="shared" si="138"/>
        <v>1.0598275728791544</v>
      </c>
      <c r="F364" s="366">
        <f t="shared" si="139"/>
        <v>0.3376078729736588</v>
      </c>
      <c r="G364" s="365">
        <f t="shared" si="140"/>
        <v>1</v>
      </c>
      <c r="H364" s="366">
        <f t="shared" si="141"/>
        <v>0</v>
      </c>
      <c r="I364" s="364">
        <f t="shared" si="142"/>
        <v>9962.2081718235877</v>
      </c>
      <c r="J364" s="367">
        <f t="shared" si="143"/>
        <v>1.5706959474428059</v>
      </c>
      <c r="K364" s="375">
        <f t="shared" si="159"/>
        <v>6.1059358228966953</v>
      </c>
      <c r="L364" s="376">
        <f t="shared" si="160"/>
        <v>1.4062801506449374</v>
      </c>
      <c r="M364" s="364">
        <f t="shared" si="144"/>
        <v>1.0030901336020523</v>
      </c>
      <c r="N364" s="367">
        <f t="shared" si="145"/>
        <v>7.8513656019507619E-2</v>
      </c>
      <c r="O364" s="368">
        <f t="shared" si="146"/>
        <v>1.1797669258823156</v>
      </c>
      <c r="P364" s="369">
        <f t="shared" si="147"/>
        <v>0.66089907144358861</v>
      </c>
      <c r="Q364" s="370">
        <f t="shared" si="148"/>
        <v>-6.684878845056442</v>
      </c>
      <c r="R364" s="371">
        <f t="shared" si="149"/>
        <v>-120.91639473361136</v>
      </c>
      <c r="S364" s="373">
        <f t="shared" si="150"/>
        <v>59.083605266388645</v>
      </c>
      <c r="U364" s="346">
        <f t="shared" si="156"/>
        <v>29344</v>
      </c>
      <c r="V364" s="346">
        <f t="shared" si="157"/>
        <v>861070336</v>
      </c>
      <c r="X364" s="372">
        <f t="shared" si="151"/>
        <v>23.817807612430055</v>
      </c>
      <c r="Y364" s="373">
        <f t="shared" si="152"/>
        <v>-13.918832381762707</v>
      </c>
      <c r="AA364" s="372">
        <f t="shared" si="153"/>
        <v>20.97793889706788</v>
      </c>
      <c r="AB364" s="373">
        <f t="shared" si="154"/>
        <v>-106.99756235184864</v>
      </c>
      <c r="AD364">
        <f t="shared" si="158"/>
        <v>0</v>
      </c>
      <c r="AE364">
        <f t="shared" si="161"/>
        <v>0</v>
      </c>
    </row>
    <row r="365" spans="1:31" x14ac:dyDescent="0.2">
      <c r="A365" s="374">
        <v>29512</v>
      </c>
      <c r="B365" s="391">
        <f t="shared" si="155"/>
        <v>29.512</v>
      </c>
      <c r="C365" s="364">
        <f t="shared" si="136"/>
        <v>37.774094451375113</v>
      </c>
      <c r="D365" s="365">
        <f t="shared" si="137"/>
        <v>1.5443200642620503</v>
      </c>
      <c r="E365" s="365">
        <f t="shared" si="138"/>
        <v>1.0604949813516329</v>
      </c>
      <c r="F365" s="366">
        <f t="shared" si="139"/>
        <v>0.33939605816242702</v>
      </c>
      <c r="G365" s="365">
        <f t="shared" si="140"/>
        <v>1</v>
      </c>
      <c r="H365" s="366">
        <f t="shared" si="141"/>
        <v>0</v>
      </c>
      <c r="I365" s="364">
        <f t="shared" si="142"/>
        <v>10019.243714218988</v>
      </c>
      <c r="J365" s="367">
        <f t="shared" si="143"/>
        <v>1.5706965188622639</v>
      </c>
      <c r="K365" s="375">
        <f t="shared" si="159"/>
        <v>6.1399584248966583</v>
      </c>
      <c r="L365" s="376">
        <f t="shared" si="160"/>
        <v>1.4072000084115659</v>
      </c>
      <c r="M365" s="364">
        <f t="shared" si="144"/>
        <v>1.0031255628163467</v>
      </c>
      <c r="N365" s="367">
        <f t="shared" si="145"/>
        <v>7.8961300877254281E-2</v>
      </c>
      <c r="O365" s="368">
        <f t="shared" si="146"/>
        <v>1.1816955637625222</v>
      </c>
      <c r="P365" s="369">
        <f t="shared" si="147"/>
        <v>0.66407831442980048</v>
      </c>
      <c r="Q365" s="370">
        <f t="shared" si="148"/>
        <v>-6.7447795970870148</v>
      </c>
      <c r="R365" s="371">
        <f t="shared" si="149"/>
        <v>-120.97775430380116</v>
      </c>
      <c r="S365" s="373">
        <f t="shared" si="150"/>
        <v>59.022245696198837</v>
      </c>
      <c r="U365" s="346">
        <f t="shared" si="156"/>
        <v>29512</v>
      </c>
      <c r="V365" s="346">
        <f t="shared" si="157"/>
        <v>870958144</v>
      </c>
      <c r="X365" s="372">
        <f t="shared" si="151"/>
        <v>23.816178170609248</v>
      </c>
      <c r="Y365" s="373">
        <f t="shared" si="152"/>
        <v>-13.891809314944574</v>
      </c>
      <c r="AA365" s="372">
        <f t="shared" si="153"/>
        <v>20.919667586858111</v>
      </c>
      <c r="AB365" s="373">
        <f t="shared" si="154"/>
        <v>-107.08594498885658</v>
      </c>
      <c r="AD365">
        <f t="shared" si="158"/>
        <v>0</v>
      </c>
      <c r="AE365">
        <f t="shared" si="161"/>
        <v>0</v>
      </c>
    </row>
    <row r="366" spans="1:31" x14ac:dyDescent="0.2">
      <c r="A366" s="374">
        <v>29684</v>
      </c>
      <c r="B366" s="391">
        <f t="shared" si="155"/>
        <v>29.684000000000001</v>
      </c>
      <c r="C366" s="364">
        <f t="shared" si="136"/>
        <v>37.994093232999774</v>
      </c>
      <c r="D366" s="365">
        <f t="shared" si="137"/>
        <v>1.5444734063900696</v>
      </c>
      <c r="E366" s="365">
        <f t="shared" si="138"/>
        <v>1.0611817891390127</v>
      </c>
      <c r="F366" s="366">
        <f t="shared" si="139"/>
        <v>0.34122448292645857</v>
      </c>
      <c r="G366" s="365">
        <f t="shared" si="140"/>
        <v>1</v>
      </c>
      <c r="H366" s="366">
        <f t="shared" si="141"/>
        <v>0</v>
      </c>
      <c r="I366" s="364">
        <f t="shared" si="142"/>
        <v>10077.637245722392</v>
      </c>
      <c r="J366" s="367">
        <f t="shared" si="143"/>
        <v>1.5706970971860847</v>
      </c>
      <c r="K366" s="375">
        <f t="shared" si="159"/>
        <v>6.1747964110998916</v>
      </c>
      <c r="L366" s="376">
        <f t="shared" si="160"/>
        <v>1.4081312651719853</v>
      </c>
      <c r="M366" s="364">
        <f t="shared" si="144"/>
        <v>1.0031620438166748</v>
      </c>
      <c r="N366" s="367">
        <f t="shared" si="145"/>
        <v>7.9419571093844801E-2</v>
      </c>
      <c r="O366" s="368">
        <f t="shared" si="146"/>
        <v>1.1836787928599009</v>
      </c>
      <c r="P366" s="369">
        <f t="shared" si="147"/>
        <v>0.66732492433482338</v>
      </c>
      <c r="Q366" s="370">
        <f t="shared" si="148"/>
        <v>-6.8058090935127469</v>
      </c>
      <c r="R366" s="371">
        <f t="shared" si="149"/>
        <v>-121.04072918656341</v>
      </c>
      <c r="S366" s="373">
        <f t="shared" si="150"/>
        <v>58.959270813436589</v>
      </c>
      <c r="U366" s="346">
        <f t="shared" si="156"/>
        <v>29684</v>
      </c>
      <c r="V366" s="346">
        <f t="shared" si="157"/>
        <v>881139856</v>
      </c>
      <c r="X366" s="372">
        <f t="shared" si="151"/>
        <v>23.81453093276594</v>
      </c>
      <c r="Y366" s="373">
        <f t="shared" si="152"/>
        <v>-13.864742317699896</v>
      </c>
      <c r="AA366" s="372">
        <f t="shared" si="153"/>
        <v>20.860285328275687</v>
      </c>
      <c r="AB366" s="373">
        <f t="shared" si="154"/>
        <v>-107.1759868688635</v>
      </c>
      <c r="AD366">
        <f t="shared" si="158"/>
        <v>0</v>
      </c>
      <c r="AE366">
        <f t="shared" si="161"/>
        <v>0</v>
      </c>
    </row>
    <row r="367" spans="1:31" x14ac:dyDescent="0.2">
      <c r="A367" s="374">
        <v>29856</v>
      </c>
      <c r="B367" s="391">
        <f t="shared" si="155"/>
        <v>29.856000000000002</v>
      </c>
      <c r="C367" s="364">
        <f t="shared" si="136"/>
        <v>38.214092897723788</v>
      </c>
      <c r="D367" s="365">
        <f t="shared" si="137"/>
        <v>1.5446249829312726</v>
      </c>
      <c r="E367" s="365">
        <f t="shared" si="138"/>
        <v>1.0618721400065074</v>
      </c>
      <c r="F367" s="366">
        <f t="shared" si="139"/>
        <v>0.34305053637506117</v>
      </c>
      <c r="G367" s="365">
        <f t="shared" si="140"/>
        <v>1</v>
      </c>
      <c r="H367" s="366">
        <f t="shared" si="141"/>
        <v>0</v>
      </c>
      <c r="I367" s="364">
        <f t="shared" si="142"/>
        <v>10136.030777229127</v>
      </c>
      <c r="J367" s="367">
        <f t="shared" si="143"/>
        <v>1.5706976688464747</v>
      </c>
      <c r="K367" s="375">
        <f t="shared" si="159"/>
        <v>6.2096396922389747</v>
      </c>
      <c r="L367" s="376">
        <f t="shared" si="160"/>
        <v>1.4090520718623607</v>
      </c>
      <c r="M367" s="364">
        <f t="shared" si="144"/>
        <v>1.003198735477312</v>
      </c>
      <c r="N367" s="367">
        <f t="shared" si="145"/>
        <v>7.9877807884502494E-2</v>
      </c>
      <c r="O367" s="368">
        <f t="shared" si="146"/>
        <v>1.1856707611680271</v>
      </c>
      <c r="P367" s="369">
        <f t="shared" si="147"/>
        <v>0.67056311136517088</v>
      </c>
      <c r="Q367" s="370">
        <f t="shared" si="148"/>
        <v>-6.8665411260533382</v>
      </c>
      <c r="R367" s="371">
        <f t="shared" si="149"/>
        <v>-121.1038526278064</v>
      </c>
      <c r="S367" s="373">
        <f t="shared" si="150"/>
        <v>58.896147372193596</v>
      </c>
      <c r="U367" s="346">
        <f t="shared" si="156"/>
        <v>29856</v>
      </c>
      <c r="V367" s="346">
        <f t="shared" si="157"/>
        <v>891380736</v>
      </c>
      <c r="X367" s="372">
        <f t="shared" si="151"/>
        <v>23.812904428213862</v>
      </c>
      <c r="Y367" s="373">
        <f t="shared" si="152"/>
        <v>-13.838271768413698</v>
      </c>
      <c r="AA367" s="372">
        <f t="shared" si="153"/>
        <v>20.801179800287176</v>
      </c>
      <c r="AB367" s="373">
        <f t="shared" si="154"/>
        <v>-107.2655808593927</v>
      </c>
      <c r="AD367">
        <f t="shared" si="158"/>
        <v>0</v>
      </c>
      <c r="AE367">
        <f t="shared" si="161"/>
        <v>0</v>
      </c>
    </row>
    <row r="368" spans="1:31" x14ac:dyDescent="0.2">
      <c r="A368" s="374">
        <v>30028</v>
      </c>
      <c r="B368" s="391">
        <f t="shared" si="155"/>
        <v>30.027999999999999</v>
      </c>
      <c r="C368" s="364">
        <f t="shared" si="136"/>
        <v>38.434093430382376</v>
      </c>
      <c r="D368" s="365">
        <f t="shared" si="137"/>
        <v>1.5447748241978121</v>
      </c>
      <c r="E368" s="365">
        <f t="shared" si="138"/>
        <v>1.0625660270482824</v>
      </c>
      <c r="F368" s="366">
        <f t="shared" si="139"/>
        <v>0.34487421096423521</v>
      </c>
      <c r="G368" s="365">
        <f t="shared" si="140"/>
        <v>1</v>
      </c>
      <c r="H368" s="366">
        <f t="shared" si="141"/>
        <v>0</v>
      </c>
      <c r="I368" s="364">
        <f t="shared" si="142"/>
        <v>10194.424308739137</v>
      </c>
      <c r="J368" s="367">
        <f t="shared" si="143"/>
        <v>1.5706982339579381</v>
      </c>
      <c r="K368" s="375">
        <f t="shared" si="159"/>
        <v>6.2444881796791325</v>
      </c>
      <c r="L368" s="376">
        <f t="shared" si="160"/>
        <v>1.4099626018634768</v>
      </c>
      <c r="M368" s="364">
        <f t="shared" si="144"/>
        <v>1.0032356377751448</v>
      </c>
      <c r="N368" s="367">
        <f t="shared" si="145"/>
        <v>8.033601106046348E-2</v>
      </c>
      <c r="O368" s="368">
        <f t="shared" si="146"/>
        <v>1.1876714344415182</v>
      </c>
      <c r="P368" s="369">
        <f t="shared" si="147"/>
        <v>0.67379288042854546</v>
      </c>
      <c r="Q368" s="370">
        <f t="shared" si="148"/>
        <v>-6.9269791522261661</v>
      </c>
      <c r="R368" s="371">
        <f t="shared" si="149"/>
        <v>-121.16711713947652</v>
      </c>
      <c r="S368" s="373">
        <f t="shared" si="150"/>
        <v>58.832882860523483</v>
      </c>
      <c r="U368" s="346">
        <f t="shared" si="156"/>
        <v>30028</v>
      </c>
      <c r="V368" s="346">
        <f t="shared" si="157"/>
        <v>901680784</v>
      </c>
      <c r="X368" s="372">
        <f t="shared" si="151"/>
        <v>23.81129815329821</v>
      </c>
      <c r="Y368" s="373">
        <f t="shared" si="152"/>
        <v>-13.81238772884398</v>
      </c>
      <c r="AA368" s="372">
        <f t="shared" si="153"/>
        <v>20.742348049029999</v>
      </c>
      <c r="AB368" s="373">
        <f t="shared" si="154"/>
        <v>-107.35472941063252</v>
      </c>
      <c r="AD368">
        <f t="shared" si="158"/>
        <v>0</v>
      </c>
      <c r="AE368">
        <f t="shared" si="161"/>
        <v>0</v>
      </c>
    </row>
    <row r="369" spans="1:31" x14ac:dyDescent="0.2">
      <c r="A369" s="374">
        <v>30200</v>
      </c>
      <c r="B369" s="391">
        <f t="shared" si="155"/>
        <v>30.2</v>
      </c>
      <c r="C369" s="364">
        <f t="shared" si="136"/>
        <v>38.654094816155933</v>
      </c>
      <c r="D369" s="365">
        <f t="shared" si="137"/>
        <v>1.5449229598120648</v>
      </c>
      <c r="E369" s="365">
        <f t="shared" si="138"/>
        <v>1.0632634433412023</v>
      </c>
      <c r="F369" s="366">
        <f t="shared" si="139"/>
        <v>0.34669549923291593</v>
      </c>
      <c r="G369" s="365">
        <f t="shared" si="140"/>
        <v>1</v>
      </c>
      <c r="H369" s="366">
        <f t="shared" si="141"/>
        <v>0</v>
      </c>
      <c r="I369" s="364">
        <f t="shared" si="142"/>
        <v>10252.817840252363</v>
      </c>
      <c r="J369" s="367">
        <f t="shared" si="143"/>
        <v>1.5706987926323701</v>
      </c>
      <c r="K369" s="375">
        <f t="shared" si="159"/>
        <v>6.2793417867400771</v>
      </c>
      <c r="L369" s="376">
        <f t="shared" si="160"/>
        <v>1.4108630247757312</v>
      </c>
      <c r="M369" s="364">
        <f t="shared" si="144"/>
        <v>1.0032727506869301</v>
      </c>
      <c r="N369" s="367">
        <f t="shared" si="145"/>
        <v>8.0794180433047993E-2</v>
      </c>
      <c r="O369" s="368">
        <f t="shared" si="146"/>
        <v>1.1896807785298698</v>
      </c>
      <c r="P369" s="369">
        <f t="shared" si="147"/>
        <v>0.67701423684169237</v>
      </c>
      <c r="Q369" s="370">
        <f t="shared" si="148"/>
        <v>-6.9871265614512517</v>
      </c>
      <c r="R369" s="371">
        <f t="shared" si="149"/>
        <v>-121.2305154291391</v>
      </c>
      <c r="S369" s="373">
        <f t="shared" si="150"/>
        <v>58.769484570860897</v>
      </c>
      <c r="U369" s="346">
        <f t="shared" si="156"/>
        <v>30200</v>
      </c>
      <c r="V369" s="346">
        <f t="shared" si="157"/>
        <v>912040000</v>
      </c>
      <c r="X369" s="372">
        <f t="shared" si="151"/>
        <v>23.809711618315468</v>
      </c>
      <c r="Y369" s="373">
        <f t="shared" si="152"/>
        <v>-13.787080477204341</v>
      </c>
      <c r="AA369" s="372">
        <f t="shared" si="153"/>
        <v>20.683787174787653</v>
      </c>
      <c r="AB369" s="373">
        <f t="shared" si="154"/>
        <v>-107.44343495193479</v>
      </c>
      <c r="AD369">
        <f t="shared" si="158"/>
        <v>0</v>
      </c>
      <c r="AE369">
        <f t="shared" si="161"/>
        <v>0</v>
      </c>
    </row>
    <row r="370" spans="1:31" x14ac:dyDescent="0.2">
      <c r="A370" s="374">
        <v>30375.75</v>
      </c>
      <c r="B370" s="391">
        <f t="shared" si="155"/>
        <v>30.37575</v>
      </c>
      <c r="C370" s="364">
        <f t="shared" si="136"/>
        <v>38.878893609919871</v>
      </c>
      <c r="D370" s="365">
        <f t="shared" si="137"/>
        <v>1.5450725934082055</v>
      </c>
      <c r="E370" s="365">
        <f t="shared" si="138"/>
        <v>1.0639797032190148</v>
      </c>
      <c r="F370" s="366">
        <f t="shared" si="139"/>
        <v>0.34855402321655954</v>
      </c>
      <c r="G370" s="365">
        <f t="shared" si="140"/>
        <v>1</v>
      </c>
      <c r="H370" s="366">
        <f t="shared" si="141"/>
        <v>0</v>
      </c>
      <c r="I370" s="364">
        <f t="shared" si="142"/>
        <v>10312.484486554758</v>
      </c>
      <c r="J370" s="367">
        <f t="shared" si="143"/>
        <v>1.5706993569518999</v>
      </c>
      <c r="K370" s="375">
        <f t="shared" si="159"/>
        <v>6.3149604835592594</v>
      </c>
      <c r="L370" s="376">
        <f t="shared" si="160"/>
        <v>1.4117728115857258</v>
      </c>
      <c r="M370" s="364">
        <f t="shared" si="144"/>
        <v>1.0033108902740036</v>
      </c>
      <c r="N370" s="367">
        <f t="shared" si="145"/>
        <v>8.1262303850343193E-2</v>
      </c>
      <c r="O370" s="368">
        <f t="shared" si="146"/>
        <v>1.1917428520030009</v>
      </c>
      <c r="P370" s="369">
        <f t="shared" si="147"/>
        <v>0.68029714249702522</v>
      </c>
      <c r="Q370" s="370">
        <f t="shared" si="148"/>
        <v>-7.0482885909975295</v>
      </c>
      <c r="R370" s="371">
        <f t="shared" si="149"/>
        <v>-121.29542674570935</v>
      </c>
      <c r="S370" s="373">
        <f t="shared" si="150"/>
        <v>58.704573254290651</v>
      </c>
      <c r="U370" s="346">
        <f t="shared" si="156"/>
        <v>30375.75</v>
      </c>
      <c r="V370" s="346">
        <f t="shared" si="157"/>
        <v>922686188.0625</v>
      </c>
      <c r="X370" s="372">
        <f t="shared" si="151"/>
        <v>23.808110387971382</v>
      </c>
      <c r="Y370" s="373">
        <f t="shared" si="152"/>
        <v>-13.761807361935713</v>
      </c>
      <c r="AA370" s="372">
        <f t="shared" si="153"/>
        <v>20.624226375585462</v>
      </c>
      <c r="AB370" s="373">
        <f t="shared" si="154"/>
        <v>-107.53361938377363</v>
      </c>
      <c r="AD370">
        <f t="shared" si="158"/>
        <v>0</v>
      </c>
      <c r="AE370">
        <f t="shared" si="161"/>
        <v>0</v>
      </c>
    </row>
    <row r="371" spans="1:31" x14ac:dyDescent="0.2">
      <c r="A371" s="374">
        <v>30551.5</v>
      </c>
      <c r="B371" s="391">
        <f t="shared" si="155"/>
        <v>30.551500000000001</v>
      </c>
      <c r="C371" s="364">
        <f t="shared" si="136"/>
        <v>39.1036932641818</v>
      </c>
      <c r="D371" s="365">
        <f t="shared" si="137"/>
        <v>1.5452205065777707</v>
      </c>
      <c r="E371" s="365">
        <f t="shared" si="138"/>
        <v>1.0646996332491112</v>
      </c>
      <c r="F371" s="366">
        <f t="shared" si="139"/>
        <v>0.35041004020539207</v>
      </c>
      <c r="G371" s="365">
        <f t="shared" si="140"/>
        <v>1</v>
      </c>
      <c r="H371" s="366">
        <f t="shared" si="141"/>
        <v>0</v>
      </c>
      <c r="I371" s="364">
        <f t="shared" si="142"/>
        <v>10372.151132860399</v>
      </c>
      <c r="J371" s="367">
        <f t="shared" si="143"/>
        <v>1.5706999147788414</v>
      </c>
      <c r="K371" s="375">
        <f t="shared" si="159"/>
        <v>6.3505843487114699</v>
      </c>
      <c r="L371" s="376">
        <f t="shared" si="160"/>
        <v>1.412672392160008</v>
      </c>
      <c r="M371" s="364">
        <f t="shared" si="144"/>
        <v>1.0033492497094143</v>
      </c>
      <c r="N371" s="367">
        <f t="shared" si="145"/>
        <v>8.1730391576191525E-2</v>
      </c>
      <c r="O371" s="368">
        <f t="shared" si="146"/>
        <v>1.1938139067215348</v>
      </c>
      <c r="P371" s="369">
        <f t="shared" si="147"/>
        <v>0.68357127717680888</v>
      </c>
      <c r="Q371" s="370">
        <f t="shared" si="148"/>
        <v>-7.1091541380557279</v>
      </c>
      <c r="R371" s="371">
        <f t="shared" si="149"/>
        <v>-121.36046294670257</v>
      </c>
      <c r="S371" s="373">
        <f t="shared" si="150"/>
        <v>58.639537053297431</v>
      </c>
      <c r="U371" s="346">
        <f t="shared" si="156"/>
        <v>30551.5</v>
      </c>
      <c r="V371" s="346">
        <f t="shared" si="157"/>
        <v>933394152.25</v>
      </c>
      <c r="X371" s="372">
        <f t="shared" si="151"/>
        <v>23.80652877657182</v>
      </c>
      <c r="Y371" s="373">
        <f t="shared" si="152"/>
        <v>-13.737116603931607</v>
      </c>
      <c r="AA371" s="372">
        <f t="shared" si="153"/>
        <v>20.564942439926831</v>
      </c>
      <c r="AB371" s="373">
        <f t="shared" si="154"/>
        <v>-107.62334634277099</v>
      </c>
      <c r="AD371">
        <f t="shared" si="158"/>
        <v>0</v>
      </c>
      <c r="AE371">
        <f t="shared" si="161"/>
        <v>0</v>
      </c>
    </row>
    <row r="372" spans="1:31" x14ac:dyDescent="0.2">
      <c r="A372" s="374">
        <v>30727.25</v>
      </c>
      <c r="B372" s="391">
        <f t="shared" si="155"/>
        <v>30.727250000000002</v>
      </c>
      <c r="C372" s="364">
        <f t="shared" si="136"/>
        <v>39.328493764186028</v>
      </c>
      <c r="D372" s="365">
        <f t="shared" si="137"/>
        <v>1.5453667288159534</v>
      </c>
      <c r="E372" s="365">
        <f t="shared" si="138"/>
        <v>1.065423225991482</v>
      </c>
      <c r="F372" s="366">
        <f t="shared" si="139"/>
        <v>0.35226354250729613</v>
      </c>
      <c r="G372" s="365">
        <f t="shared" si="140"/>
        <v>1</v>
      </c>
      <c r="H372" s="366">
        <f t="shared" si="141"/>
        <v>0</v>
      </c>
      <c r="I372" s="364">
        <f t="shared" si="142"/>
        <v>10431.817779169231</v>
      </c>
      <c r="J372" s="367">
        <f t="shared" si="143"/>
        <v>1.5707004662246009</v>
      </c>
      <c r="K372" s="375">
        <f t="shared" si="159"/>
        <v>6.3862132957060185</v>
      </c>
      <c r="L372" s="376">
        <f t="shared" si="160"/>
        <v>1.4135619358533242</v>
      </c>
      <c r="M372" s="364">
        <f t="shared" si="144"/>
        <v>1.0033878289679485</v>
      </c>
      <c r="N372" s="367">
        <f t="shared" si="145"/>
        <v>8.2198443409576466E-2</v>
      </c>
      <c r="O372" s="368">
        <f t="shared" si="146"/>
        <v>1.1958939065700922</v>
      </c>
      <c r="P372" s="369">
        <f t="shared" si="147"/>
        <v>0.68683664783832332</v>
      </c>
      <c r="Q372" s="370">
        <f t="shared" si="148"/>
        <v>-7.1697266095530399</v>
      </c>
      <c r="R372" s="371">
        <f t="shared" si="149"/>
        <v>-121.42561685297109</v>
      </c>
      <c r="S372" s="373">
        <f t="shared" si="150"/>
        <v>58.574383147028911</v>
      </c>
      <c r="U372" s="346">
        <f t="shared" si="156"/>
        <v>30727.25</v>
      </c>
      <c r="V372" s="346">
        <f t="shared" si="157"/>
        <v>944163892.5625</v>
      </c>
      <c r="X372" s="372">
        <f t="shared" si="151"/>
        <v>23.804966303899096</v>
      </c>
      <c r="Y372" s="373">
        <f t="shared" si="152"/>
        <v>-13.712998494745506</v>
      </c>
      <c r="AA372" s="372">
        <f t="shared" si="153"/>
        <v>20.505932441102242</v>
      </c>
      <c r="AB372" s="373">
        <f t="shared" si="154"/>
        <v>-107.71261835822555</v>
      </c>
      <c r="AD372">
        <f t="shared" si="158"/>
        <v>0</v>
      </c>
      <c r="AE372">
        <f t="shared" si="161"/>
        <v>0</v>
      </c>
    </row>
    <row r="373" spans="1:31" x14ac:dyDescent="0.2">
      <c r="A373" s="374">
        <v>30903</v>
      </c>
      <c r="B373" s="391">
        <f t="shared" si="155"/>
        <v>30.902999999999999</v>
      </c>
      <c r="C373" s="364">
        <f t="shared" si="136"/>
        <v>39.553295095512262</v>
      </c>
      <c r="D373" s="365">
        <f t="shared" si="137"/>
        <v>1.5455112889476954</v>
      </c>
      <c r="E373" s="365">
        <f t="shared" si="138"/>
        <v>1.0661504739885159</v>
      </c>
      <c r="F373" s="366">
        <f t="shared" si="139"/>
        <v>0.35411452252009651</v>
      </c>
      <c r="G373" s="365">
        <f t="shared" si="140"/>
        <v>1</v>
      </c>
      <c r="H373" s="366">
        <f t="shared" si="141"/>
        <v>0</v>
      </c>
      <c r="I373" s="364">
        <f t="shared" si="142"/>
        <v>10491.484425481198</v>
      </c>
      <c r="J373" s="367">
        <f t="shared" si="143"/>
        <v>1.5707010113980511</v>
      </c>
      <c r="K373" s="375">
        <f t="shared" si="159"/>
        <v>6.4218472399594448</v>
      </c>
      <c r="L373" s="376">
        <f t="shared" si="160"/>
        <v>1.4144416083258606</v>
      </c>
      <c r="M373" s="364">
        <f t="shared" si="144"/>
        <v>1.003426628024251</v>
      </c>
      <c r="N373" s="367">
        <f t="shared" si="145"/>
        <v>8.2666459149575267E-2</v>
      </c>
      <c r="O373" s="368">
        <f t="shared" si="146"/>
        <v>1.197982815543936</v>
      </c>
      <c r="P373" s="369">
        <f t="shared" si="147"/>
        <v>0.69009326185898612</v>
      </c>
      <c r="Q373" s="370">
        <f t="shared" si="148"/>
        <v>-7.230009345596482</v>
      </c>
      <c r="R373" s="371">
        <f t="shared" si="149"/>
        <v>-121.49088147742614</v>
      </c>
      <c r="S373" s="373">
        <f t="shared" si="150"/>
        <v>58.509118522573857</v>
      </c>
      <c r="U373" s="346">
        <f t="shared" si="156"/>
        <v>30903</v>
      </c>
      <c r="V373" s="346">
        <f t="shared" si="157"/>
        <v>954995409</v>
      </c>
      <c r="X373" s="372">
        <f t="shared" si="151"/>
        <v>23.803422503035417</v>
      </c>
      <c r="Y373" s="373">
        <f t="shared" si="152"/>
        <v>-13.689443537473849</v>
      </c>
      <c r="AA373" s="372">
        <f t="shared" si="153"/>
        <v>20.447193505922474</v>
      </c>
      <c r="AB373" s="373">
        <f t="shared" si="154"/>
        <v>-107.80143793995229</v>
      </c>
      <c r="AD373">
        <f t="shared" si="158"/>
        <v>0</v>
      </c>
      <c r="AE373">
        <f t="shared" si="161"/>
        <v>0</v>
      </c>
    </row>
    <row r="374" spans="1:31" x14ac:dyDescent="0.2">
      <c r="A374" s="374">
        <v>31083</v>
      </c>
      <c r="B374" s="391">
        <f t="shared" si="155"/>
        <v>31.082999999999998</v>
      </c>
      <c r="C374" s="364">
        <f t="shared" si="136"/>
        <v>39.783533436894686</v>
      </c>
      <c r="D374" s="365">
        <f t="shared" si="137"/>
        <v>1.5456576513966329</v>
      </c>
      <c r="E374" s="365">
        <f t="shared" si="138"/>
        <v>1.0668990894525745</v>
      </c>
      <c r="F374" s="366">
        <f t="shared" si="139"/>
        <v>0.35600764070661511</v>
      </c>
      <c r="G374" s="365">
        <f t="shared" si="140"/>
        <v>1</v>
      </c>
      <c r="H374" s="366">
        <f t="shared" si="141"/>
        <v>0</v>
      </c>
      <c r="I374" s="364">
        <f t="shared" si="142"/>
        <v>10552.59393522069</v>
      </c>
      <c r="J374" s="367">
        <f t="shared" si="143"/>
        <v>1.5707015633644419</v>
      </c>
      <c r="K374" s="375">
        <f t="shared" si="159"/>
        <v>6.4583479805431789</v>
      </c>
      <c r="L374" s="376">
        <f t="shared" si="160"/>
        <v>1.4153324902616227</v>
      </c>
      <c r="M374" s="364">
        <f t="shared" si="144"/>
        <v>1.0034665931304552</v>
      </c>
      <c r="N374" s="367">
        <f t="shared" si="145"/>
        <v>8.3145754859140428E-2</v>
      </c>
      <c r="O374" s="368">
        <f t="shared" si="146"/>
        <v>1.2001314360629862</v>
      </c>
      <c r="P374" s="369">
        <f t="shared" si="147"/>
        <v>0.6934195588819061</v>
      </c>
      <c r="Q374" s="370">
        <f t="shared" si="148"/>
        <v>-7.2914529353490432</v>
      </c>
      <c r="R374" s="371">
        <f t="shared" si="149"/>
        <v>-121.55783199839705</v>
      </c>
      <c r="S374" s="373">
        <f t="shared" si="150"/>
        <v>58.442168001602951</v>
      </c>
      <c r="U374" s="346">
        <f t="shared" si="156"/>
        <v>31083</v>
      </c>
      <c r="V374" s="346">
        <f t="shared" si="157"/>
        <v>966152889</v>
      </c>
      <c r="X374" s="372">
        <f t="shared" si="151"/>
        <v>23.801860250041074</v>
      </c>
      <c r="Y374" s="373">
        <f t="shared" si="152"/>
        <v>-13.665893009124755</v>
      </c>
      <c r="AA374" s="372">
        <f t="shared" si="153"/>
        <v>20.387312169164261</v>
      </c>
      <c r="AB374" s="373">
        <f t="shared" si="154"/>
        <v>-107.89193898927229</v>
      </c>
      <c r="AD374">
        <f t="shared" si="158"/>
        <v>0</v>
      </c>
      <c r="AE374">
        <f t="shared" si="161"/>
        <v>0</v>
      </c>
    </row>
    <row r="375" spans="1:31" x14ac:dyDescent="0.2">
      <c r="A375" s="374">
        <v>31263</v>
      </c>
      <c r="B375" s="391">
        <f t="shared" si="155"/>
        <v>31.263000000000002</v>
      </c>
      <c r="C375" s="364">
        <f t="shared" si="136"/>
        <v>40.013772620711052</v>
      </c>
      <c r="D375" s="365">
        <f t="shared" si="137"/>
        <v>1.5458023295100445</v>
      </c>
      <c r="E375" s="365">
        <f t="shared" si="138"/>
        <v>1.0676515232023855</v>
      </c>
      <c r="F375" s="366">
        <f t="shared" si="139"/>
        <v>0.35789809728783317</v>
      </c>
      <c r="G375" s="365">
        <f t="shared" si="140"/>
        <v>1</v>
      </c>
      <c r="H375" s="366">
        <f t="shared" si="141"/>
        <v>0</v>
      </c>
      <c r="I375" s="364">
        <f t="shared" si="142"/>
        <v>10613.703444963359</v>
      </c>
      <c r="J375" s="367">
        <f t="shared" si="143"/>
        <v>1.5707021089748241</v>
      </c>
      <c r="K375" s="375">
        <f t="shared" si="159"/>
        <v>6.4948537893121543</v>
      </c>
      <c r="L375" s="376">
        <f t="shared" si="160"/>
        <v>1.4162133580792786</v>
      </c>
      <c r="M375" s="364">
        <f t="shared" si="144"/>
        <v>1.0035067887390057</v>
      </c>
      <c r="N375" s="367">
        <f t="shared" si="145"/>
        <v>8.362501228227838E-2</v>
      </c>
      <c r="O375" s="368">
        <f t="shared" si="146"/>
        <v>1.2022893257149678</v>
      </c>
      <c r="P375" s="369">
        <f t="shared" si="147"/>
        <v>0.69673668762287544</v>
      </c>
      <c r="Q375" s="370">
        <f t="shared" si="148"/>
        <v>-7.3525994919350479</v>
      </c>
      <c r="R375" s="371">
        <f t="shared" si="149"/>
        <v>-121.62488441782033</v>
      </c>
      <c r="S375" s="373">
        <f t="shared" si="150"/>
        <v>58.375115582179674</v>
      </c>
      <c r="U375" s="346">
        <f t="shared" si="156"/>
        <v>31263</v>
      </c>
      <c r="V375" s="346">
        <f t="shared" si="157"/>
        <v>977375169</v>
      </c>
      <c r="X375" s="372">
        <f t="shared" si="151"/>
        <v>23.800316632317916</v>
      </c>
      <c r="Y375" s="373">
        <f t="shared" si="152"/>
        <v>-13.642913689656195</v>
      </c>
      <c r="AA375" s="372">
        <f t="shared" si="153"/>
        <v>20.327709230301416</v>
      </c>
      <c r="AB375" s="373">
        <f t="shared" si="154"/>
        <v>-107.98197072816413</v>
      </c>
      <c r="AD375">
        <f t="shared" si="158"/>
        <v>0</v>
      </c>
      <c r="AE375">
        <f t="shared" si="161"/>
        <v>0</v>
      </c>
    </row>
    <row r="376" spans="1:31" x14ac:dyDescent="0.2">
      <c r="A376" s="374">
        <v>31443</v>
      </c>
      <c r="B376" s="391">
        <f t="shared" si="155"/>
        <v>31.443000000000001</v>
      </c>
      <c r="C376" s="364">
        <f t="shared" si="136"/>
        <v>40.244012632502482</v>
      </c>
      <c r="D376" s="365">
        <f t="shared" si="137"/>
        <v>1.5459453521905762</v>
      </c>
      <c r="E376" s="365">
        <f t="shared" si="138"/>
        <v>1.0684077671707841</v>
      </c>
      <c r="F376" s="366">
        <f t="shared" si="139"/>
        <v>0.35978588438910236</v>
      </c>
      <c r="G376" s="365">
        <f t="shared" si="140"/>
        <v>1</v>
      </c>
      <c r="H376" s="366">
        <f t="shared" si="141"/>
        <v>0</v>
      </c>
      <c r="I376" s="364">
        <f t="shared" si="142"/>
        <v>10674.812954709152</v>
      </c>
      <c r="J376" s="367">
        <f t="shared" si="143"/>
        <v>1.5707026483383555</v>
      </c>
      <c r="K376" s="375">
        <f t="shared" si="159"/>
        <v>6.5313645812834231</v>
      </c>
      <c r="L376" s="376">
        <f t="shared" si="160"/>
        <v>1.4170843783391531</v>
      </c>
      <c r="M376" s="364">
        <f t="shared" si="144"/>
        <v>1.0035472148222049</v>
      </c>
      <c r="N376" s="367">
        <f t="shared" si="145"/>
        <v>8.410423120344393E-2</v>
      </c>
      <c r="O376" s="368">
        <f t="shared" si="146"/>
        <v>1.2044564461915104</v>
      </c>
      <c r="P376" s="369">
        <f t="shared" si="147"/>
        <v>0.70004465733566934</v>
      </c>
      <c r="Q376" s="370">
        <f t="shared" si="148"/>
        <v>-7.4134523968848409</v>
      </c>
      <c r="R376" s="371">
        <f t="shared" si="149"/>
        <v>-121.69203182378274</v>
      </c>
      <c r="S376" s="373">
        <f t="shared" si="150"/>
        <v>58.307968176217258</v>
      </c>
      <c r="U376" s="346">
        <f t="shared" si="156"/>
        <v>31443</v>
      </c>
      <c r="V376" s="346">
        <f t="shared" si="157"/>
        <v>988662249</v>
      </c>
      <c r="X376" s="372">
        <f t="shared" si="151"/>
        <v>23.798791188824598</v>
      </c>
      <c r="Y376" s="373">
        <f t="shared" si="152"/>
        <v>-13.620496029768953</v>
      </c>
      <c r="AA376" s="372">
        <f t="shared" si="153"/>
        <v>20.268381768844932</v>
      </c>
      <c r="AB376" s="373">
        <f t="shared" si="154"/>
        <v>-108.07153579401381</v>
      </c>
      <c r="AD376">
        <f t="shared" si="158"/>
        <v>0</v>
      </c>
      <c r="AE376">
        <f t="shared" si="161"/>
        <v>0</v>
      </c>
    </row>
    <row r="377" spans="1:31" x14ac:dyDescent="0.2">
      <c r="A377" s="374">
        <v>31623</v>
      </c>
      <c r="B377" s="391">
        <f t="shared" si="155"/>
        <v>31.623000000000001</v>
      </c>
      <c r="C377" s="364">
        <f t="shared" si="136"/>
        <v>40.474253458139017</v>
      </c>
      <c r="D377" s="365">
        <f t="shared" si="137"/>
        <v>1.5460867476834881</v>
      </c>
      <c r="E377" s="365">
        <f t="shared" si="138"/>
        <v>1.0691678132726372</v>
      </c>
      <c r="F377" s="366">
        <f t="shared" si="139"/>
        <v>0.36167099423410359</v>
      </c>
      <c r="G377" s="365">
        <f t="shared" si="140"/>
        <v>1</v>
      </c>
      <c r="H377" s="366">
        <f t="shared" si="141"/>
        <v>0</v>
      </c>
      <c r="I377" s="364">
        <f t="shared" si="142"/>
        <v>10735.922464458017</v>
      </c>
      <c r="J377" s="367">
        <f t="shared" si="143"/>
        <v>1.5707031815617081</v>
      </c>
      <c r="K377" s="375">
        <f t="shared" si="159"/>
        <v>6.5678802733522454</v>
      </c>
      <c r="L377" s="376">
        <f t="shared" si="160"/>
        <v>1.4179457139579752</v>
      </c>
      <c r="M377" s="364">
        <f t="shared" si="144"/>
        <v>1.0035878713522013</v>
      </c>
      <c r="N377" s="367">
        <f t="shared" si="145"/>
        <v>8.4583411407197162E-2</v>
      </c>
      <c r="O377" s="368">
        <f t="shared" si="146"/>
        <v>1.206632759313363</v>
      </c>
      <c r="P377" s="369">
        <f t="shared" si="147"/>
        <v>0.7033434777078259</v>
      </c>
      <c r="Q377" s="370">
        <f t="shared" si="148"/>
        <v>-7.4740149655609223</v>
      </c>
      <c r="R377" s="371">
        <f t="shared" si="149"/>
        <v>-121.75926749455095</v>
      </c>
      <c r="S377" s="373">
        <f t="shared" si="150"/>
        <v>58.240732505449046</v>
      </c>
      <c r="U377" s="346">
        <f t="shared" si="156"/>
        <v>31623</v>
      </c>
      <c r="V377" s="346">
        <f t="shared" si="157"/>
        <v>1000014129</v>
      </c>
      <c r="X377" s="372">
        <f t="shared" si="151"/>
        <v>23.797283471315438</v>
      </c>
      <c r="Y377" s="373">
        <f t="shared" si="152"/>
        <v>-13.598630688790102</v>
      </c>
      <c r="AA377" s="372">
        <f t="shared" si="153"/>
        <v>20.209326917678009</v>
      </c>
      <c r="AB377" s="373">
        <f t="shared" si="154"/>
        <v>-108.16063680576086</v>
      </c>
      <c r="AD377">
        <f t="shared" si="158"/>
        <v>0</v>
      </c>
      <c r="AE377">
        <f t="shared" si="161"/>
        <v>0</v>
      </c>
    </row>
    <row r="378" spans="1:31" x14ac:dyDescent="0.2">
      <c r="A378" s="374">
        <v>31807</v>
      </c>
      <c r="B378" s="391">
        <f t="shared" si="155"/>
        <v>31.806999999999999</v>
      </c>
      <c r="C378" s="364">
        <f t="shared" si="136"/>
        <v>40.709611573363745</v>
      </c>
      <c r="D378" s="365">
        <f t="shared" si="137"/>
        <v>1.5462296322107185</v>
      </c>
      <c r="E378" s="365">
        <f t="shared" si="138"/>
        <v>1.0699486706609196</v>
      </c>
      <c r="F378" s="366">
        <f t="shared" si="139"/>
        <v>0.36359522025557978</v>
      </c>
      <c r="G378" s="365">
        <f t="shared" si="140"/>
        <v>1</v>
      </c>
      <c r="H378" s="366">
        <f t="shared" si="141"/>
        <v>0</v>
      </c>
      <c r="I378" s="364">
        <f t="shared" si="142"/>
        <v>10798.389963315529</v>
      </c>
      <c r="J378" s="367">
        <f t="shared" si="143"/>
        <v>1.5707037203966441</v>
      </c>
      <c r="K378" s="375">
        <f t="shared" si="159"/>
        <v>6.6052124052697634</v>
      </c>
      <c r="L378" s="376">
        <f t="shared" si="160"/>
        <v>1.4188163464378738</v>
      </c>
      <c r="M378" s="364">
        <f t="shared" si="144"/>
        <v>1.0036296695167379</v>
      </c>
      <c r="N378" s="367">
        <f t="shared" si="145"/>
        <v>8.5073199818157225E-2</v>
      </c>
      <c r="O378" s="368">
        <f t="shared" si="146"/>
        <v>1.2088668966690503</v>
      </c>
      <c r="P378" s="369">
        <f t="shared" si="147"/>
        <v>0.70670615915529111</v>
      </c>
      <c r="Q378" s="370">
        <f t="shared" si="148"/>
        <v>-7.5356266678632888</v>
      </c>
      <c r="R378" s="371">
        <f t="shared" si="149"/>
        <v>-121.82808171508938</v>
      </c>
      <c r="S378" s="373">
        <f t="shared" si="150"/>
        <v>58.171918284910618</v>
      </c>
      <c r="U378" s="346">
        <f t="shared" si="156"/>
        <v>31807</v>
      </c>
      <c r="V378" s="346">
        <f t="shared" si="157"/>
        <v>1011685249</v>
      </c>
      <c r="X378" s="372">
        <f t="shared" si="151"/>
        <v>23.795760116424155</v>
      </c>
      <c r="Y378" s="373">
        <f t="shared" si="152"/>
        <v>-13.576840803930121</v>
      </c>
      <c r="AA378" s="372">
        <f t="shared" si="153"/>
        <v>20.149238570266931</v>
      </c>
      <c r="AB378" s="373">
        <f t="shared" si="154"/>
        <v>-108.25124091115929</v>
      </c>
      <c r="AD378">
        <f t="shared" si="158"/>
        <v>0</v>
      </c>
      <c r="AE378">
        <f t="shared" si="161"/>
        <v>0</v>
      </c>
    </row>
    <row r="379" spans="1:31" x14ac:dyDescent="0.2">
      <c r="A379" s="374">
        <v>31991</v>
      </c>
      <c r="B379" s="391">
        <f t="shared" si="155"/>
        <v>31.991</v>
      </c>
      <c r="C379" s="364">
        <f t="shared" si="136"/>
        <v>40.944970510160509</v>
      </c>
      <c r="D379" s="365">
        <f t="shared" si="137"/>
        <v>1.5463708740897055</v>
      </c>
      <c r="E379" s="365">
        <f t="shared" si="138"/>
        <v>1.0707334839033462</v>
      </c>
      <c r="F379" s="366">
        <f t="shared" si="139"/>
        <v>0.36551663259099487</v>
      </c>
      <c r="G379" s="365">
        <f t="shared" si="140"/>
        <v>1</v>
      </c>
      <c r="H379" s="366">
        <f t="shared" si="141"/>
        <v>0</v>
      </c>
      <c r="I379" s="364">
        <f t="shared" si="142"/>
        <v>10860.857462176142</v>
      </c>
      <c r="J379" s="367">
        <f t="shared" si="143"/>
        <v>1.5707042530332351</v>
      </c>
      <c r="K379" s="375">
        <f t="shared" si="159"/>
        <v>6.6425494876646649</v>
      </c>
      <c r="L379" s="376">
        <f t="shared" si="160"/>
        <v>1.4196771920942794</v>
      </c>
      <c r="M379" s="364">
        <f t="shared" si="144"/>
        <v>1.0036717084246061</v>
      </c>
      <c r="N379" s="367">
        <f t="shared" si="145"/>
        <v>8.5562947316905211E-2</v>
      </c>
      <c r="O379" s="368">
        <f t="shared" si="146"/>
        <v>1.2111105595154323</v>
      </c>
      <c r="P379" s="369">
        <f t="shared" si="147"/>
        <v>0.7100593019334851</v>
      </c>
      <c r="Q379" s="370">
        <f t="shared" si="148"/>
        <v>-7.5969417881439245</v>
      </c>
      <c r="R379" s="371">
        <f t="shared" si="149"/>
        <v>-121.89697455010602</v>
      </c>
      <c r="S379" s="373">
        <f t="shared" si="150"/>
        <v>58.103025449893977</v>
      </c>
      <c r="U379" s="346">
        <f t="shared" si="156"/>
        <v>31991</v>
      </c>
      <c r="V379" s="346">
        <f t="shared" si="157"/>
        <v>1023424081</v>
      </c>
      <c r="X379" s="372">
        <f t="shared" si="151"/>
        <v>23.794254376021506</v>
      </c>
      <c r="Y379" s="373">
        <f t="shared" si="152"/>
        <v>-13.555608963515677</v>
      </c>
      <c r="AA379" s="372">
        <f t="shared" si="153"/>
        <v>20.089429190388948</v>
      </c>
      <c r="AB379" s="373">
        <f t="shared" si="154"/>
        <v>-108.34136558659036</v>
      </c>
      <c r="AD379">
        <f t="shared" si="158"/>
        <v>0</v>
      </c>
      <c r="AE379">
        <f t="shared" si="161"/>
        <v>0</v>
      </c>
    </row>
    <row r="380" spans="1:31" x14ac:dyDescent="0.2">
      <c r="A380" s="374">
        <v>32175</v>
      </c>
      <c r="B380" s="391">
        <f t="shared" si="155"/>
        <v>32.174999999999997</v>
      </c>
      <c r="C380" s="364">
        <f t="shared" si="136"/>
        <v>41.180330254442651</v>
      </c>
      <c r="D380" s="365">
        <f t="shared" si="137"/>
        <v>1.5465105014796632</v>
      </c>
      <c r="E380" s="365">
        <f t="shared" si="138"/>
        <v>1.0715222443077783</v>
      </c>
      <c r="F380" s="366">
        <f t="shared" si="139"/>
        <v>0.36743522325141037</v>
      </c>
      <c r="G380" s="365">
        <f t="shared" si="140"/>
        <v>1</v>
      </c>
      <c r="H380" s="366">
        <f t="shared" si="141"/>
        <v>0</v>
      </c>
      <c r="I380" s="364">
        <f t="shared" si="142"/>
        <v>10923.324961039798</v>
      </c>
      <c r="J380" s="367">
        <f t="shared" si="143"/>
        <v>1.5707047795778208</v>
      </c>
      <c r="K380" s="375">
        <f t="shared" si="159"/>
        <v>6.6798914375252529</v>
      </c>
      <c r="L380" s="376">
        <f t="shared" si="160"/>
        <v>1.4205284137714995</v>
      </c>
      <c r="M380" s="364">
        <f t="shared" si="144"/>
        <v>1.0037139880455568</v>
      </c>
      <c r="N380" s="367">
        <f t="shared" si="145"/>
        <v>8.6052653673662202E-2</v>
      </c>
      <c r="O380" s="368">
        <f t="shared" si="146"/>
        <v>1.2133637075006063</v>
      </c>
      <c r="P380" s="369">
        <f t="shared" si="147"/>
        <v>0.71340291774923936</v>
      </c>
      <c r="Q380" s="370">
        <f t="shared" si="148"/>
        <v>-7.6579636643545603</v>
      </c>
      <c r="R380" s="371">
        <f t="shared" si="149"/>
        <v>-121.96593940412535</v>
      </c>
      <c r="S380" s="373">
        <f t="shared" si="150"/>
        <v>58.034060595874649</v>
      </c>
      <c r="U380" s="346">
        <f t="shared" si="156"/>
        <v>32175</v>
      </c>
      <c r="V380" s="346">
        <f t="shared" si="157"/>
        <v>1035230625</v>
      </c>
      <c r="X380" s="372">
        <f t="shared" si="151"/>
        <v>23.792765810082219</v>
      </c>
      <c r="Y380" s="373">
        <f t="shared" si="152"/>
        <v>-13.534925830182665</v>
      </c>
      <c r="AA380" s="372">
        <f t="shared" si="153"/>
        <v>20.029895880117593</v>
      </c>
      <c r="AB380" s="373">
        <f t="shared" si="154"/>
        <v>-108.43101357394266</v>
      </c>
      <c r="AD380">
        <f t="shared" si="158"/>
        <v>0</v>
      </c>
      <c r="AE380">
        <f t="shared" si="161"/>
        <v>0</v>
      </c>
    </row>
    <row r="381" spans="1:31" x14ac:dyDescent="0.2">
      <c r="A381" s="374">
        <v>32359</v>
      </c>
      <c r="B381" s="391">
        <f t="shared" si="155"/>
        <v>32.359000000000002</v>
      </c>
      <c r="C381" s="364">
        <f t="shared" si="136"/>
        <v>41.415690792443705</v>
      </c>
      <c r="D381" s="365">
        <f t="shared" si="137"/>
        <v>1.5466485418999585</v>
      </c>
      <c r="E381" s="365">
        <f t="shared" si="138"/>
        <v>1.0723149431639996</v>
      </c>
      <c r="F381" s="366">
        <f t="shared" si="139"/>
        <v>0.36935098435442631</v>
      </c>
      <c r="G381" s="365">
        <f t="shared" si="140"/>
        <v>1</v>
      </c>
      <c r="H381" s="366">
        <f t="shared" si="141"/>
        <v>0</v>
      </c>
      <c r="I381" s="364">
        <f t="shared" si="142"/>
        <v>10985.792459906452</v>
      </c>
      <c r="J381" s="367">
        <f t="shared" si="143"/>
        <v>1.570705300134323</v>
      </c>
      <c r="K381" s="375">
        <f t="shared" si="159"/>
        <v>6.717238173675014</v>
      </c>
      <c r="L381" s="376">
        <f t="shared" si="160"/>
        <v>1.4213701707487891</v>
      </c>
      <c r="M381" s="364">
        <f t="shared" si="144"/>
        <v>1.0037565083491722</v>
      </c>
      <c r="N381" s="367">
        <f t="shared" si="145"/>
        <v>8.6542318658766701E-2</v>
      </c>
      <c r="O381" s="368">
        <f t="shared" si="146"/>
        <v>1.2156263004210848</v>
      </c>
      <c r="P381" s="369">
        <f t="shared" si="147"/>
        <v>0.71673701875180806</v>
      </c>
      <c r="Q381" s="370">
        <f t="shared" si="148"/>
        <v>-7.7186955694393067</v>
      </c>
      <c r="R381" s="371">
        <f t="shared" si="149"/>
        <v>-122.03496986838675</v>
      </c>
      <c r="S381" s="373">
        <f t="shared" si="150"/>
        <v>57.965030131613247</v>
      </c>
      <c r="U381" s="346">
        <f t="shared" si="156"/>
        <v>32359</v>
      </c>
      <c r="V381" s="346">
        <f t="shared" si="157"/>
        <v>1047104881</v>
      </c>
      <c r="X381" s="372">
        <f t="shared" si="151"/>
        <v>23.791293990795772</v>
      </c>
      <c r="Y381" s="373">
        <f t="shared" si="152"/>
        <v>-13.514782270697658</v>
      </c>
      <c r="AA381" s="372">
        <f t="shared" si="153"/>
        <v>19.9706357943193</v>
      </c>
      <c r="AB381" s="373">
        <f t="shared" si="154"/>
        <v>-108.52018759768907</v>
      </c>
      <c r="AD381">
        <f t="shared" si="158"/>
        <v>0</v>
      </c>
      <c r="AE381">
        <f t="shared" si="161"/>
        <v>0</v>
      </c>
    </row>
    <row r="382" spans="1:31" x14ac:dyDescent="0.2">
      <c r="A382" s="374">
        <v>32547.5</v>
      </c>
      <c r="B382" s="391">
        <f t="shared" si="155"/>
        <v>32.547499999999999</v>
      </c>
      <c r="C382" s="364">
        <f t="shared" si="136"/>
        <v>41.656808239567773</v>
      </c>
      <c r="D382" s="365">
        <f t="shared" si="137"/>
        <v>1.5467883407627567</v>
      </c>
      <c r="E382" s="365">
        <f t="shared" si="138"/>
        <v>1.0731311036633104</v>
      </c>
      <c r="F382" s="366">
        <f t="shared" si="139"/>
        <v>0.37131065597646157</v>
      </c>
      <c r="G382" s="365">
        <f t="shared" si="140"/>
        <v>1</v>
      </c>
      <c r="H382" s="366">
        <f t="shared" si="141"/>
        <v>0</v>
      </c>
      <c r="I382" s="364">
        <f t="shared" si="142"/>
        <v>11049.787696520176</v>
      </c>
      <c r="J382" s="367">
        <f t="shared" si="143"/>
        <v>1.5707058273184515</v>
      </c>
      <c r="K382" s="375">
        <f t="shared" si="159"/>
        <v>6.7555031614061791</v>
      </c>
      <c r="L382" s="376">
        <f t="shared" si="160"/>
        <v>1.4222228623013968</v>
      </c>
      <c r="M382" s="364">
        <f t="shared" si="144"/>
        <v>1.0038003181035755</v>
      </c>
      <c r="N382" s="367">
        <f t="shared" si="145"/>
        <v>8.7043916004516719E-2</v>
      </c>
      <c r="O382" s="368">
        <f t="shared" si="146"/>
        <v>1.2179539808675477</v>
      </c>
      <c r="P382" s="369">
        <f t="shared" si="147"/>
        <v>0.72014280671890696</v>
      </c>
      <c r="Q382" s="370">
        <f t="shared" si="148"/>
        <v>-7.7806154253766682</v>
      </c>
      <c r="R382" s="371">
        <f t="shared" si="149"/>
        <v>-122.10575010570487</v>
      </c>
      <c r="S382" s="373">
        <f t="shared" si="150"/>
        <v>57.894249894295129</v>
      </c>
      <c r="U382" s="346">
        <f t="shared" si="156"/>
        <v>32547.5</v>
      </c>
      <c r="V382" s="346">
        <f t="shared" si="157"/>
        <v>1059339756.25</v>
      </c>
      <c r="X382" s="372">
        <f t="shared" si="151"/>
        <v>23.789803107110657</v>
      </c>
      <c r="Y382" s="373">
        <f t="shared" si="152"/>
        <v>-13.494696259835864</v>
      </c>
      <c r="AA382" s="372">
        <f t="shared" si="153"/>
        <v>19.910206822067053</v>
      </c>
      <c r="AB382" s="373">
        <f t="shared" si="154"/>
        <v>-108.61105384586902</v>
      </c>
      <c r="AD382">
        <f t="shared" si="158"/>
        <v>0</v>
      </c>
      <c r="AE382">
        <f t="shared" si="161"/>
        <v>0</v>
      </c>
    </row>
    <row r="383" spans="1:31" x14ac:dyDescent="0.2">
      <c r="A383" s="374">
        <v>32736</v>
      </c>
      <c r="B383" s="391">
        <f t="shared" si="155"/>
        <v>32.735999999999997</v>
      </c>
      <c r="C383" s="364">
        <f t="shared" si="136"/>
        <v>41.897926491450498</v>
      </c>
      <c r="D383" s="365">
        <f t="shared" si="137"/>
        <v>1.5469265305721149</v>
      </c>
      <c r="E383" s="365">
        <f t="shared" si="138"/>
        <v>1.0739513790487463</v>
      </c>
      <c r="F383" s="366">
        <f t="shared" si="139"/>
        <v>0.3732673415405402</v>
      </c>
      <c r="G383" s="365">
        <f t="shared" si="140"/>
        <v>1</v>
      </c>
      <c r="H383" s="366">
        <f t="shared" si="141"/>
        <v>0</v>
      </c>
      <c r="I383" s="364">
        <f t="shared" si="142"/>
        <v>11113.782933136936</v>
      </c>
      <c r="J383" s="367">
        <f t="shared" si="143"/>
        <v>1.5707063484313308</v>
      </c>
      <c r="K383" s="375">
        <f t="shared" si="159"/>
        <v>6.7937730056158063</v>
      </c>
      <c r="L383" s="376">
        <f t="shared" si="160"/>
        <v>1.4230659479074748</v>
      </c>
      <c r="M383" s="364">
        <f t="shared" si="144"/>
        <v>1.0038443803919548</v>
      </c>
      <c r="N383" s="367">
        <f t="shared" si="145"/>
        <v>8.754546944267709E-2</v>
      </c>
      <c r="O383" s="368">
        <f t="shared" si="146"/>
        <v>1.2202914889441514</v>
      </c>
      <c r="P383" s="369">
        <f t="shared" si="147"/>
        <v>0.72353863598662027</v>
      </c>
      <c r="Q383" s="370">
        <f t="shared" si="148"/>
        <v>-7.8422377054688859</v>
      </c>
      <c r="R383" s="371">
        <f t="shared" si="149"/>
        <v>-122.17658616474385</v>
      </c>
      <c r="S383" s="373">
        <f t="shared" si="150"/>
        <v>57.823413835256147</v>
      </c>
      <c r="U383" s="346">
        <f t="shared" si="156"/>
        <v>32736</v>
      </c>
      <c r="V383" s="346">
        <f t="shared" si="157"/>
        <v>1071645696</v>
      </c>
      <c r="X383" s="372">
        <f t="shared" si="151"/>
        <v>23.788328927836069</v>
      </c>
      <c r="Y383" s="373">
        <f t="shared" si="152"/>
        <v>-13.475157765592551</v>
      </c>
      <c r="AA383" s="372">
        <f t="shared" si="153"/>
        <v>19.850058721249418</v>
      </c>
      <c r="AB383" s="373">
        <f t="shared" si="154"/>
        <v>-108.70142839915134</v>
      </c>
      <c r="AD383">
        <f t="shared" si="158"/>
        <v>0</v>
      </c>
      <c r="AE383">
        <f t="shared" si="161"/>
        <v>0</v>
      </c>
    </row>
    <row r="384" spans="1:31" x14ac:dyDescent="0.2">
      <c r="A384" s="374">
        <v>32924.5</v>
      </c>
      <c r="B384" s="391">
        <f t="shared" si="155"/>
        <v>32.924500000000002</v>
      </c>
      <c r="C384" s="364">
        <f t="shared" si="136"/>
        <v>42.139045534277457</v>
      </c>
      <c r="D384" s="365">
        <f t="shared" si="137"/>
        <v>1.5470631389436549</v>
      </c>
      <c r="E384" s="365">
        <f t="shared" si="138"/>
        <v>1.074775759898789</v>
      </c>
      <c r="F384" s="366">
        <f t="shared" si="139"/>
        <v>0.37522103291798814</v>
      </c>
      <c r="G384" s="365">
        <f t="shared" si="140"/>
        <v>1</v>
      </c>
      <c r="H384" s="366">
        <f t="shared" si="141"/>
        <v>0</v>
      </c>
      <c r="I384" s="364">
        <f t="shared" si="142"/>
        <v>11177.778169756681</v>
      </c>
      <c r="J384" s="367">
        <f t="shared" si="143"/>
        <v>1.5707068635772385</v>
      </c>
      <c r="K384" s="375">
        <f t="shared" si="159"/>
        <v>6.8320476246929251</v>
      </c>
      <c r="L384" s="376">
        <f t="shared" si="160"/>
        <v>1.423899587802135</v>
      </c>
      <c r="M384" s="364">
        <f t="shared" si="144"/>
        <v>1.0038886951810573</v>
      </c>
      <c r="N384" s="367">
        <f t="shared" si="145"/>
        <v>8.8046978726708622E-2</v>
      </c>
      <c r="O384" s="368">
        <f t="shared" si="146"/>
        <v>1.2226387819208739</v>
      </c>
      <c r="P384" s="369">
        <f t="shared" si="147"/>
        <v>0.72692452101103344</v>
      </c>
      <c r="Q384" s="370">
        <f t="shared" si="148"/>
        <v>-7.903565727385554</v>
      </c>
      <c r="R384" s="371">
        <f t="shared" si="149"/>
        <v>-122.24747173282702</v>
      </c>
      <c r="S384" s="373">
        <f t="shared" si="150"/>
        <v>57.752528267172977</v>
      </c>
      <c r="U384" s="346">
        <f t="shared" si="156"/>
        <v>32924.5</v>
      </c>
      <c r="V384" s="346">
        <f t="shared" si="157"/>
        <v>1084022700.25</v>
      </c>
      <c r="X384" s="372">
        <f t="shared" si="151"/>
        <v>23.786871030293234</v>
      </c>
      <c r="Y384" s="373">
        <f t="shared" si="152"/>
        <v>-13.456157599021054</v>
      </c>
      <c r="AA384" s="372">
        <f t="shared" si="153"/>
        <v>19.790188596875588</v>
      </c>
      <c r="AB384" s="373">
        <f t="shared" si="154"/>
        <v>-108.79131413380598</v>
      </c>
      <c r="AD384">
        <f t="shared" si="158"/>
        <v>0</v>
      </c>
      <c r="AE384">
        <f t="shared" si="161"/>
        <v>0</v>
      </c>
    </row>
    <row r="385" spans="1:31" x14ac:dyDescent="0.2">
      <c r="A385" s="374">
        <v>33113</v>
      </c>
      <c r="B385" s="391">
        <f t="shared" si="155"/>
        <v>33.113</v>
      </c>
      <c r="C385" s="364">
        <f t="shared" si="136"/>
        <v>42.380165354548581</v>
      </c>
      <c r="D385" s="365">
        <f t="shared" si="137"/>
        <v>1.5471981928647665</v>
      </c>
      <c r="E385" s="365">
        <f t="shared" si="138"/>
        <v>1.075604236773722</v>
      </c>
      <c r="F385" s="366">
        <f t="shared" si="139"/>
        <v>0.37717172209641703</v>
      </c>
      <c r="G385" s="365">
        <f t="shared" si="140"/>
        <v>1</v>
      </c>
      <c r="H385" s="366">
        <f t="shared" si="141"/>
        <v>0</v>
      </c>
      <c r="I385" s="364">
        <f t="shared" si="142"/>
        <v>11241.773406379358</v>
      </c>
      <c r="J385" s="367">
        <f t="shared" si="143"/>
        <v>1.570707372858078</v>
      </c>
      <c r="K385" s="375">
        <f t="shared" si="159"/>
        <v>6.8703269388351202</v>
      </c>
      <c r="L385" s="376">
        <f t="shared" si="160"/>
        <v>1.424723938702555</v>
      </c>
      <c r="M385" s="364">
        <f t="shared" si="144"/>
        <v>1.0039332624374464</v>
      </c>
      <c r="N385" s="367">
        <f t="shared" si="145"/>
        <v>8.8548443610204378E-2</v>
      </c>
      <c r="O385" s="368">
        <f t="shared" si="146"/>
        <v>1.2249958172386428</v>
      </c>
      <c r="P385" s="369">
        <f t="shared" si="147"/>
        <v>0.7303004767012391</v>
      </c>
      <c r="Q385" s="370">
        <f t="shared" si="148"/>
        <v>-7.9646027443840737</v>
      </c>
      <c r="R385" s="371">
        <f t="shared" si="149"/>
        <v>-122.31840068200975</v>
      </c>
      <c r="S385" s="373">
        <f t="shared" si="150"/>
        <v>57.681599317990248</v>
      </c>
      <c r="U385" s="346">
        <f t="shared" si="156"/>
        <v>33113</v>
      </c>
      <c r="V385" s="346">
        <f t="shared" si="157"/>
        <v>1096470769</v>
      </c>
      <c r="X385" s="372">
        <f t="shared" si="151"/>
        <v>23.785429003563891</v>
      </c>
      <c r="Y385" s="373">
        <f t="shared" si="152"/>
        <v>-13.437686772609091</v>
      </c>
      <c r="AA385" s="372">
        <f t="shared" si="153"/>
        <v>19.730593606606416</v>
      </c>
      <c r="AB385" s="373">
        <f t="shared" si="154"/>
        <v>-108.88071390940068</v>
      </c>
      <c r="AD385">
        <f t="shared" si="158"/>
        <v>0</v>
      </c>
      <c r="AE385">
        <f t="shared" si="161"/>
        <v>0</v>
      </c>
    </row>
    <row r="386" spans="1:31" x14ac:dyDescent="0.2">
      <c r="A386" s="374">
        <v>33305.75</v>
      </c>
      <c r="B386" s="391">
        <f t="shared" si="155"/>
        <v>33.305750000000003</v>
      </c>
      <c r="C386" s="364">
        <f t="shared" si="136"/>
        <v>42.626722353530049</v>
      </c>
      <c r="D386" s="365">
        <f t="shared" si="137"/>
        <v>1.5473347118288914</v>
      </c>
      <c r="E386" s="365">
        <f t="shared" si="138"/>
        <v>1.0764556185741703</v>
      </c>
      <c r="F386" s="366">
        <f t="shared" si="139"/>
        <v>0.37916327960910851</v>
      </c>
      <c r="G386" s="365">
        <f t="shared" si="140"/>
        <v>1</v>
      </c>
      <c r="H386" s="366">
        <f t="shared" si="141"/>
        <v>0</v>
      </c>
      <c r="I386" s="364">
        <f t="shared" si="142"/>
        <v>11307.211506430194</v>
      </c>
      <c r="J386" s="367">
        <f t="shared" si="143"/>
        <v>1.5707078876602139</v>
      </c>
      <c r="K386" s="375">
        <f t="shared" si="159"/>
        <v>6.9094740881814625</v>
      </c>
      <c r="L386" s="376">
        <f t="shared" si="160"/>
        <v>1.4255574299478364</v>
      </c>
      <c r="M386" s="364">
        <f t="shared" si="144"/>
        <v>1.0039790955606522</v>
      </c>
      <c r="N386" s="367">
        <f t="shared" si="145"/>
        <v>8.9061168561117093E-2</v>
      </c>
      <c r="O386" s="368">
        <f t="shared" si="146"/>
        <v>1.2274160254031119</v>
      </c>
      <c r="P386" s="369">
        <f t="shared" si="147"/>
        <v>0.73374229643755717</v>
      </c>
      <c r="Q386" s="370">
        <f t="shared" si="148"/>
        <v>-8.0267183306610654</v>
      </c>
      <c r="R386" s="371">
        <f t="shared" si="149"/>
        <v>-122.39096748827389</v>
      </c>
      <c r="S386" s="373">
        <f t="shared" si="150"/>
        <v>57.609032511726113</v>
      </c>
      <c r="U386" s="346">
        <f t="shared" si="156"/>
        <v>33305.75</v>
      </c>
      <c r="V386" s="346">
        <f t="shared" si="157"/>
        <v>1109272983.0625</v>
      </c>
      <c r="X386" s="372">
        <f t="shared" si="151"/>
        <v>23.783970459687673</v>
      </c>
      <c r="Y386" s="373">
        <f t="shared" si="152"/>
        <v>-13.419337713700411</v>
      </c>
      <c r="AA386" s="372">
        <f t="shared" si="153"/>
        <v>19.669936564205642</v>
      </c>
      <c r="AB386" s="373">
        <f t="shared" si="154"/>
        <v>-108.97162977457347</v>
      </c>
      <c r="AD386">
        <f t="shared" si="158"/>
        <v>0</v>
      </c>
      <c r="AE386">
        <f t="shared" si="161"/>
        <v>0</v>
      </c>
    </row>
    <row r="387" spans="1:31" x14ac:dyDescent="0.2">
      <c r="A387" s="374">
        <v>33498.5</v>
      </c>
      <c r="B387" s="391">
        <f t="shared" si="155"/>
        <v>33.4985</v>
      </c>
      <c r="C387" s="364">
        <f t="shared" si="136"/>
        <v>42.873280137826441</v>
      </c>
      <c r="D387" s="365">
        <f t="shared" si="137"/>
        <v>1.5474696605954574</v>
      </c>
      <c r="E387" s="365">
        <f t="shared" si="138"/>
        <v>1.0773112631637873</v>
      </c>
      <c r="F387" s="366">
        <f t="shared" si="139"/>
        <v>0.38115168144541217</v>
      </c>
      <c r="G387" s="365">
        <f t="shared" si="140"/>
        <v>1</v>
      </c>
      <c r="H387" s="366">
        <f t="shared" si="141"/>
        <v>0</v>
      </c>
      <c r="I387" s="364">
        <f t="shared" si="142"/>
        <v>11372.649606483994</v>
      </c>
      <c r="J387" s="367">
        <f t="shared" si="143"/>
        <v>1.570708396538018</v>
      </c>
      <c r="K387" s="375">
        <f t="shared" si="159"/>
        <v>6.9486259835052406</v>
      </c>
      <c r="L387" s="376">
        <f t="shared" si="160"/>
        <v>1.4263815291804725</v>
      </c>
      <c r="M387" s="364">
        <f t="shared" si="144"/>
        <v>1.0040251925926484</v>
      </c>
      <c r="N387" s="367">
        <f t="shared" si="145"/>
        <v>8.9573846566107743E-2</v>
      </c>
      <c r="O387" s="368">
        <f t="shared" si="146"/>
        <v>1.2298463307224226</v>
      </c>
      <c r="P387" s="369">
        <f t="shared" si="147"/>
        <v>0.73717376699273551</v>
      </c>
      <c r="Q387" s="370">
        <f t="shared" si="148"/>
        <v>-8.0885363228136562</v>
      </c>
      <c r="R387" s="371">
        <f t="shared" si="149"/>
        <v>-122.46356726482601</v>
      </c>
      <c r="S387" s="373">
        <f t="shared" si="150"/>
        <v>57.536432735173989</v>
      </c>
      <c r="U387" s="346">
        <f t="shared" si="156"/>
        <v>33498.5</v>
      </c>
      <c r="V387" s="346">
        <f t="shared" si="157"/>
        <v>1122149502.25</v>
      </c>
      <c r="X387" s="372">
        <f t="shared" si="151"/>
        <v>23.782527677333039</v>
      </c>
      <c r="Y387" s="373">
        <f t="shared" si="152"/>
        <v>-13.401523748235658</v>
      </c>
      <c r="AA387" s="372">
        <f t="shared" si="153"/>
        <v>19.609561354407681</v>
      </c>
      <c r="AB387" s="373">
        <f t="shared" si="154"/>
        <v>-109.06204351659038</v>
      </c>
      <c r="AD387">
        <f t="shared" si="158"/>
        <v>0</v>
      </c>
      <c r="AE387">
        <f t="shared" si="161"/>
        <v>0</v>
      </c>
    </row>
    <row r="388" spans="1:31" x14ac:dyDescent="0.2">
      <c r="A388" s="374">
        <v>33691.25</v>
      </c>
      <c r="B388" s="391">
        <f t="shared" si="155"/>
        <v>33.691249999999997</v>
      </c>
      <c r="C388" s="364">
        <f t="shared" si="136"/>
        <v>43.119838693966543</v>
      </c>
      <c r="D388" s="365">
        <f t="shared" si="137"/>
        <v>1.547603066094601</v>
      </c>
      <c r="E388" s="365">
        <f t="shared" si="138"/>
        <v>1.0781711603936306</v>
      </c>
      <c r="F388" s="366">
        <f t="shared" si="139"/>
        <v>0.38313691941394201</v>
      </c>
      <c r="G388" s="365">
        <f t="shared" si="140"/>
        <v>1</v>
      </c>
      <c r="H388" s="366">
        <f t="shared" si="141"/>
        <v>0</v>
      </c>
      <c r="I388" s="364">
        <f t="shared" si="142"/>
        <v>11438.087706540704</v>
      </c>
      <c r="J388" s="367">
        <f t="shared" si="143"/>
        <v>1.5707088995931711</v>
      </c>
      <c r="K388" s="375">
        <f t="shared" si="159"/>
        <v>6.987782545032645</v>
      </c>
      <c r="L388" s="376">
        <f t="shared" si="160"/>
        <v>1.4271963931581262</v>
      </c>
      <c r="M388" s="364">
        <f t="shared" si="144"/>
        <v>1.0040715534970863</v>
      </c>
      <c r="N388" s="367">
        <f t="shared" si="145"/>
        <v>9.0086477362157566E-2</v>
      </c>
      <c r="O388" s="368">
        <f t="shared" si="146"/>
        <v>1.2322866882591745</v>
      </c>
      <c r="P388" s="369">
        <f t="shared" si="147"/>
        <v>0.74059490572103093</v>
      </c>
      <c r="Q388" s="370">
        <f t="shared" si="148"/>
        <v>-8.1500600009889652</v>
      </c>
      <c r="R388" s="371">
        <f t="shared" si="149"/>
        <v>-122.53619402751039</v>
      </c>
      <c r="S388" s="373">
        <f t="shared" si="150"/>
        <v>57.46380597248961</v>
      </c>
      <c r="U388" s="346">
        <f t="shared" si="156"/>
        <v>33691.25</v>
      </c>
      <c r="V388" s="346">
        <f t="shared" si="157"/>
        <v>1135100326.5625</v>
      </c>
      <c r="X388" s="372">
        <f t="shared" si="151"/>
        <v>23.781100252825567</v>
      </c>
      <c r="Y388" s="373">
        <f t="shared" si="152"/>
        <v>-13.384235885418313</v>
      </c>
      <c r="AA388" s="372">
        <f t="shared" si="153"/>
        <v>19.549465100739841</v>
      </c>
      <c r="AB388" s="373">
        <f t="shared" si="154"/>
        <v>-109.15195814209207</v>
      </c>
      <c r="AD388">
        <f t="shared" si="158"/>
        <v>0</v>
      </c>
      <c r="AE388">
        <f t="shared" si="161"/>
        <v>0</v>
      </c>
    </row>
    <row r="389" spans="1:31" x14ac:dyDescent="0.2">
      <c r="A389" s="374">
        <v>33884</v>
      </c>
      <c r="B389" s="391">
        <f t="shared" si="155"/>
        <v>33.884</v>
      </c>
      <c r="C389" s="364">
        <f t="shared" si="136"/>
        <v>43.366398008785445</v>
      </c>
      <c r="D389" s="365">
        <f t="shared" si="137"/>
        <v>1.5477349546442372</v>
      </c>
      <c r="E389" s="365">
        <f t="shared" si="138"/>
        <v>1.0790353000967472</v>
      </c>
      <c r="F389" s="366">
        <f t="shared" si="139"/>
        <v>0.38511898544911272</v>
      </c>
      <c r="G389" s="365">
        <f t="shared" si="140"/>
        <v>1</v>
      </c>
      <c r="H389" s="366">
        <f t="shared" si="141"/>
        <v>0</v>
      </c>
      <c r="I389" s="364">
        <f t="shared" si="142"/>
        <v>11503.525806600277</v>
      </c>
      <c r="J389" s="367">
        <f t="shared" si="143"/>
        <v>1.5707093969250401</v>
      </c>
      <c r="K389" s="375">
        <f t="shared" si="159"/>
        <v>7.0269436947585717</v>
      </c>
      <c r="L389" s="376">
        <f t="shared" si="160"/>
        <v>1.4280021751937046</v>
      </c>
      <c r="M389" s="364">
        <f t="shared" si="144"/>
        <v>1.0041181782374164</v>
      </c>
      <c r="N389" s="367">
        <f t="shared" si="145"/>
        <v>9.0599060686395505E-2</v>
      </c>
      <c r="O389" s="368">
        <f t="shared" si="146"/>
        <v>1.2347370532702375</v>
      </c>
      <c r="P389" s="369">
        <f t="shared" si="147"/>
        <v>0.74400573043465779</v>
      </c>
      <c r="Q389" s="370">
        <f t="shared" si="148"/>
        <v>-8.2112925820035674</v>
      </c>
      <c r="R389" s="371">
        <f t="shared" si="149"/>
        <v>-122.6088419733705</v>
      </c>
      <c r="S389" s="373">
        <f t="shared" si="150"/>
        <v>57.391158026629498</v>
      </c>
      <c r="U389" s="346">
        <f t="shared" si="156"/>
        <v>33884</v>
      </c>
      <c r="V389" s="346">
        <f t="shared" si="157"/>
        <v>1148125456</v>
      </c>
      <c r="X389" s="372">
        <f t="shared" si="151"/>
        <v>23.77968779372781</v>
      </c>
      <c r="Y389" s="373">
        <f t="shared" si="152"/>
        <v>-13.367465331697785</v>
      </c>
      <c r="AA389" s="372">
        <f t="shared" si="153"/>
        <v>19.489644978823002</v>
      </c>
      <c r="AB389" s="373">
        <f t="shared" si="154"/>
        <v>-109.24137664167273</v>
      </c>
      <c r="AD389">
        <f t="shared" si="158"/>
        <v>0</v>
      </c>
      <c r="AE389">
        <f t="shared" si="161"/>
        <v>0</v>
      </c>
    </row>
    <row r="390" spans="1:31" x14ac:dyDescent="0.2">
      <c r="A390" s="374">
        <v>34081.5</v>
      </c>
      <c r="B390" s="391">
        <f t="shared" si="155"/>
        <v>34.081499999999998</v>
      </c>
      <c r="C390" s="364">
        <f t="shared" si="136"/>
        <v>43.619034137287144</v>
      </c>
      <c r="D390" s="365">
        <f t="shared" si="137"/>
        <v>1.5478685467786002</v>
      </c>
      <c r="E390" s="365">
        <f t="shared" si="138"/>
        <v>1.079925125004894</v>
      </c>
      <c r="F390" s="366">
        <f t="shared" si="139"/>
        <v>0.38714659772269816</v>
      </c>
      <c r="G390" s="365">
        <f t="shared" si="140"/>
        <v>1</v>
      </c>
      <c r="H390" s="366">
        <f t="shared" si="141"/>
        <v>0</v>
      </c>
      <c r="I390" s="364">
        <f t="shared" si="142"/>
        <v>11570.57651872649</v>
      </c>
      <c r="J390" s="367">
        <f t="shared" si="143"/>
        <v>1.570709900677786</v>
      </c>
      <c r="K390" s="375">
        <f t="shared" si="159"/>
        <v>7.0670745846702898</v>
      </c>
      <c r="L390" s="376">
        <f t="shared" si="160"/>
        <v>1.4288185507676232</v>
      </c>
      <c r="M390" s="364">
        <f t="shared" si="144"/>
        <v>1.0041662255964181</v>
      </c>
      <c r="N390" s="367">
        <f t="shared" si="145"/>
        <v>9.1124226249932813E-2</v>
      </c>
      <c r="O390" s="368">
        <f t="shared" si="146"/>
        <v>1.2372581372647586</v>
      </c>
      <c r="P390" s="369">
        <f t="shared" si="147"/>
        <v>0.74748992989049268</v>
      </c>
      <c r="Q390" s="370">
        <f t="shared" si="148"/>
        <v>-8.273735490400167</v>
      </c>
      <c r="R390" s="371">
        <f t="shared" si="149"/>
        <v>-122.68329629532593</v>
      </c>
      <c r="S390" s="373">
        <f t="shared" si="150"/>
        <v>57.316703704674069</v>
      </c>
      <c r="U390" s="346">
        <f t="shared" si="156"/>
        <v>34081.5</v>
      </c>
      <c r="V390" s="346">
        <f t="shared" si="157"/>
        <v>1161548642.25</v>
      </c>
      <c r="X390" s="372">
        <f t="shared" si="151"/>
        <v>23.778255651122571</v>
      </c>
      <c r="Y390" s="373">
        <f t="shared" si="152"/>
        <v>-13.350809090038203</v>
      </c>
      <c r="AA390" s="372">
        <f t="shared" si="153"/>
        <v>19.428634213031643</v>
      </c>
      <c r="AB390" s="373">
        <f t="shared" si="154"/>
        <v>-109.33248720528773</v>
      </c>
      <c r="AD390">
        <f t="shared" si="158"/>
        <v>0</v>
      </c>
      <c r="AE390">
        <f t="shared" si="161"/>
        <v>0</v>
      </c>
    </row>
    <row r="391" spans="1:31" x14ac:dyDescent="0.2">
      <c r="A391" s="374">
        <v>34279</v>
      </c>
      <c r="B391" s="391">
        <f t="shared" si="155"/>
        <v>34.279000000000003</v>
      </c>
      <c r="C391" s="364">
        <f t="shared" si="136"/>
        <v>43.871671035285978</v>
      </c>
      <c r="D391" s="365">
        <f t="shared" si="137"/>
        <v>1.5480006003232345</v>
      </c>
      <c r="E391" s="365">
        <f t="shared" si="138"/>
        <v>1.0808193823925676</v>
      </c>
      <c r="F391" s="366">
        <f t="shared" si="139"/>
        <v>0.38917086306138943</v>
      </c>
      <c r="G391" s="365">
        <f t="shared" si="140"/>
        <v>1</v>
      </c>
      <c r="H391" s="366">
        <f t="shared" si="141"/>
        <v>0</v>
      </c>
      <c r="I391" s="364">
        <f t="shared" si="142"/>
        <v>11637.627230855607</v>
      </c>
      <c r="J391" s="367">
        <f t="shared" si="143"/>
        <v>1.5707103986257438</v>
      </c>
      <c r="K391" s="375">
        <f t="shared" si="159"/>
        <v>7.1072101313769531</v>
      </c>
      <c r="L391" s="376">
        <f t="shared" si="160"/>
        <v>1.4296257064688547</v>
      </c>
      <c r="M391" s="364">
        <f t="shared" si="144"/>
        <v>1.0042145498767832</v>
      </c>
      <c r="N391" s="367">
        <f t="shared" si="145"/>
        <v>9.1649341414806837E-2</v>
      </c>
      <c r="O391" s="368">
        <f t="shared" si="146"/>
        <v>1.239789633569838</v>
      </c>
      <c r="P391" s="369">
        <f t="shared" si="147"/>
        <v>0.75096334002189613</v>
      </c>
      <c r="Q391" s="370">
        <f t="shared" si="148"/>
        <v>-8.3358794187529597</v>
      </c>
      <c r="R391" s="371">
        <f t="shared" si="149"/>
        <v>-122.75776108464559</v>
      </c>
      <c r="S391" s="373">
        <f t="shared" si="150"/>
        <v>57.242238915354406</v>
      </c>
      <c r="U391" s="346">
        <f t="shared" si="156"/>
        <v>34279</v>
      </c>
      <c r="V391" s="346">
        <f t="shared" si="157"/>
        <v>1175049841</v>
      </c>
      <c r="X391" s="372">
        <f t="shared" si="151"/>
        <v>23.776838421003639</v>
      </c>
      <c r="Y391" s="373">
        <f t="shared" si="152"/>
        <v>-13.334677887951276</v>
      </c>
      <c r="AA391" s="372">
        <f t="shared" si="153"/>
        <v>19.367907514797778</v>
      </c>
      <c r="AB391" s="373">
        <f t="shared" si="154"/>
        <v>-109.42308319669432</v>
      </c>
      <c r="AD391">
        <f t="shared" si="158"/>
        <v>0</v>
      </c>
      <c r="AE391">
        <f t="shared" si="161"/>
        <v>0</v>
      </c>
    </row>
    <row r="392" spans="1:31" x14ac:dyDescent="0.2">
      <c r="A392" s="374">
        <v>34476.5</v>
      </c>
      <c r="B392" s="391">
        <f t="shared" si="155"/>
        <v>34.476500000000001</v>
      </c>
      <c r="C392" s="364">
        <f t="shared" si="136"/>
        <v>44.124308689564486</v>
      </c>
      <c r="D392" s="365">
        <f t="shared" si="137"/>
        <v>1.5481311417014914</v>
      </c>
      <c r="E392" s="365">
        <f t="shared" si="138"/>
        <v>1.0817180612667625</v>
      </c>
      <c r="F392" s="366">
        <f t="shared" si="139"/>
        <v>0.39119177319708992</v>
      </c>
      <c r="G392" s="365">
        <f t="shared" si="140"/>
        <v>1</v>
      </c>
      <c r="H392" s="366">
        <f t="shared" si="141"/>
        <v>0</v>
      </c>
      <c r="I392" s="364">
        <f t="shared" si="142"/>
        <v>11704.677942987577</v>
      </c>
      <c r="J392" s="367">
        <f t="shared" si="143"/>
        <v>1.5707108908686722</v>
      </c>
      <c r="K392" s="375">
        <f t="shared" si="159"/>
        <v>7.1473502564286449</v>
      </c>
      <c r="L392" s="376">
        <f t="shared" si="160"/>
        <v>1.4304237965754756</v>
      </c>
      <c r="M392" s="364">
        <f t="shared" si="144"/>
        <v>1.004263151038536</v>
      </c>
      <c r="N392" s="367">
        <f t="shared" si="145"/>
        <v>9.2174405898717268E-2</v>
      </c>
      <c r="O392" s="368">
        <f t="shared" si="146"/>
        <v>1.2423314946980217</v>
      </c>
      <c r="P392" s="369">
        <f t="shared" si="147"/>
        <v>0.75442598142615125</v>
      </c>
      <c r="Q392" s="370">
        <f t="shared" si="148"/>
        <v>-8.3977276313987481</v>
      </c>
      <c r="R392" s="371">
        <f t="shared" si="149"/>
        <v>-122.8322306591989</v>
      </c>
      <c r="S392" s="373">
        <f t="shared" si="150"/>
        <v>57.167769340801101</v>
      </c>
      <c r="U392" s="346">
        <f t="shared" si="156"/>
        <v>34476.5</v>
      </c>
      <c r="V392" s="346">
        <f t="shared" si="157"/>
        <v>1188629052.25</v>
      </c>
      <c r="X392" s="372">
        <f t="shared" si="151"/>
        <v>23.775435715524267</v>
      </c>
      <c r="Y392" s="373">
        <f t="shared" si="152"/>
        <v>-13.319062875495492</v>
      </c>
      <c r="AA392" s="372">
        <f t="shared" si="153"/>
        <v>19.307462007631358</v>
      </c>
      <c r="AB392" s="373">
        <f t="shared" si="154"/>
        <v>-109.51316778370341</v>
      </c>
      <c r="AD392">
        <f t="shared" si="158"/>
        <v>0</v>
      </c>
      <c r="AE392">
        <f t="shared" si="161"/>
        <v>0</v>
      </c>
    </row>
    <row r="393" spans="1:31" x14ac:dyDescent="0.2">
      <c r="A393" s="374">
        <v>34674</v>
      </c>
      <c r="B393" s="391">
        <f t="shared" si="155"/>
        <v>34.673999999999999</v>
      </c>
      <c r="C393" s="364">
        <f t="shared" si="136"/>
        <v>44.376947087206204</v>
      </c>
      <c r="D393" s="365">
        <f t="shared" si="137"/>
        <v>1.5482601967352179</v>
      </c>
      <c r="E393" s="365">
        <f t="shared" si="138"/>
        <v>1.0826211506167114</v>
      </c>
      <c r="F393" s="366">
        <f t="shared" si="139"/>
        <v>0.39320931999871095</v>
      </c>
      <c r="G393" s="365">
        <f t="shared" si="140"/>
        <v>1</v>
      </c>
      <c r="H393" s="366">
        <f t="shared" si="141"/>
        <v>0</v>
      </c>
      <c r="I393" s="364">
        <f t="shared" si="142"/>
        <v>11771.728655122351</v>
      </c>
      <c r="J393" s="367">
        <f t="shared" si="143"/>
        <v>1.5707113775040575</v>
      </c>
      <c r="K393" s="375">
        <f t="shared" si="159"/>
        <v>7.1874948831190801</v>
      </c>
      <c r="L393" s="376">
        <f t="shared" si="160"/>
        <v>1.4312129719655649</v>
      </c>
      <c r="M393" s="364">
        <f t="shared" si="144"/>
        <v>1.0043120290414798</v>
      </c>
      <c r="N393" s="367">
        <f t="shared" si="145"/>
        <v>9.2699419419530055E-2</v>
      </c>
      <c r="O393" s="368">
        <f t="shared" si="146"/>
        <v>1.2448836733832278</v>
      </c>
      <c r="P393" s="369">
        <f t="shared" si="147"/>
        <v>0.75787787516460281</v>
      </c>
      <c r="Q393" s="370">
        <f t="shared" si="148"/>
        <v>-8.4592833299127221</v>
      </c>
      <c r="R393" s="371">
        <f t="shared" si="149"/>
        <v>-122.90669951581526</v>
      </c>
      <c r="S393" s="373">
        <f t="shared" si="150"/>
        <v>57.093300484184738</v>
      </c>
      <c r="U393" s="346">
        <f t="shared" si="156"/>
        <v>34674</v>
      </c>
      <c r="V393" s="346">
        <f t="shared" si="157"/>
        <v>1202286276</v>
      </c>
      <c r="X393" s="372">
        <f t="shared" si="151"/>
        <v>23.77404715766081</v>
      </c>
      <c r="Y393" s="373">
        <f t="shared" si="152"/>
        <v>-13.303955397414141</v>
      </c>
      <c r="AA393" s="372">
        <f t="shared" si="153"/>
        <v>19.247294866980845</v>
      </c>
      <c r="AB393" s="373">
        <f t="shared" si="154"/>
        <v>-109.60274411840112</v>
      </c>
      <c r="AD393">
        <f t="shared" si="158"/>
        <v>0</v>
      </c>
      <c r="AE393">
        <f t="shared" si="161"/>
        <v>0</v>
      </c>
    </row>
    <row r="394" spans="1:31" x14ac:dyDescent="0.2">
      <c r="A394" s="374">
        <v>34875.75</v>
      </c>
      <c r="B394" s="391">
        <f t="shared" si="155"/>
        <v>34.875749999999996</v>
      </c>
      <c r="C394" s="364">
        <f t="shared" si="136"/>
        <v>44.635022761732415</v>
      </c>
      <c r="D394" s="365">
        <f t="shared" si="137"/>
        <v>1.5483905204785109</v>
      </c>
      <c r="E394" s="365">
        <f t="shared" si="138"/>
        <v>1.0835482159270382</v>
      </c>
      <c r="F394" s="366">
        <f t="shared" si="139"/>
        <v>0.39526680137542541</v>
      </c>
      <c r="G394" s="365">
        <f t="shared" si="140"/>
        <v>1</v>
      </c>
      <c r="H394" s="366">
        <f t="shared" si="141"/>
        <v>0</v>
      </c>
      <c r="I394" s="364">
        <f t="shared" si="142"/>
        <v>11840.222230685655</v>
      </c>
      <c r="J394" s="367">
        <f t="shared" si="143"/>
        <v>1.5707118689205675</v>
      </c>
      <c r="K394" s="375">
        <f t="shared" si="159"/>
        <v>7.2285079515147439</v>
      </c>
      <c r="L394" s="376">
        <f t="shared" si="160"/>
        <v>1.432010078519742</v>
      </c>
      <c r="M394" s="364">
        <f t="shared" si="144"/>
        <v>1.0043622446488192</v>
      </c>
      <c r="N394" s="367">
        <f t="shared" si="145"/>
        <v>9.3235677786521753E-2</v>
      </c>
      <c r="O394" s="368">
        <f t="shared" si="146"/>
        <v>1.247501376430634</v>
      </c>
      <c r="P394" s="369">
        <f t="shared" si="147"/>
        <v>0.76139297546477358</v>
      </c>
      <c r="Q394" s="370">
        <f t="shared" si="148"/>
        <v>-8.5218648864337645</v>
      </c>
      <c r="R394" s="371">
        <f t="shared" si="149"/>
        <v>-122.9827645846883</v>
      </c>
      <c r="S394" s="373">
        <f t="shared" si="150"/>
        <v>57.017235415311703</v>
      </c>
      <c r="U394" s="346">
        <f t="shared" si="156"/>
        <v>34875.75</v>
      </c>
      <c r="V394" s="346">
        <f t="shared" si="157"/>
        <v>1216317938.0625</v>
      </c>
      <c r="X394" s="372">
        <f t="shared" si="151"/>
        <v>23.77264294585979</v>
      </c>
      <c r="Y394" s="373">
        <f t="shared" si="152"/>
        <v>-13.289038053269728</v>
      </c>
      <c r="AA394" s="372">
        <f t="shared" si="153"/>
        <v>19.186117522260822</v>
      </c>
      <c r="AB394" s="373">
        <f t="shared" si="154"/>
        <v>-109.69372653141858</v>
      </c>
      <c r="AD394">
        <f t="shared" si="158"/>
        <v>0</v>
      </c>
      <c r="AE394">
        <f t="shared" si="161"/>
        <v>0</v>
      </c>
    </row>
    <row r="395" spans="1:31" x14ac:dyDescent="0.2">
      <c r="A395" s="374">
        <v>35077.5</v>
      </c>
      <c r="B395" s="391">
        <f t="shared" si="155"/>
        <v>35.077500000000001</v>
      </c>
      <c r="C395" s="364">
        <f t="shared" si="136"/>
        <v>44.893099185636189</v>
      </c>
      <c r="D395" s="365">
        <f t="shared" si="137"/>
        <v>1.5485193458428734</v>
      </c>
      <c r="E395" s="365">
        <f t="shared" si="138"/>
        <v>1.0844798602922288</v>
      </c>
      <c r="F395" s="366">
        <f t="shared" si="139"/>
        <v>0.39732075639257841</v>
      </c>
      <c r="G395" s="365">
        <f t="shared" si="140"/>
        <v>1</v>
      </c>
      <c r="H395" s="366">
        <f t="shared" si="141"/>
        <v>0</v>
      </c>
      <c r="I395" s="364">
        <f t="shared" si="142"/>
        <v>11908.715806251783</v>
      </c>
      <c r="J395" s="367">
        <f t="shared" si="143"/>
        <v>1.5707123546842641</v>
      </c>
      <c r="K395" s="375">
        <f t="shared" si="159"/>
        <v>7.2695255609262457</v>
      </c>
      <c r="L395" s="376">
        <f t="shared" si="160"/>
        <v>1.4327981903735099</v>
      </c>
      <c r="M395" s="364">
        <f t="shared" si="144"/>
        <v>1.0044127490547303</v>
      </c>
      <c r="N395" s="367">
        <f t="shared" si="145"/>
        <v>9.3771882378852547E-2</v>
      </c>
      <c r="O395" s="368">
        <f t="shared" si="146"/>
        <v>1.2501297468671395</v>
      </c>
      <c r="P395" s="369">
        <f t="shared" si="147"/>
        <v>0.76489690643007924</v>
      </c>
      <c r="Q395" s="370">
        <f t="shared" si="148"/>
        <v>-8.5841477644833137</v>
      </c>
      <c r="R395" s="371">
        <f t="shared" si="149"/>
        <v>-123.05881784597267</v>
      </c>
      <c r="S395" s="373">
        <f t="shared" si="150"/>
        <v>56.941182154027331</v>
      </c>
      <c r="U395" s="346">
        <f t="shared" si="156"/>
        <v>35077.5</v>
      </c>
      <c r="V395" s="346">
        <f t="shared" si="157"/>
        <v>1230431006.25</v>
      </c>
      <c r="X395" s="372">
        <f t="shared" si="151"/>
        <v>23.771252734808375</v>
      </c>
      <c r="Y395" s="373">
        <f t="shared" si="152"/>
        <v>-13.274632662553879</v>
      </c>
      <c r="AA395" s="372">
        <f t="shared" si="153"/>
        <v>19.125224855262687</v>
      </c>
      <c r="AB395" s="373">
        <f t="shared" si="154"/>
        <v>-109.78418518341878</v>
      </c>
      <c r="AD395">
        <f t="shared" si="158"/>
        <v>0</v>
      </c>
      <c r="AE395">
        <f t="shared" si="161"/>
        <v>0</v>
      </c>
    </row>
    <row r="396" spans="1:31" x14ac:dyDescent="0.2">
      <c r="A396" s="374">
        <v>35279.25</v>
      </c>
      <c r="B396" s="391">
        <f t="shared" si="155"/>
        <v>35.279249999999998</v>
      </c>
      <c r="C396" s="364">
        <f t="shared" si="136"/>
        <v>45.151176346067594</v>
      </c>
      <c r="D396" s="365">
        <f t="shared" si="137"/>
        <v>1.5486466985175007</v>
      </c>
      <c r="E396" s="365">
        <f t="shared" si="138"/>
        <v>1.0854160719212733</v>
      </c>
      <c r="F396" s="366">
        <f t="shared" si="139"/>
        <v>0.39937117682269968</v>
      </c>
      <c r="G396" s="365">
        <f t="shared" si="140"/>
        <v>1</v>
      </c>
      <c r="H396" s="366">
        <f t="shared" si="141"/>
        <v>0</v>
      </c>
      <c r="I396" s="364">
        <f t="shared" si="142"/>
        <v>11977.209381820692</v>
      </c>
      <c r="J396" s="367">
        <f t="shared" si="143"/>
        <v>1.5707128348921267</v>
      </c>
      <c r="K396" s="375">
        <f t="shared" si="159"/>
        <v>7.310547634918156</v>
      </c>
      <c r="L396" s="376">
        <f t="shared" si="160"/>
        <v>1.4335774579568674</v>
      </c>
      <c r="M396" s="364">
        <f t="shared" si="144"/>
        <v>1.0044635422156512</v>
      </c>
      <c r="N396" s="367">
        <f t="shared" si="145"/>
        <v>9.4308032896323016E-2</v>
      </c>
      <c r="O396" s="368">
        <f t="shared" si="146"/>
        <v>1.2527687350352672</v>
      </c>
      <c r="P396" s="369">
        <f t="shared" si="147"/>
        <v>0.76838969194563689</v>
      </c>
      <c r="Q396" s="370">
        <f t="shared" si="148"/>
        <v>-8.6461351844499035</v>
      </c>
      <c r="R396" s="371">
        <f t="shared" si="149"/>
        <v>-123.13485398081878</v>
      </c>
      <c r="S396" s="373">
        <f t="shared" si="150"/>
        <v>56.865146019181225</v>
      </c>
      <c r="U396" s="346">
        <f t="shared" si="156"/>
        <v>35279.25</v>
      </c>
      <c r="V396" s="346">
        <f t="shared" si="157"/>
        <v>1244625480.5625</v>
      </c>
      <c r="X396" s="372">
        <f t="shared" si="151"/>
        <v>23.769876155321725</v>
      </c>
      <c r="Y396" s="373">
        <f t="shared" si="152"/>
        <v>-13.260730594618881</v>
      </c>
      <c r="AA396" s="372">
        <f t="shared" si="153"/>
        <v>19.064614014782752</v>
      </c>
      <c r="AB396" s="373">
        <f t="shared" si="154"/>
        <v>-109.87412338619993</v>
      </c>
      <c r="AD396">
        <f t="shared" si="158"/>
        <v>0</v>
      </c>
      <c r="AE396">
        <f t="shared" si="161"/>
        <v>0</v>
      </c>
    </row>
    <row r="397" spans="1:31" x14ac:dyDescent="0.2">
      <c r="A397" s="374">
        <v>35481</v>
      </c>
      <c r="B397" s="391">
        <f t="shared" si="155"/>
        <v>35.481000000000002</v>
      </c>
      <c r="C397" s="364">
        <f t="shared" ref="C397:C460" si="162">SQRT(1+(A397/pole1)^2)</f>
        <v>45.409254230468761</v>
      </c>
      <c r="D397" s="365">
        <f t="shared" ref="D397:D460" si="163">ATAN(A397/pole1)</f>
        <v>1.5487726036077767</v>
      </c>
      <c r="E397" s="365">
        <f t="shared" ref="E397:E460" si="164">SQRT(1+(A397/Zero1)^2)</f>
        <v>1.0863568390061025</v>
      </c>
      <c r="F397" s="366">
        <f t="shared" ref="F397:F460" si="165">ATAN(A397/Zero1)</f>
        <v>0.40141805458549185</v>
      </c>
      <c r="G397" s="365">
        <f t="shared" ref="G397:G460" si="166">IF(VIN_nom&gt;Vout, 1, SQRT(1+(A397/z_RHP)^2))</f>
        <v>1</v>
      </c>
      <c r="H397" s="366">
        <f t="shared" ref="H397:H460" si="167">IF(VIN_nom&gt;Vout, 0, -ATAN(A397/z_RHP))</f>
        <v>0</v>
      </c>
      <c r="I397" s="364">
        <f t="shared" ref="I397:I460" si="168">SQRT(1+(A397/Pole2)^2)</f>
        <v>12045.70295739233</v>
      </c>
      <c r="J397" s="367">
        <f t="shared" ref="J397:J460" si="169">ATAN(A397/Pole2)</f>
        <v>1.5707133096389294</v>
      </c>
      <c r="K397" s="375">
        <f t="shared" si="159"/>
        <v>7.3515740987528693</v>
      </c>
      <c r="L397" s="376">
        <f t="shared" si="160"/>
        <v>1.4343480283853491</v>
      </c>
      <c r="M397" s="364">
        <f t="shared" ref="M397:M460" si="170">SQRT(1+(A397/pole4)^2)</f>
        <v>1.0045146240877785</v>
      </c>
      <c r="N397" s="367">
        <f t="shared" ref="N397:N460" si="171">ATAN(A397/pole4)</f>
        <v>9.4844129038918687E-2</v>
      </c>
      <c r="O397" s="368">
        <f t="shared" ref="O397:O460" si="172">SQRT((1-(V397/pterm2))^2+(A397/pterm1)^2)</f>
        <v>1.2554182915254763</v>
      </c>
      <c r="P397" s="369">
        <f t="shared" ref="P397:P460" si="173">IF((ATAN((A397/pterm1)/(1-A397^2/pterm2))&gt;0),ATAN((A397/pterm1)/(1-A397^2/pterm2)),PI()+ATAN((A397/pterm1)/(1-A397^2/pterm2)))</f>
        <v>0.77187135635814019</v>
      </c>
      <c r="Q397" s="370">
        <f t="shared" ref="Q397:Q460" si="174">20*LOG10(((E397*K397*G397)/(C397*I397*O397*M397))*Adc)</f>
        <v>-8.7078303052933048</v>
      </c>
      <c r="R397" s="371">
        <f t="shared" ref="R397:R460" si="175">((F397+L397+H397)-(D397+J397+P397+N397))*radconv</f>
        <v>-123.21086784473037</v>
      </c>
      <c r="S397" s="373">
        <f t="shared" ref="S397:S460" si="176">IF(R397&gt;0,R397,R397+180)</f>
        <v>56.789132155269627</v>
      </c>
      <c r="U397" s="346">
        <f t="shared" si="156"/>
        <v>35481</v>
      </c>
      <c r="V397" s="346">
        <f t="shared" si="157"/>
        <v>1258901361</v>
      </c>
      <c r="X397" s="372">
        <f t="shared" ref="X397:X460" si="177">20*LOG10((K397/(I397*M397))*AEA)</f>
        <v>23.768512848511833</v>
      </c>
      <c r="Y397" s="373">
        <f t="shared" ref="Y397:Y460" si="178">(L397-(J397+N397))*radconv</f>
        <v>-13.247323408606075</v>
      </c>
      <c r="AA397" s="372">
        <f t="shared" ref="AA397:AA460" si="179">20*LOG10((E397*G397/(C397*O397))*Acs*Am)</f>
        <v>19.004282200749238</v>
      </c>
      <c r="AB397" s="373">
        <f t="shared" ref="AB397:AB460" si="180">(F397+H397-(D397+P397))*radconv</f>
        <v>-109.96354443612431</v>
      </c>
      <c r="AD397">
        <f t="shared" si="158"/>
        <v>0</v>
      </c>
      <c r="AE397">
        <f t="shared" si="161"/>
        <v>0</v>
      </c>
    </row>
    <row r="398" spans="1:31" x14ac:dyDescent="0.2">
      <c r="A398" s="374">
        <v>35687.75</v>
      </c>
      <c r="B398" s="391">
        <f t="shared" ref="B398:B461" si="181">A398/1000</f>
        <v>35.687750000000001</v>
      </c>
      <c r="C398" s="364">
        <f t="shared" si="162"/>
        <v>45.673728835403146</v>
      </c>
      <c r="D398" s="365">
        <f t="shared" si="163"/>
        <v>1.5489001528445248</v>
      </c>
      <c r="E398" s="365">
        <f t="shared" si="164"/>
        <v>1.0873256350936809</v>
      </c>
      <c r="F398" s="366">
        <f t="shared" si="165"/>
        <v>0.40351197667067479</v>
      </c>
      <c r="G398" s="365">
        <f t="shared" si="166"/>
        <v>1</v>
      </c>
      <c r="H398" s="366">
        <f t="shared" si="167"/>
        <v>0</v>
      </c>
      <c r="I398" s="364">
        <f t="shared" si="168"/>
        <v>12115.894019350188</v>
      </c>
      <c r="J398" s="367">
        <f t="shared" si="169"/>
        <v>1.5707137905825843</v>
      </c>
      <c r="K398" s="375">
        <f t="shared" si="159"/>
        <v>7.3936218054308771</v>
      </c>
      <c r="L398" s="376">
        <f t="shared" si="160"/>
        <v>1.4351288233316692</v>
      </c>
      <c r="M398" s="364">
        <f t="shared" si="170"/>
        <v>1.0045672714160323</v>
      </c>
      <c r="N398" s="367">
        <f t="shared" si="171"/>
        <v>9.5393454604689384E-2</v>
      </c>
      <c r="O398" s="368">
        <f t="shared" si="172"/>
        <v>1.2581444253845833</v>
      </c>
      <c r="P398" s="369">
        <f t="shared" si="173"/>
        <v>0.77542779537325435</v>
      </c>
      <c r="Q398" s="370">
        <f t="shared" si="174"/>
        <v>-8.7707544118739289</v>
      </c>
      <c r="R398" s="371">
        <f t="shared" si="175"/>
        <v>-123.28873726276626</v>
      </c>
      <c r="S398" s="373">
        <f t="shared" si="176"/>
        <v>56.711262737233739</v>
      </c>
      <c r="U398" s="346">
        <f t="shared" ref="U398:U461" si="182">IF(Q398&lt;0,A398,1000000000)</f>
        <v>35687.75</v>
      </c>
      <c r="V398" s="346">
        <f t="shared" ref="V398:V461" si="183">A398^2</f>
        <v>1273615500.0625</v>
      </c>
      <c r="X398" s="372">
        <f t="shared" si="177"/>
        <v>23.767129159890821</v>
      </c>
      <c r="Y398" s="373">
        <f t="shared" si="178"/>
        <v>-13.234088746040573</v>
      </c>
      <c r="AA398" s="372">
        <f t="shared" si="179"/>
        <v>18.942741782789625</v>
      </c>
      <c r="AB398" s="373">
        <f t="shared" si="180"/>
        <v>-110.05464851672566</v>
      </c>
      <c r="AD398">
        <f t="shared" ref="AD398:AD461" si="184">SUM((Q399&lt;0)*(Q398&gt;0))*A398</f>
        <v>0</v>
      </c>
      <c r="AE398">
        <f t="shared" si="161"/>
        <v>0</v>
      </c>
    </row>
    <row r="399" spans="1:31" x14ac:dyDescent="0.2">
      <c r="A399" s="374">
        <v>35894.5</v>
      </c>
      <c r="B399" s="391">
        <f t="shared" si="181"/>
        <v>35.894500000000001</v>
      </c>
      <c r="C399" s="364">
        <f t="shared" si="162"/>
        <v>45.938204174838809</v>
      </c>
      <c r="D399" s="365">
        <f t="shared" si="163"/>
        <v>1.5490262334308704</v>
      </c>
      <c r="E399" s="365">
        <f t="shared" si="164"/>
        <v>1.088299190071079</v>
      </c>
      <c r="F399" s="366">
        <f t="shared" si="165"/>
        <v>0.40560216160548818</v>
      </c>
      <c r="G399" s="365">
        <f t="shared" si="166"/>
        <v>1</v>
      </c>
      <c r="H399" s="366">
        <f t="shared" si="167"/>
        <v>0</v>
      </c>
      <c r="I399" s="364">
        <f t="shared" si="168"/>
        <v>12186.085081310817</v>
      </c>
      <c r="J399" s="367">
        <f t="shared" si="169"/>
        <v>1.5707142659858304</v>
      </c>
      <c r="K399" s="375">
        <f t="shared" si="159"/>
        <v>7.4356739685823756</v>
      </c>
      <c r="L399" s="376">
        <f t="shared" si="160"/>
        <v>1.4359007872336556</v>
      </c>
      <c r="M399" s="364">
        <f t="shared" si="170"/>
        <v>1.0046202218492517</v>
      </c>
      <c r="N399" s="367">
        <f t="shared" si="171"/>
        <v>9.5942722429679383E-2</v>
      </c>
      <c r="O399" s="368">
        <f t="shared" si="172"/>
        <v>1.2608815536307105</v>
      </c>
      <c r="P399" s="369">
        <f t="shared" si="173"/>
        <v>0.77897260843322869</v>
      </c>
      <c r="Q399" s="370">
        <f t="shared" si="174"/>
        <v>-8.833378077889682</v>
      </c>
      <c r="R399" s="371">
        <f t="shared" si="175"/>
        <v>-123.36657289393767</v>
      </c>
      <c r="S399" s="373">
        <f t="shared" si="176"/>
        <v>56.633427106062328</v>
      </c>
      <c r="U399" s="346">
        <f t="shared" si="182"/>
        <v>35894.5</v>
      </c>
      <c r="V399" s="346">
        <f t="shared" si="183"/>
        <v>1288415130.25</v>
      </c>
      <c r="X399" s="372">
        <f t="shared" si="177"/>
        <v>23.765758678540152</v>
      </c>
      <c r="Y399" s="373">
        <f t="shared" si="178"/>
        <v>-13.221356439299589</v>
      </c>
      <c r="AA399" s="372">
        <f t="shared" si="179"/>
        <v>18.881488598124541</v>
      </c>
      <c r="AB399" s="373">
        <f t="shared" si="180"/>
        <v>-110.14521645463806</v>
      </c>
      <c r="AD399">
        <f t="shared" si="184"/>
        <v>0</v>
      </c>
      <c r="AE399">
        <f t="shared" si="161"/>
        <v>0</v>
      </c>
    </row>
    <row r="400" spans="1:31" x14ac:dyDescent="0.2">
      <c r="A400" s="374">
        <v>36101.25</v>
      </c>
      <c r="B400" s="391">
        <f t="shared" si="181"/>
        <v>36.10125</v>
      </c>
      <c r="C400" s="364">
        <f t="shared" si="162"/>
        <v>46.202680236162358</v>
      </c>
      <c r="D400" s="365">
        <f t="shared" si="163"/>
        <v>1.5491508705835719</v>
      </c>
      <c r="E400" s="365">
        <f t="shared" si="164"/>
        <v>1.0892774911783509</v>
      </c>
      <c r="F400" s="366">
        <f t="shared" si="165"/>
        <v>0.40768860117133776</v>
      </c>
      <c r="G400" s="365">
        <f t="shared" si="166"/>
        <v>1</v>
      </c>
      <c r="H400" s="366">
        <f t="shared" si="167"/>
        <v>0</v>
      </c>
      <c r="I400" s="364">
        <f t="shared" si="168"/>
        <v>12256.27614327417</v>
      </c>
      <c r="J400" s="367">
        <f t="shared" si="169"/>
        <v>1.5707147359438567</v>
      </c>
      <c r="K400" s="375">
        <f t="shared" si="159"/>
        <v>7.4777305130223795</v>
      </c>
      <c r="L400" s="376">
        <f t="shared" si="160"/>
        <v>1.4366640681671035</v>
      </c>
      <c r="M400" s="364">
        <f t="shared" si="170"/>
        <v>1.0046734753395112</v>
      </c>
      <c r="N400" s="367">
        <f t="shared" si="171"/>
        <v>9.6491932191621693E-2</v>
      </c>
      <c r="O400" s="368">
        <f t="shared" si="172"/>
        <v>1.2636296239093476</v>
      </c>
      <c r="P400" s="369">
        <f t="shared" si="173"/>
        <v>0.78250582317819473</v>
      </c>
      <c r="Q400" s="370">
        <f t="shared" si="174"/>
        <v>-8.8957045126725323</v>
      </c>
      <c r="R400" s="371">
        <f t="shared" si="175"/>
        <v>-123.44436974048327</v>
      </c>
      <c r="S400" s="373">
        <f t="shared" si="176"/>
        <v>56.555630259516732</v>
      </c>
      <c r="U400" s="346">
        <f t="shared" si="182"/>
        <v>36101.25</v>
      </c>
      <c r="V400" s="346">
        <f t="shared" si="183"/>
        <v>1303300251.5625</v>
      </c>
      <c r="X400" s="372">
        <f t="shared" si="177"/>
        <v>23.764401049686139</v>
      </c>
      <c r="Y400" s="373">
        <f t="shared" si="178"/>
        <v>-13.20911799125437</v>
      </c>
      <c r="AA400" s="372">
        <f t="shared" si="179"/>
        <v>18.820519792195704</v>
      </c>
      <c r="AB400" s="373">
        <f t="shared" si="180"/>
        <v>-110.23525174922891</v>
      </c>
      <c r="AD400">
        <f t="shared" si="184"/>
        <v>0</v>
      </c>
      <c r="AE400">
        <f t="shared" si="161"/>
        <v>0</v>
      </c>
    </row>
    <row r="401" spans="1:31" x14ac:dyDescent="0.2">
      <c r="A401" s="374">
        <v>36308</v>
      </c>
      <c r="B401" s="391">
        <f t="shared" si="181"/>
        <v>36.308</v>
      </c>
      <c r="C401" s="364">
        <f t="shared" si="162"/>
        <v>46.46715700704754</v>
      </c>
      <c r="D401" s="365">
        <f t="shared" si="163"/>
        <v>1.549274088945465</v>
      </c>
      <c r="E401" s="365">
        <f t="shared" si="164"/>
        <v>1.0902605256392546</v>
      </c>
      <c r="F401" s="366">
        <f t="shared" si="165"/>
        <v>0.40977128730949064</v>
      </c>
      <c r="G401" s="365">
        <f t="shared" si="166"/>
        <v>1</v>
      </c>
      <c r="H401" s="366">
        <f t="shared" si="167"/>
        <v>0</v>
      </c>
      <c r="I401" s="364">
        <f t="shared" si="168"/>
        <v>12326.467205240195</v>
      </c>
      <c r="J401" s="367">
        <f t="shared" si="169"/>
        <v>1.5707152005496841</v>
      </c>
      <c r="K401" s="375">
        <f t="shared" si="159"/>
        <v>7.5197913652401311</v>
      </c>
      <c r="L401" s="376">
        <f t="shared" si="160"/>
        <v>1.4374188109358359</v>
      </c>
      <c r="M401" s="364">
        <f t="shared" si="170"/>
        <v>1.004727031838623</v>
      </c>
      <c r="N401" s="367">
        <f t="shared" si="171"/>
        <v>9.7041083568457517E-2</v>
      </c>
      <c r="O401" s="368">
        <f t="shared" si="172"/>
        <v>1.2663885841459206</v>
      </c>
      <c r="P401" s="369">
        <f t="shared" si="173"/>
        <v>0.78602746770997878</v>
      </c>
      <c r="Q401" s="370">
        <f t="shared" si="174"/>
        <v>-8.957736864672027</v>
      </c>
      <c r="R401" s="371">
        <f t="shared" si="175"/>
        <v>-123.52212297641029</v>
      </c>
      <c r="S401" s="373">
        <f t="shared" si="176"/>
        <v>56.477877023589713</v>
      </c>
      <c r="U401" s="346">
        <f t="shared" si="182"/>
        <v>36308</v>
      </c>
      <c r="V401" s="346">
        <f t="shared" si="183"/>
        <v>1318270864</v>
      </c>
      <c r="X401" s="372">
        <f t="shared" si="177"/>
        <v>23.763055928475914</v>
      </c>
      <c r="Y401" s="373">
        <f t="shared" si="178"/>
        <v>-13.197365092134079</v>
      </c>
      <c r="AA401" s="372">
        <f t="shared" si="179"/>
        <v>18.759832561406434</v>
      </c>
      <c r="AB401" s="373">
        <f t="shared" si="180"/>
        <v>-110.32475788427617</v>
      </c>
      <c r="AD401">
        <f t="shared" si="184"/>
        <v>0</v>
      </c>
      <c r="AE401">
        <f t="shared" si="161"/>
        <v>0</v>
      </c>
    </row>
    <row r="402" spans="1:31" x14ac:dyDescent="0.2">
      <c r="A402" s="374">
        <v>36519.5</v>
      </c>
      <c r="B402" s="391">
        <f t="shared" si="181"/>
        <v>36.519500000000001</v>
      </c>
      <c r="C402" s="364">
        <f t="shared" si="162"/>
        <v>46.737710749450265</v>
      </c>
      <c r="D402" s="365">
        <f t="shared" si="163"/>
        <v>1.5493986952504204</v>
      </c>
      <c r="E402" s="365">
        <f t="shared" si="164"/>
        <v>1.0912710293162533</v>
      </c>
      <c r="F402" s="366">
        <f t="shared" si="165"/>
        <v>0.41189793033914007</v>
      </c>
      <c r="G402" s="365">
        <f t="shared" si="166"/>
        <v>1</v>
      </c>
      <c r="H402" s="366">
        <f t="shared" si="167"/>
        <v>0</v>
      </c>
      <c r="I402" s="364">
        <f t="shared" si="168"/>
        <v>12398.270879273461</v>
      </c>
      <c r="J402" s="367">
        <f t="shared" si="169"/>
        <v>1.5707156703863683</v>
      </c>
      <c r="K402" s="375">
        <f t="shared" si="159"/>
        <v>7.5628229314381992</v>
      </c>
      <c r="L402" s="376">
        <f t="shared" si="160"/>
        <v>1.4381822066062007</v>
      </c>
      <c r="M402" s="364">
        <f t="shared" si="170"/>
        <v>1.0047821322578188</v>
      </c>
      <c r="N402" s="367">
        <f t="shared" si="171"/>
        <v>9.7602790734214337E-2</v>
      </c>
      <c r="O402" s="368">
        <f t="shared" si="172"/>
        <v>1.2692221445299472</v>
      </c>
      <c r="P402" s="369">
        <f t="shared" si="173"/>
        <v>0.78961807841475651</v>
      </c>
      <c r="Q402" s="370">
        <f t="shared" si="174"/>
        <v>-9.0208933111059917</v>
      </c>
      <c r="R402" s="371">
        <f t="shared" si="175"/>
        <v>-123.60161258057288</v>
      </c>
      <c r="S402" s="373">
        <f t="shared" si="176"/>
        <v>56.398387419427124</v>
      </c>
      <c r="U402" s="346">
        <f t="shared" si="182"/>
        <v>36519.5</v>
      </c>
      <c r="V402" s="346">
        <f t="shared" si="183"/>
        <v>1333673880.25</v>
      </c>
      <c r="X402" s="372">
        <f t="shared" si="177"/>
        <v>23.761692496112484</v>
      </c>
      <c r="Y402" s="373">
        <f t="shared" si="178"/>
        <v>-13.185836111689635</v>
      </c>
      <c r="AA402" s="372">
        <f t="shared" si="179"/>
        <v>18.698039547335895</v>
      </c>
      <c r="AB402" s="373">
        <f t="shared" si="180"/>
        <v>-110.41577646888325</v>
      </c>
      <c r="AD402">
        <f t="shared" si="184"/>
        <v>0</v>
      </c>
      <c r="AE402">
        <f t="shared" si="161"/>
        <v>0</v>
      </c>
    </row>
    <row r="403" spans="1:31" x14ac:dyDescent="0.2">
      <c r="A403" s="374">
        <v>36731</v>
      </c>
      <c r="B403" s="391">
        <f t="shared" si="181"/>
        <v>36.731000000000002</v>
      </c>
      <c r="C403" s="364">
        <f t="shared" si="162"/>
        <v>47.008265209183584</v>
      </c>
      <c r="D403" s="365">
        <f t="shared" si="163"/>
        <v>1.5495218672226325</v>
      </c>
      <c r="E403" s="365">
        <f t="shared" si="164"/>
        <v>1.0922864592424111</v>
      </c>
      <c r="F403" s="366">
        <f t="shared" si="165"/>
        <v>0.41402062894192565</v>
      </c>
      <c r="G403" s="365">
        <f t="shared" si="166"/>
        <v>1</v>
      </c>
      <c r="H403" s="366">
        <f t="shared" si="167"/>
        <v>0</v>
      </c>
      <c r="I403" s="364">
        <f t="shared" si="168"/>
        <v>12470.07455330943</v>
      </c>
      <c r="J403" s="367">
        <f t="shared" si="169"/>
        <v>1.5707161348123388</v>
      </c>
      <c r="K403" s="375">
        <f t="shared" si="159"/>
        <v>7.6058588551719302</v>
      </c>
      <c r="L403" s="376">
        <f t="shared" si="160"/>
        <v>1.438936963730548</v>
      </c>
      <c r="M403" s="364">
        <f t="shared" si="170"/>
        <v>1.0048375496659625</v>
      </c>
      <c r="N403" s="367">
        <f t="shared" si="171"/>
        <v>9.8164436120171908E-2</v>
      </c>
      <c r="O403" s="368">
        <f t="shared" si="172"/>
        <v>1.2720669916663259</v>
      </c>
      <c r="P403" s="369">
        <f t="shared" si="173"/>
        <v>0.79319664207766361</v>
      </c>
      <c r="Q403" s="370">
        <f t="shared" si="174"/>
        <v>-9.083748483699976</v>
      </c>
      <c r="R403" s="371">
        <f t="shared" si="175"/>
        <v>-123.68104686037506</v>
      </c>
      <c r="S403" s="373">
        <f t="shared" si="176"/>
        <v>56.318953139624938</v>
      </c>
      <c r="U403" s="346">
        <f t="shared" si="182"/>
        <v>36731</v>
      </c>
      <c r="V403" s="346">
        <f t="shared" si="183"/>
        <v>1349166361</v>
      </c>
      <c r="X403" s="372">
        <f t="shared" si="177"/>
        <v>23.760341453041928</v>
      </c>
      <c r="Y403" s="373">
        <f t="shared" si="178"/>
        <v>-13.174798233740866</v>
      </c>
      <c r="AA403" s="372">
        <f t="shared" si="179"/>
        <v>18.636535417812475</v>
      </c>
      <c r="AB403" s="373">
        <f t="shared" si="180"/>
        <v>-110.50624862663422</v>
      </c>
      <c r="AD403">
        <f t="shared" si="184"/>
        <v>0</v>
      </c>
      <c r="AE403">
        <f t="shared" si="161"/>
        <v>0</v>
      </c>
    </row>
    <row r="404" spans="1:31" x14ac:dyDescent="0.2">
      <c r="A404" s="374">
        <v>36942.5</v>
      </c>
      <c r="B404" s="391">
        <f t="shared" si="181"/>
        <v>36.942500000000003</v>
      </c>
      <c r="C404" s="364">
        <f t="shared" si="162"/>
        <v>47.278820373932653</v>
      </c>
      <c r="D404" s="365">
        <f t="shared" si="163"/>
        <v>1.5496436294824312</v>
      </c>
      <c r="E404" s="365">
        <f t="shared" si="164"/>
        <v>1.0933068016916796</v>
      </c>
      <c r="F404" s="366">
        <f t="shared" si="165"/>
        <v>0.41613937500582421</v>
      </c>
      <c r="G404" s="365">
        <f t="shared" si="166"/>
        <v>1</v>
      </c>
      <c r="H404" s="366">
        <f t="shared" si="167"/>
        <v>0</v>
      </c>
      <c r="I404" s="364">
        <f t="shared" si="168"/>
        <v>12541.878227348061</v>
      </c>
      <c r="J404" s="367">
        <f t="shared" si="169"/>
        <v>1.570716593920527</v>
      </c>
      <c r="K404" s="375">
        <f t="shared" si="159"/>
        <v>7.6488990628893392</v>
      </c>
      <c r="L404" s="376">
        <f t="shared" si="160"/>
        <v>1.439683227268427</v>
      </c>
      <c r="M404" s="364">
        <f t="shared" si="170"/>
        <v>1.0048932840106104</v>
      </c>
      <c r="N404" s="367">
        <f t="shared" si="171"/>
        <v>9.8726019382243652E-2</v>
      </c>
      <c r="O404" s="368">
        <f t="shared" si="172"/>
        <v>1.2749230707267318</v>
      </c>
      <c r="P404" s="369">
        <f t="shared" si="173"/>
        <v>0.79676319020616015</v>
      </c>
      <c r="Q404" s="370">
        <f t="shared" si="174"/>
        <v>-9.1463055654533871</v>
      </c>
      <c r="R404" s="371">
        <f t="shared" si="175"/>
        <v>-123.76042117652646</v>
      </c>
      <c r="S404" s="373">
        <f t="shared" si="176"/>
        <v>56.239578823473536</v>
      </c>
      <c r="U404" s="346">
        <f t="shared" si="182"/>
        <v>36942.5</v>
      </c>
      <c r="V404" s="346">
        <f t="shared" si="183"/>
        <v>1364748306.25</v>
      </c>
      <c r="X404" s="372">
        <f t="shared" si="177"/>
        <v>23.759002460217339</v>
      </c>
      <c r="Y404" s="373">
        <f t="shared" si="178"/>
        <v>-13.16424313832726</v>
      </c>
      <c r="AA404" s="372">
        <f t="shared" si="179"/>
        <v>18.575317328883649</v>
      </c>
      <c r="AB404" s="373">
        <f t="shared" si="180"/>
        <v>-110.5961780381992</v>
      </c>
      <c r="AD404">
        <f t="shared" si="184"/>
        <v>0</v>
      </c>
      <c r="AE404">
        <f t="shared" si="161"/>
        <v>0</v>
      </c>
    </row>
    <row r="405" spans="1:31" x14ac:dyDescent="0.2">
      <c r="A405" s="374">
        <v>37154</v>
      </c>
      <c r="B405" s="391">
        <f t="shared" si="181"/>
        <v>37.154000000000003</v>
      </c>
      <c r="C405" s="364">
        <f t="shared" si="162"/>
        <v>47.549376231662897</v>
      </c>
      <c r="D405" s="365">
        <f t="shared" si="163"/>
        <v>1.5497640060899578</v>
      </c>
      <c r="E405" s="365">
        <f t="shared" si="164"/>
        <v>1.0943320429229206</v>
      </c>
      <c r="F405" s="366">
        <f t="shared" si="165"/>
        <v>0.41825416059093867</v>
      </c>
      <c r="G405" s="365">
        <f t="shared" si="166"/>
        <v>1</v>
      </c>
      <c r="H405" s="366">
        <f t="shared" si="167"/>
        <v>0</v>
      </c>
      <c r="I405" s="364">
        <f t="shared" si="168"/>
        <v>12613.681901389304</v>
      </c>
      <c r="J405" s="367">
        <f t="shared" si="169"/>
        <v>1.5707170478017474</v>
      </c>
      <c r="K405" s="375">
        <f t="shared" si="159"/>
        <v>7.6919434826774387</v>
      </c>
      <c r="L405" s="376">
        <f t="shared" si="160"/>
        <v>1.4404211389729171</v>
      </c>
      <c r="M405" s="364">
        <f t="shared" si="170"/>
        <v>1.0049493352390311</v>
      </c>
      <c r="N405" s="367">
        <f t="shared" si="171"/>
        <v>9.9287540176575789E-2</v>
      </c>
      <c r="O405" s="368">
        <f t="shared" si="172"/>
        <v>1.2777903271953104</v>
      </c>
      <c r="P405" s="369">
        <f t="shared" si="173"/>
        <v>0.80031775476255718</v>
      </c>
      <c r="Q405" s="370">
        <f t="shared" si="174"/>
        <v>-9.2085676794667908</v>
      </c>
      <c r="R405" s="371">
        <f t="shared" si="175"/>
        <v>-123.83973105744845</v>
      </c>
      <c r="S405" s="373">
        <f t="shared" si="176"/>
        <v>56.160268942551554</v>
      </c>
      <c r="U405" s="346">
        <f t="shared" si="182"/>
        <v>37154</v>
      </c>
      <c r="V405" s="346">
        <f t="shared" si="183"/>
        <v>1380419716</v>
      </c>
      <c r="X405" s="372">
        <f t="shared" si="177"/>
        <v>23.75767518808118</v>
      </c>
      <c r="Y405" s="373">
        <f t="shared" si="178"/>
        <v>-13.154162689097546</v>
      </c>
      <c r="AA405" s="372">
        <f t="shared" si="179"/>
        <v>18.514382487006408</v>
      </c>
      <c r="AB405" s="373">
        <f t="shared" si="180"/>
        <v>-110.68556836835091</v>
      </c>
      <c r="AD405">
        <f t="shared" si="184"/>
        <v>0</v>
      </c>
      <c r="AE405">
        <f t="shared" si="161"/>
        <v>0</v>
      </c>
    </row>
    <row r="406" spans="1:31" x14ac:dyDescent="0.2">
      <c r="A406" s="374">
        <v>37370.25</v>
      </c>
      <c r="B406" s="391">
        <f t="shared" si="181"/>
        <v>37.370249999999999</v>
      </c>
      <c r="C406" s="364">
        <f t="shared" si="162"/>
        <v>47.82600910723292</v>
      </c>
      <c r="D406" s="365">
        <f t="shared" si="163"/>
        <v>1.5498856780023611</v>
      </c>
      <c r="E406" s="365">
        <f t="shared" si="164"/>
        <v>1.0953853603847983</v>
      </c>
      <c r="F406" s="366">
        <f t="shared" si="165"/>
        <v>0.42041233837126729</v>
      </c>
      <c r="G406" s="365">
        <f t="shared" si="166"/>
        <v>1</v>
      </c>
      <c r="H406" s="366">
        <f t="shared" si="167"/>
        <v>0</v>
      </c>
      <c r="I406" s="364">
        <f t="shared" si="168"/>
        <v>12687.098187497959</v>
      </c>
      <c r="J406" s="367">
        <f t="shared" si="169"/>
        <v>1.570717506564592</v>
      </c>
      <c r="K406" s="375">
        <f t="shared" si="159"/>
        <v>7.7359589029011984</v>
      </c>
      <c r="L406" s="376">
        <f t="shared" si="160"/>
        <v>1.441167132261481</v>
      </c>
      <c r="M406" s="364">
        <f t="shared" si="170"/>
        <v>1.005006972884807</v>
      </c>
      <c r="N406" s="367">
        <f t="shared" si="171"/>
        <v>9.9861607012170853E-2</v>
      </c>
      <c r="O406" s="368">
        <f t="shared" si="172"/>
        <v>1.2807334786242373</v>
      </c>
      <c r="P406" s="369">
        <f t="shared" si="173"/>
        <v>0.80393979342670907</v>
      </c>
      <c r="Q406" s="370">
        <f t="shared" si="174"/>
        <v>-9.2719263283935032</v>
      </c>
      <c r="R406" s="371">
        <f t="shared" si="175"/>
        <v>-123.9207510200774</v>
      </c>
      <c r="S406" s="373">
        <f t="shared" si="176"/>
        <v>56.079248979922596</v>
      </c>
      <c r="U406" s="346">
        <f t="shared" si="182"/>
        <v>37370.25</v>
      </c>
      <c r="V406" s="346">
        <f t="shared" si="183"/>
        <v>1396535585.0625</v>
      </c>
      <c r="X406" s="372">
        <f t="shared" si="177"/>
        <v>23.756329892038401</v>
      </c>
      <c r="Y406" s="373">
        <f t="shared" si="178"/>
        <v>-13.144338314119352</v>
      </c>
      <c r="AA406" s="372">
        <f t="shared" si="179"/>
        <v>18.452369134122467</v>
      </c>
      <c r="AB406" s="373">
        <f t="shared" si="180"/>
        <v>-110.77641270595807</v>
      </c>
      <c r="AD406">
        <f t="shared" si="184"/>
        <v>0</v>
      </c>
      <c r="AE406">
        <f t="shared" si="161"/>
        <v>0</v>
      </c>
    </row>
    <row r="407" spans="1:31" x14ac:dyDescent="0.2">
      <c r="A407" s="374">
        <v>37586.5</v>
      </c>
      <c r="B407" s="391">
        <f t="shared" si="181"/>
        <v>37.586500000000001</v>
      </c>
      <c r="C407" s="364">
        <f t="shared" si="162"/>
        <v>48.102642682678287</v>
      </c>
      <c r="D407" s="365">
        <f t="shared" si="163"/>
        <v>1.5500059504700825</v>
      </c>
      <c r="E407" s="365">
        <f t="shared" si="164"/>
        <v>1.0964437700408742</v>
      </c>
      <c r="F407" s="366">
        <f t="shared" si="165"/>
        <v>0.42256635954117577</v>
      </c>
      <c r="G407" s="365">
        <f t="shared" si="166"/>
        <v>1</v>
      </c>
      <c r="H407" s="366">
        <f t="shared" si="167"/>
        <v>0</v>
      </c>
      <c r="I407" s="364">
        <f t="shared" si="168"/>
        <v>12760.514473609252</v>
      </c>
      <c r="J407" s="367">
        <f t="shared" si="169"/>
        <v>1.5707179600485486</v>
      </c>
      <c r="K407" s="375">
        <f t="shared" ref="K407:K470" si="185">SQRT(1+(A407/Zero2)^2)</f>
        <v>7.7799785795185095</v>
      </c>
      <c r="L407" s="376">
        <f t="shared" ref="L407:L470" si="186">ATAN(A407/Zero2)</f>
        <v>1.4419046841896084</v>
      </c>
      <c r="M407" s="364">
        <f t="shared" si="170"/>
        <v>1.0050649416953255</v>
      </c>
      <c r="N407" s="367">
        <f t="shared" si="171"/>
        <v>0.10043560781637124</v>
      </c>
      <c r="O407" s="368">
        <f t="shared" si="172"/>
        <v>1.2836882008986432</v>
      </c>
      <c r="P407" s="369">
        <f t="shared" si="173"/>
        <v>0.80754937318562459</v>
      </c>
      <c r="Q407" s="370">
        <f t="shared" si="174"/>
        <v>-9.3349830300071179</v>
      </c>
      <c r="R407" s="371">
        <f t="shared" si="175"/>
        <v>-124.00169468252723</v>
      </c>
      <c r="S407" s="373">
        <f t="shared" si="176"/>
        <v>55.99830531747277</v>
      </c>
      <c r="U407" s="346">
        <f t="shared" si="182"/>
        <v>37586.5</v>
      </c>
      <c r="V407" s="346">
        <f t="shared" si="183"/>
        <v>1412744982.25</v>
      </c>
      <c r="X407" s="372">
        <f t="shared" si="177"/>
        <v>23.754996181284991</v>
      </c>
      <c r="Y407" s="373">
        <f t="shared" si="178"/>
        <v>-13.134993507689822</v>
      </c>
      <c r="AA407" s="372">
        <f t="shared" si="179"/>
        <v>18.390646143262266</v>
      </c>
      <c r="AB407" s="373">
        <f t="shared" si="180"/>
        <v>-110.86670117483743</v>
      </c>
      <c r="AD407">
        <f t="shared" si="184"/>
        <v>0</v>
      </c>
      <c r="AE407">
        <f t="shared" si="161"/>
        <v>0</v>
      </c>
    </row>
    <row r="408" spans="1:31" x14ac:dyDescent="0.2">
      <c r="A408" s="374">
        <v>37802.75</v>
      </c>
      <c r="B408" s="391">
        <f t="shared" si="181"/>
        <v>37.802750000000003</v>
      </c>
      <c r="C408" s="364">
        <f t="shared" si="162"/>
        <v>48.379276945993325</v>
      </c>
      <c r="D408" s="365">
        <f t="shared" si="163"/>
        <v>1.5501248474958214</v>
      </c>
      <c r="E408" s="365">
        <f t="shared" si="164"/>
        <v>1.0975072571587792</v>
      </c>
      <c r="F408" s="366">
        <f t="shared" si="165"/>
        <v>0.42471621616675881</v>
      </c>
      <c r="G408" s="365">
        <f t="shared" si="166"/>
        <v>1</v>
      </c>
      <c r="H408" s="366">
        <f t="shared" si="167"/>
        <v>0</v>
      </c>
      <c r="I408" s="364">
        <f t="shared" si="168"/>
        <v>12833.93075972314</v>
      </c>
      <c r="J408" s="367">
        <f t="shared" si="169"/>
        <v>1.5707184083442105</v>
      </c>
      <c r="K408" s="375">
        <f t="shared" si="185"/>
        <v>7.824002440686959</v>
      </c>
      <c r="L408" s="376">
        <f t="shared" si="186"/>
        <v>1.4426339364407965</v>
      </c>
      <c r="M408" s="364">
        <f t="shared" si="170"/>
        <v>1.0051232416132885</v>
      </c>
      <c r="N408" s="367">
        <f t="shared" si="171"/>
        <v>0.10100954222239457</v>
      </c>
      <c r="O408" s="368">
        <f t="shared" si="172"/>
        <v>1.2866544367678165</v>
      </c>
      <c r="P408" s="369">
        <f t="shared" si="173"/>
        <v>0.81114652959797462</v>
      </c>
      <c r="Q408" s="370">
        <f t="shared" si="174"/>
        <v>-9.397740938482892</v>
      </c>
      <c r="R408" s="371">
        <f t="shared" si="175"/>
        <v>-124.08255777830148</v>
      </c>
      <c r="S408" s="373">
        <f t="shared" si="176"/>
        <v>55.917442221698522</v>
      </c>
      <c r="U408" s="346">
        <f t="shared" si="182"/>
        <v>37802.75</v>
      </c>
      <c r="V408" s="346">
        <f t="shared" si="183"/>
        <v>1429047907.5625</v>
      </c>
      <c r="X408" s="372">
        <f t="shared" si="177"/>
        <v>23.753673732319882</v>
      </c>
      <c r="Y408" s="373">
        <f t="shared" si="178"/>
        <v>-13.126120136118077</v>
      </c>
      <c r="AA408" s="372">
        <f t="shared" si="179"/>
        <v>18.329210683751608</v>
      </c>
      <c r="AB408" s="373">
        <f t="shared" si="180"/>
        <v>-110.95643764218339</v>
      </c>
      <c r="AD408">
        <f t="shared" si="184"/>
        <v>0</v>
      </c>
      <c r="AE408">
        <f t="shared" si="161"/>
        <v>0</v>
      </c>
    </row>
    <row r="409" spans="1:31" x14ac:dyDescent="0.2">
      <c r="A409" s="374">
        <v>38019</v>
      </c>
      <c r="B409" s="391">
        <f t="shared" si="181"/>
        <v>38.018999999999998</v>
      </c>
      <c r="C409" s="364">
        <f t="shared" si="162"/>
        <v>48.655911885445313</v>
      </c>
      <c r="D409" s="365">
        <f t="shared" si="163"/>
        <v>1.5502423925365618</v>
      </c>
      <c r="E409" s="365">
        <f t="shared" si="164"/>
        <v>1.0985758069926528</v>
      </c>
      <c r="F409" s="366">
        <f t="shared" si="165"/>
        <v>0.42686190049874262</v>
      </c>
      <c r="G409" s="365">
        <f t="shared" si="166"/>
        <v>1</v>
      </c>
      <c r="H409" s="366">
        <f t="shared" si="167"/>
        <v>0</v>
      </c>
      <c r="I409" s="364">
        <f t="shared" si="168"/>
        <v>12907.347045839579</v>
      </c>
      <c r="J409" s="367">
        <f t="shared" si="169"/>
        <v>1.5707188515401096</v>
      </c>
      <c r="K409" s="375">
        <f t="shared" si="185"/>
        <v>7.8680304161652979</v>
      </c>
      <c r="L409" s="376">
        <f t="shared" si="186"/>
        <v>1.4433550275629738</v>
      </c>
      <c r="M409" s="364">
        <f t="shared" si="170"/>
        <v>1.0051818725810837</v>
      </c>
      <c r="N409" s="367">
        <f t="shared" si="171"/>
        <v>0.10158340986371822</v>
      </c>
      <c r="O409" s="368">
        <f t="shared" si="172"/>
        <v>1.2896321293276882</v>
      </c>
      <c r="P409" s="369">
        <f t="shared" si="173"/>
        <v>0.81473129866555627</v>
      </c>
      <c r="Q409" s="370">
        <f t="shared" si="174"/>
        <v>-9.4602031491922567</v>
      </c>
      <c r="R409" s="371">
        <f t="shared" si="175"/>
        <v>-124.16333620399868</v>
      </c>
      <c r="S409" s="373">
        <f t="shared" si="176"/>
        <v>55.836663796001318</v>
      </c>
      <c r="U409" s="346">
        <f t="shared" si="182"/>
        <v>38019</v>
      </c>
      <c r="V409" s="346">
        <f t="shared" si="183"/>
        <v>1445444361</v>
      </c>
      <c r="X409" s="372">
        <f t="shared" si="177"/>
        <v>23.752362230700026</v>
      </c>
      <c r="Y409" s="373">
        <f t="shared" si="178"/>
        <v>-13.11771024526484</v>
      </c>
      <c r="AA409" s="372">
        <f t="shared" si="179"/>
        <v>18.268059974662094</v>
      </c>
      <c r="AB409" s="373">
        <f t="shared" si="180"/>
        <v>-111.04562595873388</v>
      </c>
      <c r="AD409">
        <f t="shared" si="184"/>
        <v>0</v>
      </c>
      <c r="AE409">
        <f t="shared" si="161"/>
        <v>0</v>
      </c>
    </row>
    <row r="410" spans="1:31" x14ac:dyDescent="0.2">
      <c r="A410" s="374">
        <v>38240.5</v>
      </c>
      <c r="B410" s="391">
        <f t="shared" si="181"/>
        <v>38.240499999999997</v>
      </c>
      <c r="C410" s="364">
        <f t="shared" si="162"/>
        <v>48.939263506622602</v>
      </c>
      <c r="D410" s="365">
        <f t="shared" si="163"/>
        <v>1.5503614136117774</v>
      </c>
      <c r="E410" s="365">
        <f t="shared" si="164"/>
        <v>1.0996755316472298</v>
      </c>
      <c r="F410" s="366">
        <f t="shared" si="165"/>
        <v>0.42905534322129357</v>
      </c>
      <c r="G410" s="365">
        <f t="shared" si="166"/>
        <v>1</v>
      </c>
      <c r="H410" s="366">
        <f t="shared" si="167"/>
        <v>0</v>
      </c>
      <c r="I410" s="364">
        <f t="shared" si="168"/>
        <v>12982.545692662021</v>
      </c>
      <c r="J410" s="367">
        <f t="shared" si="169"/>
        <v>1.5707193002991182</v>
      </c>
      <c r="K410" s="375">
        <f t="shared" si="185"/>
        <v>7.9131314724871205</v>
      </c>
      <c r="L410" s="376">
        <f t="shared" si="186"/>
        <v>1.4440853058025942</v>
      </c>
      <c r="M410" s="364">
        <f t="shared" si="170"/>
        <v>1.0052422701020818</v>
      </c>
      <c r="N410" s="367">
        <f t="shared" si="171"/>
        <v>0.10217113995335643</v>
      </c>
      <c r="O410" s="368">
        <f t="shared" si="172"/>
        <v>1.2926939308606624</v>
      </c>
      <c r="P410" s="369">
        <f t="shared" si="173"/>
        <v>0.81839029279110975</v>
      </c>
      <c r="Q410" s="370">
        <f t="shared" si="174"/>
        <v>-9.5238784052076753</v>
      </c>
      <c r="R410" s="371">
        <f t="shared" si="175"/>
        <v>-124.24598382405348</v>
      </c>
      <c r="S410" s="373">
        <f t="shared" si="176"/>
        <v>55.754016175946518</v>
      </c>
      <c r="U410" s="346">
        <f t="shared" si="182"/>
        <v>38240.5</v>
      </c>
      <c r="V410" s="346">
        <f t="shared" si="183"/>
        <v>1462335840.25</v>
      </c>
      <c r="X410" s="372">
        <f t="shared" si="177"/>
        <v>23.751029918970296</v>
      </c>
      <c r="Y410" s="373">
        <f t="shared" si="178"/>
        <v>-13.109568549881374</v>
      </c>
      <c r="AA410" s="372">
        <f t="shared" si="179"/>
        <v>18.205717030376402</v>
      </c>
      <c r="AB410" s="373">
        <f t="shared" si="180"/>
        <v>-111.13641527417208</v>
      </c>
      <c r="AD410">
        <f t="shared" si="184"/>
        <v>0</v>
      </c>
      <c r="AE410">
        <f t="shared" ref="AE410:AE473" si="187">IF(AD410&gt;0,S410,0)</f>
        <v>0</v>
      </c>
    </row>
    <row r="411" spans="1:31" x14ac:dyDescent="0.2">
      <c r="A411" s="374">
        <v>38462</v>
      </c>
      <c r="B411" s="391">
        <f t="shared" si="181"/>
        <v>38.462000000000003</v>
      </c>
      <c r="C411" s="364">
        <f t="shared" si="162"/>
        <v>49.222615813092588</v>
      </c>
      <c r="D411" s="365">
        <f t="shared" si="163"/>
        <v>1.5504790643877921</v>
      </c>
      <c r="E411" s="365">
        <f t="shared" si="164"/>
        <v>1.1007805364646224</v>
      </c>
      <c r="F411" s="366">
        <f t="shared" si="165"/>
        <v>0.43124439273794424</v>
      </c>
      <c r="G411" s="365">
        <f t="shared" si="166"/>
        <v>1</v>
      </c>
      <c r="H411" s="366">
        <f t="shared" si="167"/>
        <v>0</v>
      </c>
      <c r="I411" s="364">
        <f t="shared" si="168"/>
        <v>13057.744339487046</v>
      </c>
      <c r="J411" s="367">
        <f t="shared" si="169"/>
        <v>1.5707197438893825</v>
      </c>
      <c r="K411" s="375">
        <f t="shared" si="185"/>
        <v>7.9582367010978556</v>
      </c>
      <c r="L411" s="376">
        <f t="shared" si="186"/>
        <v>1.4448073063670273</v>
      </c>
      <c r="M411" s="364">
        <f t="shared" si="170"/>
        <v>1.0053030148187643</v>
      </c>
      <c r="N411" s="367">
        <f t="shared" si="171"/>
        <v>0.10275879921962562</v>
      </c>
      <c r="O411" s="368">
        <f t="shared" si="172"/>
        <v>1.2957676323842076</v>
      </c>
      <c r="P411" s="369">
        <f t="shared" si="173"/>
        <v>0.82203636863167751</v>
      </c>
      <c r="Q411" s="370">
        <f t="shared" si="174"/>
        <v>-9.5872498229773591</v>
      </c>
      <c r="R411" s="371">
        <f t="shared" si="175"/>
        <v>-124.32853440252066</v>
      </c>
      <c r="S411" s="373">
        <f t="shared" si="176"/>
        <v>55.67146559747934</v>
      </c>
      <c r="U411" s="346">
        <f t="shared" si="182"/>
        <v>38462</v>
      </c>
      <c r="V411" s="346">
        <f t="shared" si="183"/>
        <v>1479325444</v>
      </c>
      <c r="X411" s="372">
        <f t="shared" si="177"/>
        <v>23.749708452626308</v>
      </c>
      <c r="Y411" s="373">
        <f t="shared" si="178"/>
        <v>-13.101896776323491</v>
      </c>
      <c r="AA411" s="372">
        <f t="shared" si="179"/>
        <v>18.14366707895071</v>
      </c>
      <c r="AB411" s="373">
        <f t="shared" si="180"/>
        <v>-111.22663762619717</v>
      </c>
      <c r="AD411">
        <f t="shared" si="184"/>
        <v>0</v>
      </c>
      <c r="AE411">
        <f t="shared" si="187"/>
        <v>0</v>
      </c>
    </row>
    <row r="412" spans="1:31" x14ac:dyDescent="0.2">
      <c r="A412" s="374">
        <v>38683.5</v>
      </c>
      <c r="B412" s="391">
        <f t="shared" si="181"/>
        <v>38.683500000000002</v>
      </c>
      <c r="C412" s="364">
        <f t="shared" si="162"/>
        <v>49.505968793088236</v>
      </c>
      <c r="D412" s="365">
        <f t="shared" si="163"/>
        <v>1.5505953683905054</v>
      </c>
      <c r="E412" s="365">
        <f t="shared" si="164"/>
        <v>1.1018908055595766</v>
      </c>
      <c r="F412" s="366">
        <f t="shared" si="165"/>
        <v>0.43342904131760074</v>
      </c>
      <c r="G412" s="365">
        <f t="shared" si="166"/>
        <v>1</v>
      </c>
      <c r="H412" s="366">
        <f t="shared" si="167"/>
        <v>0</v>
      </c>
      <c r="I412" s="364">
        <f t="shared" si="168"/>
        <v>13132.942986314612</v>
      </c>
      <c r="J412" s="367">
        <f t="shared" si="169"/>
        <v>1.5707201823996908</v>
      </c>
      <c r="K412" s="375">
        <f t="shared" si="185"/>
        <v>8.0033460314549938</v>
      </c>
      <c r="L412" s="376">
        <f t="shared" si="186"/>
        <v>1.4455211684637037</v>
      </c>
      <c r="M412" s="364">
        <f t="shared" si="170"/>
        <v>1.0053641066681984</v>
      </c>
      <c r="N412" s="367">
        <f t="shared" si="171"/>
        <v>0.1033463872695118</v>
      </c>
      <c r="O412" s="368">
        <f t="shared" si="172"/>
        <v>1.2988531738861833</v>
      </c>
      <c r="P412" s="369">
        <f t="shared" si="173"/>
        <v>0.82566956623502064</v>
      </c>
      <c r="Q412" s="370">
        <f t="shared" si="174"/>
        <v>-9.6503205469774151</v>
      </c>
      <c r="R412" s="371">
        <f t="shared" si="175"/>
        <v>-124.41098403143269</v>
      </c>
      <c r="S412" s="373">
        <f t="shared" si="176"/>
        <v>55.58901596856731</v>
      </c>
      <c r="U412" s="346">
        <f t="shared" si="182"/>
        <v>38683.5</v>
      </c>
      <c r="V412" s="346">
        <f t="shared" si="183"/>
        <v>1496413172.25</v>
      </c>
      <c r="X412" s="372">
        <f t="shared" si="177"/>
        <v>23.748397521388792</v>
      </c>
      <c r="Y412" s="373">
        <f t="shared" si="178"/>
        <v>-13.094686931162059</v>
      </c>
      <c r="AA412" s="372">
        <f t="shared" si="179"/>
        <v>18.081907286188173</v>
      </c>
      <c r="AB412" s="373">
        <f t="shared" si="180"/>
        <v>-111.31629710027063</v>
      </c>
      <c r="AD412">
        <f t="shared" si="184"/>
        <v>0</v>
      </c>
      <c r="AE412">
        <f t="shared" si="187"/>
        <v>0</v>
      </c>
    </row>
    <row r="413" spans="1:31" x14ac:dyDescent="0.2">
      <c r="A413" s="374">
        <v>38905</v>
      </c>
      <c r="B413" s="391">
        <f t="shared" si="181"/>
        <v>38.905000000000001</v>
      </c>
      <c r="C413" s="364">
        <f t="shared" si="162"/>
        <v>49.789322435110357</v>
      </c>
      <c r="D413" s="365">
        <f t="shared" si="163"/>
        <v>1.5507103486104161</v>
      </c>
      <c r="E413" s="365">
        <f t="shared" si="164"/>
        <v>1.1030063230352716</v>
      </c>
      <c r="F413" s="366">
        <f t="shared" si="165"/>
        <v>0.43560928142825661</v>
      </c>
      <c r="G413" s="365">
        <f t="shared" si="166"/>
        <v>1</v>
      </c>
      <c r="H413" s="366">
        <f t="shared" si="167"/>
        <v>0</v>
      </c>
      <c r="I413" s="364">
        <f t="shared" si="168"/>
        <v>13208.141633144674</v>
      </c>
      <c r="J413" s="367">
        <f t="shared" si="169"/>
        <v>1.5707206159168088</v>
      </c>
      <c r="K413" s="375">
        <f t="shared" si="185"/>
        <v>8.0484593945911591</v>
      </c>
      <c r="L413" s="376">
        <f t="shared" si="186"/>
        <v>1.4462270282125091</v>
      </c>
      <c r="M413" s="364">
        <f t="shared" si="170"/>
        <v>1.0054255455871064</v>
      </c>
      <c r="N413" s="367">
        <f t="shared" si="171"/>
        <v>0.10393390371029292</v>
      </c>
      <c r="O413" s="368">
        <f t="shared" si="172"/>
        <v>1.3019504957402324</v>
      </c>
      <c r="P413" s="369">
        <f t="shared" si="173"/>
        <v>0.82928992607904761</v>
      </c>
      <c r="Q413" s="370">
        <f t="shared" si="174"/>
        <v>-9.7130936635540941</v>
      </c>
      <c r="R413" s="371">
        <f t="shared" si="175"/>
        <v>-124.49332896218863</v>
      </c>
      <c r="S413" s="373">
        <f t="shared" si="176"/>
        <v>55.506671037811373</v>
      </c>
      <c r="U413" s="346">
        <f t="shared" si="182"/>
        <v>38905</v>
      </c>
      <c r="V413" s="346">
        <f t="shared" si="183"/>
        <v>1513599025</v>
      </c>
      <c r="X413" s="372">
        <f t="shared" si="177"/>
        <v>23.747096823685389</v>
      </c>
      <c r="Y413" s="373">
        <f t="shared" si="178"/>
        <v>-13.087931197772139</v>
      </c>
      <c r="AA413" s="372">
        <f t="shared" si="179"/>
        <v>18.020434867314897</v>
      </c>
      <c r="AB413" s="373">
        <f t="shared" si="180"/>
        <v>-111.40539776441649</v>
      </c>
      <c r="AD413">
        <f t="shared" si="184"/>
        <v>0</v>
      </c>
      <c r="AE413">
        <f t="shared" si="187"/>
        <v>0</v>
      </c>
    </row>
    <row r="414" spans="1:31" x14ac:dyDescent="0.2">
      <c r="A414" s="374">
        <v>39131.5</v>
      </c>
      <c r="B414" s="391">
        <f t="shared" si="181"/>
        <v>39.131500000000003</v>
      </c>
      <c r="C414" s="364">
        <f t="shared" si="162"/>
        <v>50.079072994776503</v>
      </c>
      <c r="D414" s="365">
        <f t="shared" si="163"/>
        <v>1.5508265787858624</v>
      </c>
      <c r="E414" s="365">
        <f t="shared" si="164"/>
        <v>1.1041524323465874</v>
      </c>
      <c r="F414" s="366">
        <f t="shared" si="165"/>
        <v>0.43783417038805167</v>
      </c>
      <c r="G414" s="365">
        <f t="shared" si="166"/>
        <v>1</v>
      </c>
      <c r="H414" s="366">
        <f t="shared" si="167"/>
        <v>0</v>
      </c>
      <c r="I414" s="364">
        <f t="shared" si="168"/>
        <v>13285.037766361698</v>
      </c>
      <c r="J414" s="367">
        <f t="shared" si="169"/>
        <v>1.5707210541446768</v>
      </c>
      <c r="K414" s="375">
        <f t="shared" si="185"/>
        <v>8.0945952181733087</v>
      </c>
      <c r="L414" s="376">
        <f t="shared" si="186"/>
        <v>1.44694068492021</v>
      </c>
      <c r="M414" s="364">
        <f t="shared" si="170"/>
        <v>1.0054887302324584</v>
      </c>
      <c r="N414" s="367">
        <f t="shared" si="171"/>
        <v>0.10453460791230855</v>
      </c>
      <c r="O414" s="368">
        <f t="shared" si="172"/>
        <v>1.3051298550834936</v>
      </c>
      <c r="P414" s="369">
        <f t="shared" si="173"/>
        <v>0.83297877651404761</v>
      </c>
      <c r="Q414" s="370">
        <f t="shared" si="174"/>
        <v>-9.7769791766209106</v>
      </c>
      <c r="R414" s="371">
        <f t="shared" si="175"/>
        <v>-124.57742068143494</v>
      </c>
      <c r="S414" s="373">
        <f t="shared" si="176"/>
        <v>55.422579318565056</v>
      </c>
      <c r="U414" s="346">
        <f t="shared" si="182"/>
        <v>39131.5</v>
      </c>
      <c r="V414" s="346">
        <f t="shared" si="183"/>
        <v>1531274292.25</v>
      </c>
      <c r="X414" s="372">
        <f t="shared" si="177"/>
        <v>23.745777042120643</v>
      </c>
      <c r="Y414" s="373">
        <f t="shared" si="178"/>
        <v>-13.081484604510889</v>
      </c>
      <c r="AA414" s="372">
        <f t="shared" si="179"/>
        <v>17.957869135812825</v>
      </c>
      <c r="AB414" s="373">
        <f t="shared" si="180"/>
        <v>-111.49593607692407</v>
      </c>
      <c r="AD414">
        <f t="shared" si="184"/>
        <v>0</v>
      </c>
      <c r="AE414">
        <f t="shared" si="187"/>
        <v>0</v>
      </c>
    </row>
    <row r="415" spans="1:31" x14ac:dyDescent="0.2">
      <c r="A415" s="374">
        <v>39358</v>
      </c>
      <c r="B415" s="391">
        <f t="shared" si="181"/>
        <v>39.357999999999997</v>
      </c>
      <c r="C415" s="364">
        <f t="shared" si="162"/>
        <v>50.368824223199852</v>
      </c>
      <c r="D415" s="365">
        <f t="shared" si="163"/>
        <v>1.5509414717135996</v>
      </c>
      <c r="E415" s="365">
        <f t="shared" si="164"/>
        <v>1.1053039960062343</v>
      </c>
      <c r="F415" s="366">
        <f t="shared" si="165"/>
        <v>0.4400544343074474</v>
      </c>
      <c r="G415" s="365">
        <f t="shared" si="166"/>
        <v>1</v>
      </c>
      <c r="H415" s="366">
        <f t="shared" si="167"/>
        <v>0</v>
      </c>
      <c r="I415" s="364">
        <f t="shared" si="168"/>
        <v>13361.933899581249</v>
      </c>
      <c r="J415" s="367">
        <f t="shared" si="169"/>
        <v>1.5707214873286599</v>
      </c>
      <c r="K415" s="375">
        <f t="shared" si="185"/>
        <v>8.1407351176511753</v>
      </c>
      <c r="L415" s="376">
        <f t="shared" si="186"/>
        <v>1.4476462522847795</v>
      </c>
      <c r="M415" s="364">
        <f t="shared" si="170"/>
        <v>1.0055522776582593</v>
      </c>
      <c r="N415" s="367">
        <f t="shared" si="171"/>
        <v>0.10513523640617999</v>
      </c>
      <c r="O415" s="368">
        <f t="shared" si="172"/>
        <v>1.3083214077592364</v>
      </c>
      <c r="P415" s="369">
        <f t="shared" si="173"/>
        <v>0.83665428998912761</v>
      </c>
      <c r="Q415" s="370">
        <f t="shared" si="174"/>
        <v>-9.8405598425109471</v>
      </c>
      <c r="R415" s="371">
        <f t="shared" si="175"/>
        <v>-124.66139548428127</v>
      </c>
      <c r="S415" s="373">
        <f t="shared" si="176"/>
        <v>55.338604515718728</v>
      </c>
      <c r="U415" s="346">
        <f t="shared" si="182"/>
        <v>39358</v>
      </c>
      <c r="V415" s="346">
        <f t="shared" si="183"/>
        <v>1549052164</v>
      </c>
      <c r="X415" s="372">
        <f t="shared" si="177"/>
        <v>23.744467350147321</v>
      </c>
      <c r="Y415" s="373">
        <f t="shared" si="178"/>
        <v>-13.075496869720158</v>
      </c>
      <c r="AA415" s="372">
        <f t="shared" si="179"/>
        <v>17.895598161896107</v>
      </c>
      <c r="AB415" s="373">
        <f t="shared" si="180"/>
        <v>-111.5858986145611</v>
      </c>
      <c r="AD415">
        <f t="shared" si="184"/>
        <v>0</v>
      </c>
      <c r="AE415">
        <f t="shared" si="187"/>
        <v>0</v>
      </c>
    </row>
    <row r="416" spans="1:31" x14ac:dyDescent="0.2">
      <c r="A416" s="374">
        <v>39584.5</v>
      </c>
      <c r="B416" s="391">
        <f t="shared" si="181"/>
        <v>39.584499999999998</v>
      </c>
      <c r="C416" s="364">
        <f t="shared" si="162"/>
        <v>50.658576108905152</v>
      </c>
      <c r="D416" s="365">
        <f t="shared" si="163"/>
        <v>1.5510550503365377</v>
      </c>
      <c r="E416" s="365">
        <f t="shared" si="164"/>
        <v>1.1064609969841608</v>
      </c>
      <c r="F416" s="366">
        <f t="shared" si="165"/>
        <v>0.44227006577149175</v>
      </c>
      <c r="G416" s="365">
        <f t="shared" si="166"/>
        <v>1</v>
      </c>
      <c r="H416" s="366">
        <f t="shared" si="167"/>
        <v>0</v>
      </c>
      <c r="I416" s="364">
        <f t="shared" si="168"/>
        <v>13438.830032803275</v>
      </c>
      <c r="J416" s="367">
        <f t="shared" si="169"/>
        <v>1.5707219155553407</v>
      </c>
      <c r="K416" s="375">
        <f t="shared" si="185"/>
        <v>8.1868790241115335</v>
      </c>
      <c r="L416" s="376">
        <f t="shared" si="186"/>
        <v>1.4483438663801995</v>
      </c>
      <c r="M416" s="364">
        <f t="shared" si="170"/>
        <v>1.0056161877957339</v>
      </c>
      <c r="N416" s="367">
        <f t="shared" si="171"/>
        <v>0.1057357887729421</v>
      </c>
      <c r="O416" s="368">
        <f t="shared" si="172"/>
        <v>1.3115250912679113</v>
      </c>
      <c r="P416" s="369">
        <f t="shared" si="173"/>
        <v>0.84031651108995575</v>
      </c>
      <c r="Q416" s="370">
        <f t="shared" si="174"/>
        <v>-9.903838782621607</v>
      </c>
      <c r="R416" s="371">
        <f t="shared" si="175"/>
        <v>-124.74524984916656</v>
      </c>
      <c r="S416" s="373">
        <f t="shared" si="176"/>
        <v>55.254750150833445</v>
      </c>
      <c r="U416" s="346">
        <f t="shared" si="182"/>
        <v>39584.5</v>
      </c>
      <c r="V416" s="346">
        <f t="shared" si="183"/>
        <v>1566932640.25</v>
      </c>
      <c r="X416" s="372">
        <f t="shared" si="177"/>
        <v>23.743167451704814</v>
      </c>
      <c r="Y416" s="373">
        <f t="shared" si="178"/>
        <v>-13.069960177890982</v>
      </c>
      <c r="AA416" s="372">
        <f t="shared" si="179"/>
        <v>17.833619120227958</v>
      </c>
      <c r="AB416" s="373">
        <f t="shared" si="180"/>
        <v>-111.67528967127556</v>
      </c>
      <c r="AD416">
        <f t="shared" si="184"/>
        <v>0</v>
      </c>
      <c r="AE416">
        <f t="shared" si="187"/>
        <v>0</v>
      </c>
    </row>
    <row r="417" spans="1:31" x14ac:dyDescent="0.2">
      <c r="A417" s="374">
        <v>39811</v>
      </c>
      <c r="B417" s="391">
        <f t="shared" si="181"/>
        <v>39.811</v>
      </c>
      <c r="C417" s="364">
        <f t="shared" si="162"/>
        <v>50.948328640678184</v>
      </c>
      <c r="D417" s="365">
        <f t="shared" si="163"/>
        <v>1.5511673370758015</v>
      </c>
      <c r="E417" s="365">
        <f t="shared" si="164"/>
        <v>1.1076234182412295</v>
      </c>
      <c r="F417" s="366">
        <f t="shared" si="165"/>
        <v>0.44448105757806738</v>
      </c>
      <c r="G417" s="365">
        <f t="shared" si="166"/>
        <v>1</v>
      </c>
      <c r="H417" s="366">
        <f t="shared" si="167"/>
        <v>0</v>
      </c>
      <c r="I417" s="364">
        <f t="shared" si="168"/>
        <v>13515.726166027736</v>
      </c>
      <c r="J417" s="367">
        <f t="shared" si="169"/>
        <v>1.5707223389093308</v>
      </c>
      <c r="K417" s="375">
        <f t="shared" si="185"/>
        <v>8.2330268701801987</v>
      </c>
      <c r="L417" s="376">
        <f t="shared" si="186"/>
        <v>1.4490336602609233</v>
      </c>
      <c r="M417" s="364">
        <f t="shared" si="170"/>
        <v>1.0056804605757323</v>
      </c>
      <c r="N417" s="367">
        <f t="shared" si="171"/>
        <v>0.10633626459395559</v>
      </c>
      <c r="O417" s="368">
        <f t="shared" si="172"/>
        <v>1.3147408435348724</v>
      </c>
      <c r="P417" s="369">
        <f t="shared" si="173"/>
        <v>0.84396548481174338</v>
      </c>
      <c r="Q417" s="370">
        <f t="shared" si="174"/>
        <v>-9.9668190612766665</v>
      </c>
      <c r="R417" s="371">
        <f t="shared" si="175"/>
        <v>-124.82898040881629</v>
      </c>
      <c r="S417" s="373">
        <f t="shared" si="176"/>
        <v>55.171019591183708</v>
      </c>
      <c r="U417" s="346">
        <f t="shared" si="182"/>
        <v>39811</v>
      </c>
      <c r="V417" s="346">
        <f t="shared" si="183"/>
        <v>1584915721</v>
      </c>
      <c r="X417" s="372">
        <f t="shared" si="177"/>
        <v>23.741877059045372</v>
      </c>
      <c r="Y417" s="373">
        <f t="shared" si="178"/>
        <v>-13.064866886426334</v>
      </c>
      <c r="AA417" s="372">
        <f t="shared" si="179"/>
        <v>17.771929234232339</v>
      </c>
      <c r="AB417" s="373">
        <f t="shared" si="180"/>
        <v>-111.76411352238996</v>
      </c>
      <c r="AD417">
        <f t="shared" si="184"/>
        <v>0</v>
      </c>
      <c r="AE417">
        <f t="shared" si="187"/>
        <v>0</v>
      </c>
    </row>
    <row r="418" spans="1:31" x14ac:dyDescent="0.2">
      <c r="A418" s="374">
        <v>40042.75</v>
      </c>
      <c r="B418" s="391">
        <f t="shared" si="181"/>
        <v>40.042749999999998</v>
      </c>
      <c r="C418" s="364">
        <f t="shared" si="162"/>
        <v>51.244797948010493</v>
      </c>
      <c r="D418" s="365">
        <f t="shared" si="163"/>
        <v>1.551280912194773</v>
      </c>
      <c r="E418" s="365">
        <f t="shared" si="164"/>
        <v>1.1088183754449681</v>
      </c>
      <c r="F418" s="366">
        <f t="shared" si="165"/>
        <v>0.44673848803259536</v>
      </c>
      <c r="G418" s="365">
        <f t="shared" si="166"/>
        <v>1</v>
      </c>
      <c r="H418" s="366">
        <f t="shared" si="167"/>
        <v>0</v>
      </c>
      <c r="I418" s="364">
        <f t="shared" si="168"/>
        <v>13594.404659958556</v>
      </c>
      <c r="J418" s="367">
        <f t="shared" si="169"/>
        <v>1.5707227671189921</v>
      </c>
      <c r="K418" s="375">
        <f t="shared" si="185"/>
        <v>8.2802483772459556</v>
      </c>
      <c r="L418" s="376">
        <f t="shared" si="186"/>
        <v>1.449731484231118</v>
      </c>
      <c r="M418" s="364">
        <f t="shared" si="170"/>
        <v>1.0057465983980076</v>
      </c>
      <c r="N418" s="367">
        <f t="shared" si="171"/>
        <v>0.10695057906472004</v>
      </c>
      <c r="O418" s="368">
        <f t="shared" si="172"/>
        <v>1.3180435604158462</v>
      </c>
      <c r="P418" s="369">
        <f t="shared" si="173"/>
        <v>0.84768537321488102</v>
      </c>
      <c r="Q418" s="370">
        <f t="shared" si="174"/>
        <v>-10.030953160016971</v>
      </c>
      <c r="R418" s="371">
        <f t="shared" si="175"/>
        <v>-124.91452024479923</v>
      </c>
      <c r="S418" s="373">
        <f t="shared" si="176"/>
        <v>55.085479755200765</v>
      </c>
      <c r="U418" s="346">
        <f t="shared" si="182"/>
        <v>40042.75</v>
      </c>
      <c r="V418" s="346">
        <f t="shared" si="183"/>
        <v>1603421827.5625</v>
      </c>
      <c r="X418" s="372">
        <f t="shared" si="177"/>
        <v>23.740566303757006</v>
      </c>
      <c r="Y418" s="373">
        <f t="shared" si="178"/>
        <v>-13.060106679160629</v>
      </c>
      <c r="AA418" s="372">
        <f t="shared" si="179"/>
        <v>17.7091058907804</v>
      </c>
      <c r="AB418" s="373">
        <f t="shared" si="180"/>
        <v>-111.85441356563859</v>
      </c>
      <c r="AD418">
        <f t="shared" si="184"/>
        <v>0</v>
      </c>
      <c r="AE418">
        <f t="shared" si="187"/>
        <v>0</v>
      </c>
    </row>
    <row r="419" spans="1:31" x14ac:dyDescent="0.2">
      <c r="A419" s="374">
        <v>40274.5</v>
      </c>
      <c r="B419" s="391">
        <f t="shared" si="181"/>
        <v>40.274500000000003</v>
      </c>
      <c r="C419" s="364">
        <f t="shared" si="162"/>
        <v>51.541267908760709</v>
      </c>
      <c r="D419" s="365">
        <f t="shared" si="163"/>
        <v>1.5513931807267913</v>
      </c>
      <c r="E419" s="365">
        <f t="shared" si="164"/>
        <v>1.1100189709959736</v>
      </c>
      <c r="F419" s="366">
        <f t="shared" si="165"/>
        <v>0.44899104667588252</v>
      </c>
      <c r="G419" s="365">
        <f t="shared" si="166"/>
        <v>1</v>
      </c>
      <c r="H419" s="366">
        <f t="shared" si="167"/>
        <v>0</v>
      </c>
      <c r="I419" s="364">
        <f t="shared" si="168"/>
        <v>13673.083153891839</v>
      </c>
      <c r="J419" s="367">
        <f t="shared" si="169"/>
        <v>1.5707231904005929</v>
      </c>
      <c r="K419" s="375">
        <f t="shared" si="185"/>
        <v>8.3274738707171956</v>
      </c>
      <c r="L419" s="376">
        <f t="shared" si="186"/>
        <v>1.4504213937494119</v>
      </c>
      <c r="M419" s="364">
        <f t="shared" si="170"/>
        <v>1.0058131157212178</v>
      </c>
      <c r="N419" s="367">
        <f t="shared" si="171"/>
        <v>0.10756481251448322</v>
      </c>
      <c r="O419" s="368">
        <f t="shared" si="172"/>
        <v>1.321358781904771</v>
      </c>
      <c r="P419" s="369">
        <f t="shared" si="173"/>
        <v>0.85139148955668853</v>
      </c>
      <c r="Q419" s="370">
        <f t="shared" si="174"/>
        <v>-10.094780905510511</v>
      </c>
      <c r="R419" s="371">
        <f t="shared" si="175"/>
        <v>-124.99992381226986</v>
      </c>
      <c r="S419" s="373">
        <f t="shared" si="176"/>
        <v>55.000076187730144</v>
      </c>
      <c r="U419" s="346">
        <f t="shared" si="182"/>
        <v>40274.5</v>
      </c>
      <c r="V419" s="346">
        <f t="shared" si="183"/>
        <v>1622035350.25</v>
      </c>
      <c r="X419" s="372">
        <f t="shared" si="177"/>
        <v>23.7392649160292</v>
      </c>
      <c r="Y419" s="373">
        <f t="shared" si="178"/>
        <v>-13.055795012068023</v>
      </c>
      <c r="AA419" s="372">
        <f t="shared" si="179"/>
        <v>17.646579533014663</v>
      </c>
      <c r="AB419" s="373">
        <f t="shared" si="180"/>
        <v>-111.94412880020185</v>
      </c>
      <c r="AD419">
        <f t="shared" si="184"/>
        <v>0</v>
      </c>
      <c r="AE419">
        <f t="shared" si="187"/>
        <v>0</v>
      </c>
    </row>
    <row r="420" spans="1:31" x14ac:dyDescent="0.2">
      <c r="A420" s="374">
        <v>40506.25</v>
      </c>
      <c r="B420" s="391">
        <f t="shared" si="181"/>
        <v>40.506250000000001</v>
      </c>
      <c r="C420" s="364">
        <f t="shared" si="162"/>
        <v>51.837738511717767</v>
      </c>
      <c r="D420" s="365">
        <f t="shared" si="163"/>
        <v>1.5515041650869139</v>
      </c>
      <c r="E420" s="365">
        <f t="shared" si="164"/>
        <v>1.1112251866188108</v>
      </c>
      <c r="F420" s="366">
        <f t="shared" si="165"/>
        <v>0.45123872647686353</v>
      </c>
      <c r="G420" s="365">
        <f t="shared" si="166"/>
        <v>1</v>
      </c>
      <c r="H420" s="366">
        <f t="shared" si="167"/>
        <v>0</v>
      </c>
      <c r="I420" s="364">
        <f t="shared" si="168"/>
        <v>13751.761647827543</v>
      </c>
      <c r="J420" s="367">
        <f t="shared" si="169"/>
        <v>1.5707236088387182</v>
      </c>
      <c r="K420" s="375">
        <f t="shared" si="185"/>
        <v>8.3747032831551227</v>
      </c>
      <c r="L420" s="376">
        <f t="shared" si="186"/>
        <v>1.4511035220548558</v>
      </c>
      <c r="M420" s="364">
        <f t="shared" si="170"/>
        <v>1.0058800124700749</v>
      </c>
      <c r="N420" s="367">
        <f t="shared" si="171"/>
        <v>0.10817896449588534</v>
      </c>
      <c r="O420" s="368">
        <f t="shared" si="172"/>
        <v>1.3246864428940643</v>
      </c>
      <c r="P420" s="369">
        <f t="shared" si="173"/>
        <v>0.85508388326962748</v>
      </c>
      <c r="Q420" s="370">
        <f t="shared" si="174"/>
        <v>-10.158305404317478</v>
      </c>
      <c r="R420" s="371">
        <f t="shared" si="175"/>
        <v>-125.08518797581745</v>
      </c>
      <c r="S420" s="373">
        <f t="shared" si="176"/>
        <v>54.914812024182552</v>
      </c>
      <c r="U420" s="346">
        <f t="shared" si="182"/>
        <v>40506.25</v>
      </c>
      <c r="V420" s="346">
        <f t="shared" si="183"/>
        <v>1640756289.0625</v>
      </c>
      <c r="X420" s="372">
        <f t="shared" si="177"/>
        <v>23.737972612893813</v>
      </c>
      <c r="Y420" s="373">
        <f t="shared" si="178"/>
        <v>-13.051924230327751</v>
      </c>
      <c r="AA420" s="372">
        <f t="shared" si="179"/>
        <v>17.584347337343079</v>
      </c>
      <c r="AB420" s="373">
        <f t="shared" si="180"/>
        <v>-112.03326374548971</v>
      </c>
      <c r="AD420">
        <f t="shared" si="184"/>
        <v>0</v>
      </c>
      <c r="AE420">
        <f t="shared" si="187"/>
        <v>0</v>
      </c>
    </row>
    <row r="421" spans="1:31" x14ac:dyDescent="0.2">
      <c r="A421" s="374">
        <v>40738</v>
      </c>
      <c r="B421" s="391">
        <f t="shared" si="181"/>
        <v>40.738</v>
      </c>
      <c r="C421" s="364">
        <f t="shared" si="162"/>
        <v>52.134209745925581</v>
      </c>
      <c r="D421" s="365">
        <f t="shared" si="163"/>
        <v>1.5516138871804563</v>
      </c>
      <c r="E421" s="365">
        <f t="shared" si="164"/>
        <v>1.1124370040319456</v>
      </c>
      <c r="F421" s="366">
        <f t="shared" si="165"/>
        <v>0.45348152063208103</v>
      </c>
      <c r="G421" s="365">
        <f t="shared" si="166"/>
        <v>1</v>
      </c>
      <c r="H421" s="366">
        <f t="shared" si="167"/>
        <v>0</v>
      </c>
      <c r="I421" s="364">
        <f t="shared" si="168"/>
        <v>13830.44014176563</v>
      </c>
      <c r="J421" s="367">
        <f t="shared" si="169"/>
        <v>1.5707240225160291</v>
      </c>
      <c r="K421" s="375">
        <f t="shared" si="185"/>
        <v>8.4219365486281692</v>
      </c>
      <c r="L421" s="376">
        <f t="shared" si="186"/>
        <v>1.4517779994268278</v>
      </c>
      <c r="M421" s="364">
        <f t="shared" si="170"/>
        <v>1.0059472885688823</v>
      </c>
      <c r="N421" s="367">
        <f t="shared" si="171"/>
        <v>0.10879303456193111</v>
      </c>
      <c r="O421" s="368">
        <f t="shared" si="172"/>
        <v>1.3280264787435745</v>
      </c>
      <c r="P421" s="369">
        <f t="shared" si="173"/>
        <v>0.85876260417107175</v>
      </c>
      <c r="Q421" s="370">
        <f t="shared" si="174"/>
        <v>-10.221529706831138</v>
      </c>
      <c r="R421" s="371">
        <f t="shared" si="175"/>
        <v>-125.17030974932548</v>
      </c>
      <c r="S421" s="373">
        <f t="shared" si="176"/>
        <v>54.829690250674517</v>
      </c>
      <c r="U421" s="346">
        <f t="shared" si="182"/>
        <v>40738</v>
      </c>
      <c r="V421" s="346">
        <f t="shared" si="183"/>
        <v>1659584644</v>
      </c>
      <c r="X421" s="372">
        <f t="shared" si="177"/>
        <v>23.736689119337861</v>
      </c>
      <c r="Y421" s="373">
        <f t="shared" si="178"/>
        <v>-13.048486848606485</v>
      </c>
      <c r="AA421" s="372">
        <f t="shared" si="179"/>
        <v>17.522406528385375</v>
      </c>
      <c r="AB421" s="373">
        <f t="shared" si="180"/>
        <v>-112.12182290071898</v>
      </c>
      <c r="AD421">
        <f t="shared" si="184"/>
        <v>0</v>
      </c>
      <c r="AE421">
        <f t="shared" si="187"/>
        <v>0</v>
      </c>
    </row>
    <row r="422" spans="1:31" x14ac:dyDescent="0.2">
      <c r="A422" s="374">
        <v>40975.25</v>
      </c>
      <c r="B422" s="391">
        <f t="shared" si="181"/>
        <v>40.975250000000003</v>
      </c>
      <c r="C422" s="364">
        <f t="shared" si="162"/>
        <v>52.437717617625729</v>
      </c>
      <c r="D422" s="365">
        <f t="shared" si="163"/>
        <v>1.5517249280438445</v>
      </c>
      <c r="E422" s="365">
        <f t="shared" si="164"/>
        <v>1.1136833645575261</v>
      </c>
      <c r="F422" s="366">
        <f t="shared" si="165"/>
        <v>0.45577247402294108</v>
      </c>
      <c r="G422" s="365">
        <f t="shared" si="166"/>
        <v>1</v>
      </c>
      <c r="H422" s="366">
        <f t="shared" si="167"/>
        <v>0</v>
      </c>
      <c r="I422" s="364">
        <f t="shared" si="168"/>
        <v>13910.985870729482</v>
      </c>
      <c r="J422" s="367">
        <f t="shared" si="169"/>
        <v>1.5707244411636299</v>
      </c>
      <c r="K422" s="375">
        <f t="shared" si="185"/>
        <v>8.4702947001575772</v>
      </c>
      <c r="L422" s="376">
        <f t="shared" si="186"/>
        <v>1.452460691360399</v>
      </c>
      <c r="M422" s="364">
        <f t="shared" si="170"/>
        <v>1.0060165541773942</v>
      </c>
      <c r="N422" s="367">
        <f t="shared" si="171"/>
        <v>0.10942159270678516</v>
      </c>
      <c r="O422" s="368">
        <f t="shared" si="172"/>
        <v>1.3314585337709202</v>
      </c>
      <c r="P422" s="369">
        <f t="shared" si="173"/>
        <v>0.86251451921179911</v>
      </c>
      <c r="Q422" s="370">
        <f t="shared" si="174"/>
        <v>-10.285946638214796</v>
      </c>
      <c r="R422" s="371">
        <f t="shared" si="175"/>
        <v>-125.25730120793648</v>
      </c>
      <c r="S422" s="373">
        <f t="shared" si="176"/>
        <v>54.742698792063521</v>
      </c>
      <c r="U422" s="346">
        <f t="shared" si="182"/>
        <v>40975.25</v>
      </c>
      <c r="V422" s="346">
        <f t="shared" si="183"/>
        <v>1678971112.5625</v>
      </c>
      <c r="X422" s="372">
        <f t="shared" si="177"/>
        <v>23.73538401192085</v>
      </c>
      <c r="Y422" s="373">
        <f t="shared" si="178"/>
        <v>-13.045409197721062</v>
      </c>
      <c r="AA422" s="372">
        <f t="shared" si="179"/>
        <v>17.459294704418731</v>
      </c>
      <c r="AB422" s="373">
        <f t="shared" si="180"/>
        <v>-112.21189201021539</v>
      </c>
      <c r="AD422">
        <f t="shared" si="184"/>
        <v>0</v>
      </c>
      <c r="AE422">
        <f t="shared" si="187"/>
        <v>0</v>
      </c>
    </row>
    <row r="423" spans="1:31" x14ac:dyDescent="0.2">
      <c r="A423" s="374">
        <v>41212.5</v>
      </c>
      <c r="B423" s="391">
        <f t="shared" si="181"/>
        <v>41.212499999999999</v>
      </c>
      <c r="C423" s="364">
        <f t="shared" si="162"/>
        <v>52.741226128445291</v>
      </c>
      <c r="D423" s="365">
        <f t="shared" si="163"/>
        <v>1.5518346909008529</v>
      </c>
      <c r="E423" s="365">
        <f t="shared" si="164"/>
        <v>1.114935557127839</v>
      </c>
      <c r="F423" s="366">
        <f t="shared" si="165"/>
        <v>0.45805829341423382</v>
      </c>
      <c r="G423" s="365">
        <f t="shared" si="166"/>
        <v>1</v>
      </c>
      <c r="H423" s="366">
        <f t="shared" si="167"/>
        <v>0</v>
      </c>
      <c r="I423" s="364">
        <f t="shared" si="168"/>
        <v>13991.531599695743</v>
      </c>
      <c r="J423" s="367">
        <f t="shared" si="169"/>
        <v>1.5707248549911326</v>
      </c>
      <c r="K423" s="375">
        <f t="shared" si="185"/>
        <v>8.5186567546010767</v>
      </c>
      <c r="L423" s="376">
        <f t="shared" si="186"/>
        <v>1.4531356320584858</v>
      </c>
      <c r="M423" s="364">
        <f t="shared" si="170"/>
        <v>1.0060862171934806</v>
      </c>
      <c r="N423" s="367">
        <f t="shared" si="171"/>
        <v>0.11005006405517133</v>
      </c>
      <c r="O423" s="368">
        <f t="shared" si="172"/>
        <v>1.3349034224047116</v>
      </c>
      <c r="P423" s="369">
        <f t="shared" si="173"/>
        <v>0.86625221158927845</v>
      </c>
      <c r="Q423" s="370">
        <f t="shared" si="174"/>
        <v>-10.350055251119286</v>
      </c>
      <c r="R423" s="371">
        <f t="shared" si="175"/>
        <v>-125.34413756394191</v>
      </c>
      <c r="S423" s="373">
        <f t="shared" si="176"/>
        <v>54.655862436058086</v>
      </c>
      <c r="U423" s="346">
        <f t="shared" si="182"/>
        <v>41212.5</v>
      </c>
      <c r="V423" s="346">
        <f t="shared" si="183"/>
        <v>1698470156.25</v>
      </c>
      <c r="X423" s="372">
        <f t="shared" si="177"/>
        <v>23.734087578320423</v>
      </c>
      <c r="Y423" s="373">
        <f t="shared" si="178"/>
        <v>-13.042770410672833</v>
      </c>
      <c r="AA423" s="372">
        <f t="shared" si="179"/>
        <v>17.396482525114671</v>
      </c>
      <c r="AB423" s="373">
        <f t="shared" si="180"/>
        <v>-112.30136715326906</v>
      </c>
      <c r="AD423">
        <f t="shared" si="184"/>
        <v>0</v>
      </c>
      <c r="AE423">
        <f t="shared" si="187"/>
        <v>0</v>
      </c>
    </row>
    <row r="424" spans="1:31" x14ac:dyDescent="0.2">
      <c r="A424" s="374">
        <v>41449.75</v>
      </c>
      <c r="B424" s="391">
        <f t="shared" si="181"/>
        <v>41.449750000000002</v>
      </c>
      <c r="C424" s="364">
        <f t="shared" si="162"/>
        <v>53.044735267413643</v>
      </c>
      <c r="D424" s="365">
        <f t="shared" si="163"/>
        <v>1.5519431976861433</v>
      </c>
      <c r="E424" s="365">
        <f t="shared" si="164"/>
        <v>1.1161935621149897</v>
      </c>
      <c r="F424" s="366">
        <f t="shared" si="165"/>
        <v>0.46033897223814885</v>
      </c>
      <c r="G424" s="365">
        <f t="shared" si="166"/>
        <v>1</v>
      </c>
      <c r="H424" s="366">
        <f t="shared" si="167"/>
        <v>0</v>
      </c>
      <c r="I424" s="364">
        <f t="shared" si="168"/>
        <v>14072.077328664373</v>
      </c>
      <c r="J424" s="367">
        <f t="shared" si="169"/>
        <v>1.5707252640813054</v>
      </c>
      <c r="K424" s="375">
        <f t="shared" si="185"/>
        <v>8.5670226458611598</v>
      </c>
      <c r="L424" s="376">
        <f t="shared" si="186"/>
        <v>1.4538029521817659</v>
      </c>
      <c r="M424" s="364">
        <f t="shared" si="170"/>
        <v>1.0061562775345956</v>
      </c>
      <c r="N424" s="367">
        <f t="shared" si="171"/>
        <v>0.11067844812870742</v>
      </c>
      <c r="O424" s="368">
        <f t="shared" si="172"/>
        <v>1.3383610768156287</v>
      </c>
      <c r="P424" s="369">
        <f t="shared" si="173"/>
        <v>0.86997573590541322</v>
      </c>
      <c r="Q424" s="370">
        <f t="shared" si="174"/>
        <v>-10.413858644959564</v>
      </c>
      <c r="R424" s="371">
        <f t="shared" si="175"/>
        <v>-125.43081606989936</v>
      </c>
      <c r="S424" s="373">
        <f t="shared" si="176"/>
        <v>54.569183930100635</v>
      </c>
      <c r="U424" s="346">
        <f t="shared" si="182"/>
        <v>41449.75</v>
      </c>
      <c r="V424" s="346">
        <f t="shared" si="183"/>
        <v>1718081775.0625</v>
      </c>
      <c r="X424" s="372">
        <f t="shared" si="177"/>
        <v>23.732799547688707</v>
      </c>
      <c r="Y424" s="373">
        <f t="shared" si="178"/>
        <v>-13.040562978489405</v>
      </c>
      <c r="AA424" s="372">
        <f t="shared" si="179"/>
        <v>17.333967161906106</v>
      </c>
      <c r="AB424" s="373">
        <f t="shared" si="180"/>
        <v>-112.39025309140999</v>
      </c>
      <c r="AD424">
        <f t="shared" si="184"/>
        <v>0</v>
      </c>
      <c r="AE424">
        <f t="shared" si="187"/>
        <v>0</v>
      </c>
    </row>
    <row r="425" spans="1:31" x14ac:dyDescent="0.2">
      <c r="A425" s="374">
        <v>41687</v>
      </c>
      <c r="B425" s="391">
        <f t="shared" si="181"/>
        <v>41.686999999999998</v>
      </c>
      <c r="C425" s="364">
        <f t="shared" si="162"/>
        <v>53.348245023809781</v>
      </c>
      <c r="D425" s="365">
        <f t="shared" si="163"/>
        <v>1.5520504698353332</v>
      </c>
      <c r="E425" s="365">
        <f t="shared" si="164"/>
        <v>1.1174573598885669</v>
      </c>
      <c r="F425" s="366">
        <f t="shared" si="165"/>
        <v>0.46261450417029054</v>
      </c>
      <c r="G425" s="365">
        <f t="shared" si="166"/>
        <v>1</v>
      </c>
      <c r="H425" s="366">
        <f t="shared" si="167"/>
        <v>0</v>
      </c>
      <c r="I425" s="364">
        <f t="shared" si="168"/>
        <v>14152.62305763533</v>
      </c>
      <c r="J425" s="367">
        <f t="shared" si="169"/>
        <v>1.5707256685150315</v>
      </c>
      <c r="K425" s="375">
        <f t="shared" si="185"/>
        <v>8.6153923093193949</v>
      </c>
      <c r="L425" s="376">
        <f t="shared" si="186"/>
        <v>1.4544627794841269</v>
      </c>
      <c r="M425" s="364">
        <f t="shared" si="170"/>
        <v>1.0062267351177461</v>
      </c>
      <c r="N425" s="367">
        <f t="shared" si="171"/>
        <v>0.11130674444941985</v>
      </c>
      <c r="O425" s="368">
        <f t="shared" si="172"/>
        <v>1.3418314296879108</v>
      </c>
      <c r="P425" s="369">
        <f t="shared" si="173"/>
        <v>0.87368514711775436</v>
      </c>
      <c r="Q425" s="370">
        <f t="shared" si="174"/>
        <v>-10.477359863758744</v>
      </c>
      <c r="R425" s="371">
        <f t="shared" si="175"/>
        <v>-125.51733412266609</v>
      </c>
      <c r="S425" s="373">
        <f t="shared" si="176"/>
        <v>54.482665877333915</v>
      </c>
      <c r="U425" s="346">
        <f t="shared" si="182"/>
        <v>41687</v>
      </c>
      <c r="V425" s="346">
        <f t="shared" si="183"/>
        <v>1737805969</v>
      </c>
      <c r="X425" s="372">
        <f t="shared" si="177"/>
        <v>23.731519656806277</v>
      </c>
      <c r="Y425" s="373">
        <f t="shared" si="178"/>
        <v>-13.038779558660597</v>
      </c>
      <c r="AA425" s="372">
        <f t="shared" si="179"/>
        <v>17.271745833989353</v>
      </c>
      <c r="AB425" s="373">
        <f t="shared" si="180"/>
        <v>-112.47855456400545</v>
      </c>
      <c r="AD425">
        <f t="shared" si="184"/>
        <v>0</v>
      </c>
      <c r="AE425">
        <f t="shared" si="187"/>
        <v>0</v>
      </c>
    </row>
    <row r="426" spans="1:31" x14ac:dyDescent="0.2">
      <c r="A426" s="374">
        <v>41929.75</v>
      </c>
      <c r="B426" s="391">
        <f t="shared" si="181"/>
        <v>41.929749999999999</v>
      </c>
      <c r="C426" s="364">
        <f t="shared" si="162"/>
        <v>53.658791461703892</v>
      </c>
      <c r="D426" s="365">
        <f t="shared" si="163"/>
        <v>1.5521589727484961</v>
      </c>
      <c r="E426" s="365">
        <f t="shared" si="164"/>
        <v>1.1187564306989575</v>
      </c>
      <c r="F426" s="366">
        <f t="shared" si="165"/>
        <v>0.46493745456688873</v>
      </c>
      <c r="G426" s="365">
        <f t="shared" si="166"/>
        <v>1</v>
      </c>
      <c r="H426" s="366">
        <f t="shared" si="167"/>
        <v>0</v>
      </c>
      <c r="I426" s="364">
        <f t="shared" si="168"/>
        <v>14235.036021632221</v>
      </c>
      <c r="J426" s="367">
        <f t="shared" si="169"/>
        <v>1.5707260775872864</v>
      </c>
      <c r="K426" s="375">
        <f t="shared" si="185"/>
        <v>8.6648871311821321</v>
      </c>
      <c r="L426" s="376">
        <f t="shared" si="186"/>
        <v>1.4551302780008795</v>
      </c>
      <c r="M426" s="364">
        <f t="shared" si="170"/>
        <v>1.0062992371447435</v>
      </c>
      <c r="N426" s="367">
        <f t="shared" si="171"/>
        <v>0.11194951479615357</v>
      </c>
      <c r="O426" s="368">
        <f t="shared" si="172"/>
        <v>1.3453953070800002</v>
      </c>
      <c r="P426" s="369">
        <f t="shared" si="173"/>
        <v>0.87746600102467021</v>
      </c>
      <c r="Q426" s="370">
        <f t="shared" si="174"/>
        <v>-10.542023541250973</v>
      </c>
      <c r="R426" s="371">
        <f t="shared" si="175"/>
        <v>-125.60568921817118</v>
      </c>
      <c r="S426" s="373">
        <f t="shared" si="176"/>
        <v>54.394310781828821</v>
      </c>
      <c r="U426" s="346">
        <f t="shared" si="182"/>
        <v>41929.75</v>
      </c>
      <c r="V426" s="346">
        <f t="shared" si="183"/>
        <v>1758103935.0625</v>
      </c>
      <c r="X426" s="372">
        <f t="shared" si="177"/>
        <v>23.730218253283507</v>
      </c>
      <c r="Y426" s="373">
        <f t="shared" si="178"/>
        <v>-13.037386176995573</v>
      </c>
      <c r="AA426" s="372">
        <f t="shared" si="179"/>
        <v>17.208383560019897</v>
      </c>
      <c r="AB426" s="373">
        <f t="shared" si="180"/>
        <v>-112.56830304117561</v>
      </c>
      <c r="AD426">
        <f t="shared" si="184"/>
        <v>0</v>
      </c>
      <c r="AE426">
        <f t="shared" si="187"/>
        <v>0</v>
      </c>
    </row>
    <row r="427" spans="1:31" x14ac:dyDescent="0.2">
      <c r="A427" s="374">
        <v>42172.5</v>
      </c>
      <c r="B427" s="391">
        <f t="shared" si="181"/>
        <v>42.172499999999999</v>
      </c>
      <c r="C427" s="364">
        <f t="shared" si="162"/>
        <v>53.969338524046648</v>
      </c>
      <c r="D427" s="365">
        <f t="shared" si="163"/>
        <v>1.5522662269812744</v>
      </c>
      <c r="E427" s="365">
        <f t="shared" si="164"/>
        <v>1.1200615244068264</v>
      </c>
      <c r="F427" s="366">
        <f t="shared" si="165"/>
        <v>0.46725500404959813</v>
      </c>
      <c r="G427" s="365">
        <f t="shared" si="166"/>
        <v>1</v>
      </c>
      <c r="H427" s="366">
        <f t="shared" si="167"/>
        <v>0</v>
      </c>
      <c r="I427" s="364">
        <f t="shared" si="168"/>
        <v>14317.448985631465</v>
      </c>
      <c r="J427" s="367">
        <f t="shared" si="169"/>
        <v>1.5707264819502027</v>
      </c>
      <c r="K427" s="375">
        <f t="shared" si="185"/>
        <v>8.7143857698665972</v>
      </c>
      <c r="L427" s="376">
        <f t="shared" si="186"/>
        <v>1.4557901938836431</v>
      </c>
      <c r="M427" s="364">
        <f t="shared" si="170"/>
        <v>1.006372154868008</v>
      </c>
      <c r="N427" s="367">
        <f t="shared" si="171"/>
        <v>0.11259219226321482</v>
      </c>
      <c r="O427" s="368">
        <f t="shared" si="172"/>
        <v>1.3489723375823683</v>
      </c>
      <c r="P427" s="369">
        <f t="shared" si="173"/>
        <v>0.88123219736952429</v>
      </c>
      <c r="Q427" s="370">
        <f t="shared" si="174"/>
        <v>-10.606377147244448</v>
      </c>
      <c r="R427" s="371">
        <f t="shared" si="175"/>
        <v>-125.69387126417402</v>
      </c>
      <c r="S427" s="373">
        <f t="shared" si="176"/>
        <v>54.306128735825979</v>
      </c>
      <c r="U427" s="346">
        <f t="shared" si="182"/>
        <v>42172.5</v>
      </c>
      <c r="V427" s="346">
        <f t="shared" si="183"/>
        <v>1778519756.25</v>
      </c>
      <c r="X427" s="372">
        <f t="shared" si="177"/>
        <v>23.728924837134684</v>
      </c>
      <c r="Y427" s="373">
        <f t="shared" si="178"/>
        <v>-13.036421656817723</v>
      </c>
      <c r="AA427" s="372">
        <f t="shared" si="179"/>
        <v>17.145323370175241</v>
      </c>
      <c r="AB427" s="373">
        <f t="shared" si="180"/>
        <v>-112.65744960735633</v>
      </c>
      <c r="AD427">
        <f t="shared" si="184"/>
        <v>0</v>
      </c>
      <c r="AE427">
        <f t="shared" si="187"/>
        <v>0</v>
      </c>
    </row>
    <row r="428" spans="1:31" x14ac:dyDescent="0.2">
      <c r="A428" s="374">
        <v>42415.25</v>
      </c>
      <c r="B428" s="391">
        <f t="shared" si="181"/>
        <v>42.41525</v>
      </c>
      <c r="C428" s="364">
        <f t="shared" si="162"/>
        <v>54.279886200120231</v>
      </c>
      <c r="D428" s="365">
        <f t="shared" si="163"/>
        <v>1.5523722539631397</v>
      </c>
      <c r="E428" s="365">
        <f t="shared" si="164"/>
        <v>1.1213726199831811</v>
      </c>
      <c r="F428" s="366">
        <f t="shared" si="165"/>
        <v>0.46956714662399579</v>
      </c>
      <c r="G428" s="365">
        <f t="shared" si="166"/>
        <v>1</v>
      </c>
      <c r="H428" s="366">
        <f t="shared" si="167"/>
        <v>0</v>
      </c>
      <c r="I428" s="364">
        <f t="shared" si="168"/>
        <v>14399.861949633023</v>
      </c>
      <c r="J428" s="367">
        <f t="shared" si="169"/>
        <v>1.5707268816846378</v>
      </c>
      <c r="K428" s="375">
        <f t="shared" si="185"/>
        <v>8.7638881607003007</v>
      </c>
      <c r="L428" s="376">
        <f t="shared" si="186"/>
        <v>1.4564426550431249</v>
      </c>
      <c r="M428" s="364">
        <f t="shared" si="170"/>
        <v>1.0064454881971872</v>
      </c>
      <c r="N428" s="367">
        <f t="shared" si="171"/>
        <v>0.11323477633995339</v>
      </c>
      <c r="O428" s="368">
        <f t="shared" si="172"/>
        <v>1.3525624507557892</v>
      </c>
      <c r="P428" s="369">
        <f t="shared" si="173"/>
        <v>0.88498379607221955</v>
      </c>
      <c r="Q428" s="370">
        <f t="shared" si="174"/>
        <v>-10.670423771770544</v>
      </c>
      <c r="R428" s="371">
        <f t="shared" si="175"/>
        <v>-125.78187791173669</v>
      </c>
      <c r="S428" s="373">
        <f t="shared" si="176"/>
        <v>54.218122088263314</v>
      </c>
      <c r="U428" s="346">
        <f t="shared" si="182"/>
        <v>42415.25</v>
      </c>
      <c r="V428" s="346">
        <f t="shared" si="183"/>
        <v>1799053432.5625</v>
      </c>
      <c r="X428" s="372">
        <f t="shared" si="177"/>
        <v>23.727639149580927</v>
      </c>
      <c r="Y428" s="373">
        <f t="shared" si="178"/>
        <v>-13.035878644758082</v>
      </c>
      <c r="AA428" s="372">
        <f t="shared" si="179"/>
        <v>17.082562433202902</v>
      </c>
      <c r="AB428" s="373">
        <f t="shared" si="180"/>
        <v>-112.74599926697861</v>
      </c>
      <c r="AD428">
        <f t="shared" si="184"/>
        <v>0</v>
      </c>
      <c r="AE428">
        <f t="shared" si="187"/>
        <v>0</v>
      </c>
    </row>
    <row r="429" spans="1:31" x14ac:dyDescent="0.2">
      <c r="A429" s="374">
        <v>42658</v>
      </c>
      <c r="B429" s="391">
        <f t="shared" si="181"/>
        <v>42.658000000000001</v>
      </c>
      <c r="C429" s="364">
        <f t="shared" si="162"/>
        <v>54.590434479450678</v>
      </c>
      <c r="D429" s="365">
        <f t="shared" si="163"/>
        <v>1.5524770746360521</v>
      </c>
      <c r="E429" s="365">
        <f t="shared" si="164"/>
        <v>1.1226896964007782</v>
      </c>
      <c r="F429" s="366">
        <f t="shared" si="165"/>
        <v>0.47187387655483731</v>
      </c>
      <c r="G429" s="365">
        <f t="shared" si="166"/>
        <v>1</v>
      </c>
      <c r="H429" s="366">
        <f t="shared" si="167"/>
        <v>0</v>
      </c>
      <c r="I429" s="364">
        <f t="shared" si="168"/>
        <v>14482.274913636857</v>
      </c>
      <c r="J429" s="367">
        <f t="shared" si="169"/>
        <v>1.5707272768696081</v>
      </c>
      <c r="K429" s="375">
        <f t="shared" si="185"/>
        <v>8.8133942404588996</v>
      </c>
      <c r="L429" s="376">
        <f t="shared" si="186"/>
        <v>1.4570877865417775</v>
      </c>
      <c r="M429" s="364">
        <f t="shared" si="170"/>
        <v>1.0065192370414398</v>
      </c>
      <c r="N429" s="367">
        <f t="shared" si="171"/>
        <v>0.11387726651617606</v>
      </c>
      <c r="O429" s="368">
        <f t="shared" si="172"/>
        <v>1.3561655767222081</v>
      </c>
      <c r="P429" s="369">
        <f t="shared" si="173"/>
        <v>0.88872085737249573</v>
      </c>
      <c r="Q429" s="370">
        <f t="shared" si="174"/>
        <v>-10.734166450349083</v>
      </c>
      <c r="R429" s="371">
        <f t="shared" si="175"/>
        <v>-125.86970695057776</v>
      </c>
      <c r="S429" s="373">
        <f t="shared" si="176"/>
        <v>54.130293049422235</v>
      </c>
      <c r="U429" s="346">
        <f t="shared" si="182"/>
        <v>42658</v>
      </c>
      <c r="V429" s="346">
        <f t="shared" si="183"/>
        <v>1819704964</v>
      </c>
      <c r="X429" s="372">
        <f t="shared" si="177"/>
        <v>23.726360939142047</v>
      </c>
      <c r="Y429" s="373">
        <f t="shared" si="178"/>
        <v>-13.035749950561282</v>
      </c>
      <c r="AA429" s="372">
        <f t="shared" si="179"/>
        <v>17.020097965063247</v>
      </c>
      <c r="AB429" s="373">
        <f t="shared" si="180"/>
        <v>-112.8339570000165</v>
      </c>
      <c r="AD429">
        <f t="shared" si="184"/>
        <v>0</v>
      </c>
      <c r="AE429">
        <f t="shared" si="187"/>
        <v>0</v>
      </c>
    </row>
    <row r="430" spans="1:31" x14ac:dyDescent="0.2">
      <c r="A430" s="374">
        <v>42906.5</v>
      </c>
      <c r="B430" s="391">
        <f t="shared" si="181"/>
        <v>42.906500000000001</v>
      </c>
      <c r="C430" s="364">
        <f t="shared" si="162"/>
        <v>54.908339305421407</v>
      </c>
      <c r="D430" s="365">
        <f t="shared" si="163"/>
        <v>1.5525831500457046</v>
      </c>
      <c r="E430" s="365">
        <f t="shared" si="164"/>
        <v>1.1240441433744737</v>
      </c>
      <c r="F430" s="366">
        <f t="shared" si="165"/>
        <v>0.47422963362193277</v>
      </c>
      <c r="G430" s="365">
        <f t="shared" si="166"/>
        <v>1</v>
      </c>
      <c r="H430" s="366">
        <f t="shared" si="167"/>
        <v>0</v>
      </c>
      <c r="I430" s="364">
        <f t="shared" si="168"/>
        <v>14566.63998698604</v>
      </c>
      <c r="J430" s="367">
        <f t="shared" si="169"/>
        <v>1.5707276767835228</v>
      </c>
      <c r="K430" s="375">
        <f t="shared" si="185"/>
        <v>8.8640767233044748</v>
      </c>
      <c r="L430" s="376">
        <f t="shared" si="186"/>
        <v>1.4577407347318987</v>
      </c>
      <c r="M430" s="364">
        <f t="shared" si="170"/>
        <v>1.0065951630684173</v>
      </c>
      <c r="N430" s="367">
        <f t="shared" si="171"/>
        <v>0.11453487751092019</v>
      </c>
      <c r="O430" s="368">
        <f t="shared" si="172"/>
        <v>1.3598674560773434</v>
      </c>
      <c r="P430" s="369">
        <f t="shared" si="173"/>
        <v>0.89253144335507395</v>
      </c>
      <c r="Q430" s="370">
        <f t="shared" si="174"/>
        <v>-10.799107279496054</v>
      </c>
      <c r="R430" s="371">
        <f t="shared" si="175"/>
        <v>-125.95943025313927</v>
      </c>
      <c r="S430" s="373">
        <f t="shared" si="176"/>
        <v>54.040569746860726</v>
      </c>
      <c r="U430" s="346">
        <f t="shared" si="182"/>
        <v>42906.5</v>
      </c>
      <c r="V430" s="346">
        <f t="shared" si="183"/>
        <v>1840967742.25</v>
      </c>
      <c r="X430" s="372">
        <f t="shared" si="177"/>
        <v>23.725059941576838</v>
      </c>
      <c r="Y430" s="373">
        <f t="shared" si="178"/>
        <v>-13.036040022966688</v>
      </c>
      <c r="AA430" s="372">
        <f t="shared" si="179"/>
        <v>16.956458133481487</v>
      </c>
      <c r="AB430" s="373">
        <f t="shared" si="180"/>
        <v>-112.92339023017264</v>
      </c>
      <c r="AD430">
        <f t="shared" si="184"/>
        <v>0</v>
      </c>
      <c r="AE430">
        <f t="shared" si="187"/>
        <v>0</v>
      </c>
    </row>
    <row r="431" spans="1:31" x14ac:dyDescent="0.2">
      <c r="A431" s="374">
        <v>43155</v>
      </c>
      <c r="B431" s="391">
        <f t="shared" si="181"/>
        <v>43.155000000000001</v>
      </c>
      <c r="C431" s="364">
        <f t="shared" si="162"/>
        <v>55.226244742107411</v>
      </c>
      <c r="D431" s="365">
        <f t="shared" si="163"/>
        <v>1.5526880042273947</v>
      </c>
      <c r="E431" s="365">
        <f t="shared" si="164"/>
        <v>1.1254048132985901</v>
      </c>
      <c r="F431" s="366">
        <f t="shared" si="165"/>
        <v>0.4765797072518031</v>
      </c>
      <c r="G431" s="365">
        <f t="shared" si="166"/>
        <v>1</v>
      </c>
      <c r="H431" s="366">
        <f t="shared" si="167"/>
        <v>0</v>
      </c>
      <c r="I431" s="364">
        <f t="shared" si="168"/>
        <v>14651.005060337529</v>
      </c>
      <c r="J431" s="367">
        <f t="shared" si="169"/>
        <v>1.5707280720917784</v>
      </c>
      <c r="K431" s="375">
        <f t="shared" si="185"/>
        <v>8.9147629423010883</v>
      </c>
      <c r="L431" s="376">
        <f t="shared" si="186"/>
        <v>1.4583862583253056</v>
      </c>
      <c r="M431" s="364">
        <f t="shared" si="170"/>
        <v>1.0066715243339344</v>
      </c>
      <c r="N431" s="367">
        <f t="shared" si="171"/>
        <v>0.11519238902354934</v>
      </c>
      <c r="O431" s="368">
        <f t="shared" si="172"/>
        <v>1.3635828256011124</v>
      </c>
      <c r="P431" s="369">
        <f t="shared" si="173"/>
        <v>0.8963269237905559</v>
      </c>
      <c r="Q431" s="370">
        <f t="shared" si="174"/>
        <v>-10.863735861647413</v>
      </c>
      <c r="R431" s="371">
        <f t="shared" si="175"/>
        <v>-126.04896317162908</v>
      </c>
      <c r="S431" s="373">
        <f t="shared" si="176"/>
        <v>53.951036828370917</v>
      </c>
      <c r="U431" s="346">
        <f t="shared" si="182"/>
        <v>43155</v>
      </c>
      <c r="V431" s="346">
        <f t="shared" si="183"/>
        <v>1862354025</v>
      </c>
      <c r="X431" s="372">
        <f t="shared" si="177"/>
        <v>23.723766268622452</v>
      </c>
      <c r="Y431" s="373">
        <f t="shared" si="178"/>
        <v>-13.036749529638731</v>
      </c>
      <c r="AA431" s="372">
        <f t="shared" si="179"/>
        <v>16.893123224284512</v>
      </c>
      <c r="AB431" s="373">
        <f t="shared" si="180"/>
        <v>-113.01221364199031</v>
      </c>
      <c r="AD431">
        <f t="shared" si="184"/>
        <v>0</v>
      </c>
      <c r="AE431">
        <f t="shared" si="187"/>
        <v>0</v>
      </c>
    </row>
    <row r="432" spans="1:31" x14ac:dyDescent="0.2">
      <c r="A432" s="374">
        <v>43403.5</v>
      </c>
      <c r="B432" s="391">
        <f t="shared" si="181"/>
        <v>43.403500000000001</v>
      </c>
      <c r="C432" s="364">
        <f t="shared" si="162"/>
        <v>55.544150779022459</v>
      </c>
      <c r="D432" s="365">
        <f t="shared" si="163"/>
        <v>1.5527916581478318</v>
      </c>
      <c r="E432" s="365">
        <f t="shared" si="164"/>
        <v>1.126771683628947</v>
      </c>
      <c r="F432" s="366">
        <f t="shared" si="165"/>
        <v>0.47892409212300374</v>
      </c>
      <c r="G432" s="365">
        <f t="shared" si="166"/>
        <v>1</v>
      </c>
      <c r="H432" s="366">
        <f t="shared" si="167"/>
        <v>0</v>
      </c>
      <c r="I432" s="364">
        <f t="shared" si="168"/>
        <v>14735.37013369128</v>
      </c>
      <c r="J432" s="367">
        <f t="shared" si="169"/>
        <v>1.5707284628734821</v>
      </c>
      <c r="K432" s="375">
        <f t="shared" si="185"/>
        <v>8.9654528340817166</v>
      </c>
      <c r="L432" s="376">
        <f t="shared" si="186"/>
        <v>1.4590244827134786</v>
      </c>
      <c r="M432" s="364">
        <f t="shared" si="170"/>
        <v>1.0067483207389536</v>
      </c>
      <c r="N432" s="367">
        <f t="shared" si="171"/>
        <v>0.11584980050825286</v>
      </c>
      <c r="O432" s="368">
        <f t="shared" si="172"/>
        <v>1.3673116121536237</v>
      </c>
      <c r="P432" s="369">
        <f t="shared" si="173"/>
        <v>0.90010736423372795</v>
      </c>
      <c r="Q432" s="370">
        <f t="shared" si="174"/>
        <v>-10.928055284952498</v>
      </c>
      <c r="R432" s="371">
        <f t="shared" si="175"/>
        <v>-126.13830375711697</v>
      </c>
      <c r="S432" s="373">
        <f t="shared" si="176"/>
        <v>53.861696242883028</v>
      </c>
      <c r="U432" s="346">
        <f t="shared" si="182"/>
        <v>43403.5</v>
      </c>
      <c r="V432" s="346">
        <f t="shared" si="183"/>
        <v>1883863812.25</v>
      </c>
      <c r="X432" s="372">
        <f t="shared" si="177"/>
        <v>23.722479672711557</v>
      </c>
      <c r="Y432" s="373">
        <f t="shared" si="178"/>
        <v>-13.037871259434651</v>
      </c>
      <c r="AA432" s="372">
        <f t="shared" si="179"/>
        <v>16.83009039689032</v>
      </c>
      <c r="AB432" s="373">
        <f t="shared" si="180"/>
        <v>-113.10043249768235</v>
      </c>
      <c r="AD432">
        <f t="shared" si="184"/>
        <v>0</v>
      </c>
      <c r="AE432">
        <f t="shared" si="187"/>
        <v>0</v>
      </c>
    </row>
    <row r="433" spans="1:31" x14ac:dyDescent="0.2">
      <c r="A433" s="374">
        <v>43652</v>
      </c>
      <c r="B433" s="391">
        <f t="shared" si="181"/>
        <v>43.652000000000001</v>
      </c>
      <c r="C433" s="364">
        <f t="shared" si="162"/>
        <v>55.862057405918989</v>
      </c>
      <c r="D433" s="365">
        <f t="shared" si="163"/>
        <v>1.5528941322965499</v>
      </c>
      <c r="E433" s="365">
        <f t="shared" si="164"/>
        <v>1.1281447318281401</v>
      </c>
      <c r="F433" s="366">
        <f t="shared" si="165"/>
        <v>0.48126278318994936</v>
      </c>
      <c r="G433" s="365">
        <f t="shared" si="166"/>
        <v>1</v>
      </c>
      <c r="H433" s="366">
        <f t="shared" si="167"/>
        <v>0</v>
      </c>
      <c r="I433" s="364">
        <f t="shared" si="168"/>
        <v>14819.735207047255</v>
      </c>
      <c r="J433" s="367">
        <f t="shared" si="169"/>
        <v>1.5707288492059392</v>
      </c>
      <c r="K433" s="375">
        <f t="shared" si="185"/>
        <v>9.0161463366998174</v>
      </c>
      <c r="L433" s="376">
        <f t="shared" si="186"/>
        <v>1.4596555304919248</v>
      </c>
      <c r="M433" s="364">
        <f t="shared" si="170"/>
        <v>1.0068255521839031</v>
      </c>
      <c r="N433" s="367">
        <f t="shared" si="171"/>
        <v>0.11650711141973207</v>
      </c>
      <c r="O433" s="368">
        <f t="shared" si="172"/>
        <v>1.371053743207425</v>
      </c>
      <c r="P433" s="369">
        <f t="shared" si="173"/>
        <v>0.90387283051795542</v>
      </c>
      <c r="Q433" s="370">
        <f t="shared" si="174"/>
        <v>-10.992068583803478</v>
      </c>
      <c r="R433" s="371">
        <f t="shared" si="175"/>
        <v>-126.22745019361263</v>
      </c>
      <c r="S433" s="373">
        <f t="shared" si="176"/>
        <v>53.772549806387374</v>
      </c>
      <c r="U433" s="346">
        <f t="shared" si="182"/>
        <v>43652</v>
      </c>
      <c r="V433" s="346">
        <f t="shared" si="183"/>
        <v>1905497104</v>
      </c>
      <c r="X433" s="372">
        <f t="shared" si="177"/>
        <v>23.721199913273129</v>
      </c>
      <c r="Y433" s="373">
        <f t="shared" si="178"/>
        <v>-13.03939816133526</v>
      </c>
      <c r="AA433" s="372">
        <f t="shared" si="179"/>
        <v>16.767356857477768</v>
      </c>
      <c r="AB433" s="373">
        <f t="shared" si="180"/>
        <v>-113.18805203227734</v>
      </c>
      <c r="AD433">
        <f t="shared" si="184"/>
        <v>0</v>
      </c>
      <c r="AE433">
        <f t="shared" si="187"/>
        <v>0</v>
      </c>
    </row>
    <row r="434" spans="1:31" x14ac:dyDescent="0.2">
      <c r="A434" s="374">
        <v>43906</v>
      </c>
      <c r="B434" s="391">
        <f t="shared" si="181"/>
        <v>43.905999999999999</v>
      </c>
      <c r="C434" s="364">
        <f t="shared" si="162"/>
        <v>56.187000794871125</v>
      </c>
      <c r="D434" s="365">
        <f t="shared" si="163"/>
        <v>1.5529976761023006</v>
      </c>
      <c r="E434" s="365">
        <f t="shared" si="164"/>
        <v>1.1295545304517214</v>
      </c>
      <c r="F434" s="366">
        <f t="shared" si="165"/>
        <v>0.48364734683607014</v>
      </c>
      <c r="G434" s="365">
        <f t="shared" si="166"/>
        <v>1</v>
      </c>
      <c r="H434" s="366">
        <f t="shared" si="167"/>
        <v>0</v>
      </c>
      <c r="I434" s="364">
        <f t="shared" si="168"/>
        <v>14905.967515429467</v>
      </c>
      <c r="J434" s="367">
        <f t="shared" si="169"/>
        <v>1.5707292395696149</v>
      </c>
      <c r="K434" s="375">
        <f t="shared" si="185"/>
        <v>9.0679654968631755</v>
      </c>
      <c r="L434" s="376">
        <f t="shared" si="186"/>
        <v>1.4602932532819888</v>
      </c>
      <c r="M434" s="364">
        <f t="shared" si="170"/>
        <v>1.0069049424619692</v>
      </c>
      <c r="N434" s="367">
        <f t="shared" si="171"/>
        <v>0.11717886595607416</v>
      </c>
      <c r="O434" s="368">
        <f t="shared" si="172"/>
        <v>1.3748924140175987</v>
      </c>
      <c r="P434" s="369">
        <f t="shared" si="173"/>
        <v>0.90770623095596492</v>
      </c>
      <c r="Q434" s="370">
        <f t="shared" si="174"/>
        <v>-11.057185417699994</v>
      </c>
      <c r="R434" s="371">
        <f t="shared" si="175"/>
        <v>-126.31836729178148</v>
      </c>
      <c r="S434" s="373">
        <f t="shared" si="176"/>
        <v>53.681632708218515</v>
      </c>
      <c r="U434" s="346">
        <f t="shared" si="182"/>
        <v>43906</v>
      </c>
      <c r="V434" s="346">
        <f t="shared" si="183"/>
        <v>1927736836</v>
      </c>
      <c r="X434" s="372">
        <f t="shared" si="177"/>
        <v>23.71989865091923</v>
      </c>
      <c r="Y434" s="373">
        <f t="shared" si="178"/>
        <v>-13.041370402959799</v>
      </c>
      <c r="AA434" s="372">
        <f t="shared" si="179"/>
        <v>16.703541285935152</v>
      </c>
      <c r="AB434" s="373">
        <f t="shared" si="180"/>
        <v>-113.2769968888217</v>
      </c>
      <c r="AD434">
        <f t="shared" si="184"/>
        <v>0</v>
      </c>
      <c r="AE434">
        <f t="shared" si="187"/>
        <v>0</v>
      </c>
    </row>
    <row r="435" spans="1:31" x14ac:dyDescent="0.2">
      <c r="A435" s="374">
        <v>44160</v>
      </c>
      <c r="B435" s="391">
        <f t="shared" si="181"/>
        <v>44.16</v>
      </c>
      <c r="C435" s="364">
        <f t="shared" si="162"/>
        <v>56.511944779294467</v>
      </c>
      <c r="D435" s="365">
        <f t="shared" si="163"/>
        <v>1.5531000291542654</v>
      </c>
      <c r="E435" s="365">
        <f t="shared" si="164"/>
        <v>1.1309707358509404</v>
      </c>
      <c r="F435" s="366">
        <f t="shared" si="165"/>
        <v>0.48602595206172267</v>
      </c>
      <c r="G435" s="365">
        <f t="shared" si="166"/>
        <v>1</v>
      </c>
      <c r="H435" s="366">
        <f t="shared" si="167"/>
        <v>0</v>
      </c>
      <c r="I435" s="364">
        <f t="shared" si="168"/>
        <v>14992.199823813924</v>
      </c>
      <c r="J435" s="367">
        <f t="shared" si="169"/>
        <v>1.5707296254426939</v>
      </c>
      <c r="K435" s="375">
        <f t="shared" si="185"/>
        <v>9.1197883029705906</v>
      </c>
      <c r="L435" s="376">
        <f t="shared" si="186"/>
        <v>1.460923728661202</v>
      </c>
      <c r="M435" s="364">
        <f t="shared" si="170"/>
        <v>1.0069847870383124</v>
      </c>
      <c r="N435" s="367">
        <f t="shared" si="171"/>
        <v>0.11785051426762194</v>
      </c>
      <c r="O435" s="368">
        <f t="shared" si="172"/>
        <v>1.3787448752963292</v>
      </c>
      <c r="P435" s="369">
        <f t="shared" si="173"/>
        <v>0.91152412695750917</v>
      </c>
      <c r="Q435" s="370">
        <f t="shared" si="174"/>
        <v>-11.121988671192579</v>
      </c>
      <c r="R435" s="371">
        <f t="shared" si="175"/>
        <v>-126.40907812088555</v>
      </c>
      <c r="S435" s="373">
        <f t="shared" si="176"/>
        <v>53.590921879114447</v>
      </c>
      <c r="U435" s="346">
        <f t="shared" si="182"/>
        <v>44160</v>
      </c>
      <c r="V435" s="346">
        <f t="shared" si="183"/>
        <v>1950105600</v>
      </c>
      <c r="X435" s="372">
        <f t="shared" si="177"/>
        <v>23.71860404413928</v>
      </c>
      <c r="Y435" s="373">
        <f t="shared" si="178"/>
        <v>-13.043751547114317</v>
      </c>
      <c r="AA435" s="372">
        <f t="shared" si="179"/>
        <v>16.640032639222518</v>
      </c>
      <c r="AB435" s="373">
        <f t="shared" si="180"/>
        <v>-113.36532657377121</v>
      </c>
      <c r="AD435">
        <f t="shared" si="184"/>
        <v>0</v>
      </c>
      <c r="AE435">
        <f t="shared" si="187"/>
        <v>0</v>
      </c>
    </row>
    <row r="436" spans="1:31" x14ac:dyDescent="0.2">
      <c r="A436" s="374">
        <v>44414</v>
      </c>
      <c r="B436" s="391">
        <f t="shared" si="181"/>
        <v>44.414000000000001</v>
      </c>
      <c r="C436" s="364">
        <f t="shared" si="162"/>
        <v>56.836889348975866</v>
      </c>
      <c r="D436" s="365">
        <f t="shared" si="163"/>
        <v>1.5532012118734069</v>
      </c>
      <c r="E436" s="365">
        <f t="shared" si="164"/>
        <v>1.1323933239882742</v>
      </c>
      <c r="F436" s="366">
        <f t="shared" si="165"/>
        <v>0.48839859435763683</v>
      </c>
      <c r="G436" s="365">
        <f t="shared" si="166"/>
        <v>1</v>
      </c>
      <c r="H436" s="366">
        <f t="shared" si="167"/>
        <v>0</v>
      </c>
      <c r="I436" s="364">
        <f t="shared" si="168"/>
        <v>15078.432132200585</v>
      </c>
      <c r="J436" s="367">
        <f t="shared" si="169"/>
        <v>1.5707300069022203</v>
      </c>
      <c r="K436" s="375">
        <f t="shared" si="185"/>
        <v>9.1716146932195173</v>
      </c>
      <c r="L436" s="376">
        <f t="shared" si="186"/>
        <v>1.4615470789836966</v>
      </c>
      <c r="M436" s="364">
        <f t="shared" si="170"/>
        <v>1.0070650858048757</v>
      </c>
      <c r="N436" s="367">
        <f t="shared" si="171"/>
        <v>0.11852205577373723</v>
      </c>
      <c r="O436" s="368">
        <f t="shared" si="172"/>
        <v>1.3826110515682177</v>
      </c>
      <c r="P436" s="369">
        <f t="shared" si="173"/>
        <v>0.9153265896145697</v>
      </c>
      <c r="Q436" s="370">
        <f t="shared" si="174"/>
        <v>-11.18648141960853</v>
      </c>
      <c r="R436" s="371">
        <f t="shared" si="175"/>
        <v>-126.49958114336307</v>
      </c>
      <c r="S436" s="373">
        <f t="shared" si="176"/>
        <v>53.500418856636927</v>
      </c>
      <c r="U436" s="346">
        <f t="shared" si="182"/>
        <v>44414</v>
      </c>
      <c r="V436" s="346">
        <f t="shared" si="183"/>
        <v>1972603396</v>
      </c>
      <c r="X436" s="372">
        <f t="shared" si="177"/>
        <v>23.717315857208789</v>
      </c>
      <c r="Y436" s="373">
        <f t="shared" si="178"/>
        <v>-13.046534554569623</v>
      </c>
      <c r="AA436" s="372">
        <f t="shared" si="179"/>
        <v>16.576828077737062</v>
      </c>
      <c r="AB436" s="373">
        <f t="shared" si="180"/>
        <v>-113.45304658879346</v>
      </c>
      <c r="AD436">
        <f t="shared" si="184"/>
        <v>0</v>
      </c>
      <c r="AE436">
        <f t="shared" si="187"/>
        <v>0</v>
      </c>
    </row>
    <row r="437" spans="1:31" x14ac:dyDescent="0.2">
      <c r="A437" s="374">
        <v>44668</v>
      </c>
      <c r="B437" s="391">
        <f t="shared" si="181"/>
        <v>44.667999999999999</v>
      </c>
      <c r="C437" s="364">
        <f t="shared" si="162"/>
        <v>57.161834493934371</v>
      </c>
      <c r="D437" s="365">
        <f t="shared" si="163"/>
        <v>1.5533012442164404</v>
      </c>
      <c r="E437" s="365">
        <f t="shared" si="164"/>
        <v>1.1338222708387737</v>
      </c>
      <c r="F437" s="366">
        <f t="shared" si="165"/>
        <v>0.49076526950566346</v>
      </c>
      <c r="G437" s="365">
        <f t="shared" si="166"/>
        <v>1</v>
      </c>
      <c r="H437" s="366">
        <f t="shared" si="167"/>
        <v>0</v>
      </c>
      <c r="I437" s="364">
        <f t="shared" si="168"/>
        <v>15164.664440589419</v>
      </c>
      <c r="J437" s="367">
        <f t="shared" si="169"/>
        <v>1.5707303840234861</v>
      </c>
      <c r="K437" s="375">
        <f t="shared" si="185"/>
        <v>9.2234446071922509</v>
      </c>
      <c r="L437" s="376">
        <f t="shared" si="186"/>
        <v>1.4621634238758292</v>
      </c>
      <c r="M437" s="364">
        <f t="shared" si="170"/>
        <v>1.0071458386530232</v>
      </c>
      <c r="N437" s="367">
        <f t="shared" si="171"/>
        <v>0.11919348989435183</v>
      </c>
      <c r="O437" s="368">
        <f t="shared" si="172"/>
        <v>1.3864908680201506</v>
      </c>
      <c r="P437" s="369">
        <f t="shared" si="173"/>
        <v>0.9191136902486563</v>
      </c>
      <c r="Q437" s="370">
        <f t="shared" si="174"/>
        <v>-11.250666685569371</v>
      </c>
      <c r="R437" s="371">
        <f t="shared" si="175"/>
        <v>-126.58987494774645</v>
      </c>
      <c r="S437" s="373">
        <f t="shared" si="176"/>
        <v>53.410125052253548</v>
      </c>
      <c r="U437" s="346">
        <f t="shared" si="182"/>
        <v>44668</v>
      </c>
      <c r="V437" s="346">
        <f t="shared" si="183"/>
        <v>1995230224</v>
      </c>
      <c r="X437" s="372">
        <f t="shared" si="177"/>
        <v>23.716033861068961</v>
      </c>
      <c r="Y437" s="373">
        <f t="shared" si="178"/>
        <v>-13.049712542318803</v>
      </c>
      <c r="AA437" s="372">
        <f t="shared" si="179"/>
        <v>16.513924807916048</v>
      </c>
      <c r="AB437" s="373">
        <f t="shared" si="180"/>
        <v>-113.54016240542771</v>
      </c>
      <c r="AD437">
        <f t="shared" si="184"/>
        <v>0</v>
      </c>
      <c r="AE437">
        <f t="shared" si="187"/>
        <v>0</v>
      </c>
    </row>
    <row r="438" spans="1:31" x14ac:dyDescent="0.2">
      <c r="A438" s="374">
        <v>44928.25</v>
      </c>
      <c r="B438" s="391">
        <f t="shared" si="181"/>
        <v>44.928249999999998</v>
      </c>
      <c r="C438" s="364">
        <f t="shared" si="162"/>
        <v>57.494775922841953</v>
      </c>
      <c r="D438" s="365">
        <f t="shared" si="163"/>
        <v>1.5534025651956571</v>
      </c>
      <c r="E438" s="365">
        <f t="shared" si="164"/>
        <v>1.1352929490090182</v>
      </c>
      <c r="F438" s="366">
        <f t="shared" si="165"/>
        <v>0.49318398646463718</v>
      </c>
      <c r="G438" s="365">
        <f t="shared" si="166"/>
        <v>1</v>
      </c>
      <c r="H438" s="366">
        <f t="shared" si="167"/>
        <v>0</v>
      </c>
      <c r="I438" s="364">
        <f t="shared" si="168"/>
        <v>15253.018606962471</v>
      </c>
      <c r="J438" s="367">
        <f t="shared" si="169"/>
        <v>1.5707307660015557</v>
      </c>
      <c r="K438" s="375">
        <f t="shared" si="185"/>
        <v>9.2765534566220644</v>
      </c>
      <c r="L438" s="376">
        <f t="shared" si="186"/>
        <v>1.4627877909222453</v>
      </c>
      <c r="M438" s="364">
        <f t="shared" si="170"/>
        <v>1.007229049394653</v>
      </c>
      <c r="N438" s="367">
        <f t="shared" si="171"/>
        <v>0.11988133353630417</v>
      </c>
      <c r="O438" s="368">
        <f t="shared" si="172"/>
        <v>1.3904802226188597</v>
      </c>
      <c r="P438" s="369">
        <f t="shared" si="173"/>
        <v>0.92297811854165035</v>
      </c>
      <c r="Q438" s="370">
        <f t="shared" si="174"/>
        <v>-11.316115495668077</v>
      </c>
      <c r="R438" s="371">
        <f t="shared" si="175"/>
        <v>-126.6821721969241</v>
      </c>
      <c r="S438" s="373">
        <f t="shared" si="176"/>
        <v>53.3178278030759</v>
      </c>
      <c r="U438" s="346">
        <f t="shared" si="182"/>
        <v>44928.25</v>
      </c>
      <c r="V438" s="346">
        <f t="shared" si="183"/>
        <v>2018547648.0625</v>
      </c>
      <c r="X438" s="372">
        <f t="shared" si="177"/>
        <v>23.714726508159316</v>
      </c>
      <c r="Y438" s="373">
        <f t="shared" si="178"/>
        <v>-13.053371369076329</v>
      </c>
      <c r="AA438" s="372">
        <f t="shared" si="179"/>
        <v>16.449783350726985</v>
      </c>
      <c r="AB438" s="373">
        <f t="shared" si="180"/>
        <v>-113.62880082784781</v>
      </c>
      <c r="AD438">
        <f t="shared" si="184"/>
        <v>0</v>
      </c>
      <c r="AE438">
        <f t="shared" si="187"/>
        <v>0</v>
      </c>
    </row>
    <row r="439" spans="1:31" x14ac:dyDescent="0.2">
      <c r="A439" s="374">
        <v>45188.5</v>
      </c>
      <c r="B439" s="391">
        <f t="shared" si="181"/>
        <v>45.188499999999998</v>
      </c>
      <c r="C439" s="364">
        <f t="shared" si="162"/>
        <v>57.827717935190933</v>
      </c>
      <c r="D439" s="365">
        <f t="shared" si="163"/>
        <v>1.5535027194685787</v>
      </c>
      <c r="E439" s="365">
        <f t="shared" si="164"/>
        <v>1.1367702516529132</v>
      </c>
      <c r="F439" s="366">
        <f t="shared" si="165"/>
        <v>0.49559643096439582</v>
      </c>
      <c r="G439" s="365">
        <f t="shared" si="166"/>
        <v>1</v>
      </c>
      <c r="H439" s="366">
        <f t="shared" si="167"/>
        <v>0</v>
      </c>
      <c r="I439" s="364">
        <f t="shared" si="168"/>
        <v>15341.372773337724</v>
      </c>
      <c r="J439" s="367">
        <f t="shared" si="169"/>
        <v>1.5707311435798426</v>
      </c>
      <c r="K439" s="375">
        <f t="shared" si="185"/>
        <v>9.3296658811973678</v>
      </c>
      <c r="L439" s="376">
        <f t="shared" si="186"/>
        <v>1.4634050493462913</v>
      </c>
      <c r="M439" s="364">
        <f t="shared" si="170"/>
        <v>1.0073127366065668</v>
      </c>
      <c r="N439" s="367">
        <f t="shared" si="171"/>
        <v>0.12056906321194782</v>
      </c>
      <c r="O439" s="368">
        <f t="shared" si="172"/>
        <v>1.3944837400357297</v>
      </c>
      <c r="P439" s="369">
        <f t="shared" si="173"/>
        <v>0.92682657175912475</v>
      </c>
      <c r="Q439" s="370">
        <f t="shared" si="174"/>
        <v>-11.381247765925039</v>
      </c>
      <c r="R439" s="371">
        <f t="shared" si="175"/>
        <v>-126.77424719197288</v>
      </c>
      <c r="S439" s="373">
        <f t="shared" si="176"/>
        <v>53.225752808027124</v>
      </c>
      <c r="U439" s="346">
        <f t="shared" si="182"/>
        <v>45188.5</v>
      </c>
      <c r="V439" s="346">
        <f t="shared" si="183"/>
        <v>2042000532.25</v>
      </c>
      <c r="X439" s="372">
        <f t="shared" si="177"/>
        <v>23.713425188100214</v>
      </c>
      <c r="Y439" s="373">
        <f t="shared" si="178"/>
        <v>-13.057430708016783</v>
      </c>
      <c r="AA439" s="372">
        <f t="shared" si="179"/>
        <v>16.385952400529124</v>
      </c>
      <c r="AB439" s="373">
        <f t="shared" si="180"/>
        <v>-113.71681648395609</v>
      </c>
      <c r="AD439">
        <f t="shared" si="184"/>
        <v>0</v>
      </c>
      <c r="AE439">
        <f t="shared" si="187"/>
        <v>0</v>
      </c>
    </row>
    <row r="440" spans="1:31" x14ac:dyDescent="0.2">
      <c r="A440" s="374">
        <v>45448.75</v>
      </c>
      <c r="B440" s="391">
        <f t="shared" si="181"/>
        <v>45.448749999999997</v>
      </c>
      <c r="C440" s="364">
        <f t="shared" si="162"/>
        <v>58.160660520961549</v>
      </c>
      <c r="D440" s="365">
        <f t="shared" si="163"/>
        <v>1.5536017270697224</v>
      </c>
      <c r="E440" s="365">
        <f t="shared" si="164"/>
        <v>1.1382541529773997</v>
      </c>
      <c r="F440" s="366">
        <f t="shared" si="165"/>
        <v>0.49800259940180747</v>
      </c>
      <c r="G440" s="365">
        <f t="shared" si="166"/>
        <v>1</v>
      </c>
      <c r="H440" s="366">
        <f t="shared" si="167"/>
        <v>0</v>
      </c>
      <c r="I440" s="364">
        <f t="shared" si="168"/>
        <v>15429.726939715136</v>
      </c>
      <c r="J440" s="367">
        <f t="shared" si="169"/>
        <v>1.5707315168339293</v>
      </c>
      <c r="K440" s="375">
        <f t="shared" si="185"/>
        <v>9.3827818202054711</v>
      </c>
      <c r="L440" s="376">
        <f t="shared" si="186"/>
        <v>1.4640153193993259</v>
      </c>
      <c r="M440" s="364">
        <f t="shared" si="170"/>
        <v>1.0073969001700196</v>
      </c>
      <c r="N440" s="367">
        <f t="shared" si="171"/>
        <v>0.12125667829921277</v>
      </c>
      <c r="O440" s="368">
        <f t="shared" si="172"/>
        <v>1.398501341948805</v>
      </c>
      <c r="P440" s="369">
        <f t="shared" si="173"/>
        <v>0.93065912725205258</v>
      </c>
      <c r="Q440" s="370">
        <f t="shared" si="174"/>
        <v>-11.446066584413131</v>
      </c>
      <c r="R440" s="371">
        <f t="shared" si="175"/>
        <v>-126.86609879790785</v>
      </c>
      <c r="S440" s="373">
        <f t="shared" si="176"/>
        <v>53.133901202092147</v>
      </c>
      <c r="U440" s="346">
        <f t="shared" si="182"/>
        <v>45448.75</v>
      </c>
      <c r="V440" s="346">
        <f t="shared" si="183"/>
        <v>2065588876.5625</v>
      </c>
      <c r="X440" s="372">
        <f t="shared" si="177"/>
        <v>23.712129674851216</v>
      </c>
      <c r="Y440" s="373">
        <f t="shared" si="178"/>
        <v>-13.061883637933425</v>
      </c>
      <c r="AA440" s="372">
        <f t="shared" si="179"/>
        <v>16.32242909529003</v>
      </c>
      <c r="AB440" s="373">
        <f t="shared" si="180"/>
        <v>-113.80421515997439</v>
      </c>
      <c r="AD440">
        <f t="shared" si="184"/>
        <v>0</v>
      </c>
      <c r="AE440">
        <f t="shared" si="187"/>
        <v>0</v>
      </c>
    </row>
    <row r="441" spans="1:31" x14ac:dyDescent="0.2">
      <c r="A441" s="374">
        <v>45709</v>
      </c>
      <c r="B441" s="391">
        <f t="shared" si="181"/>
        <v>45.709000000000003</v>
      </c>
      <c r="C441" s="364">
        <f t="shared" si="162"/>
        <v>58.493603670362155</v>
      </c>
      <c r="D441" s="365">
        <f t="shared" si="163"/>
        <v>1.5536996075775544</v>
      </c>
      <c r="E441" s="365">
        <f t="shared" si="164"/>
        <v>1.1397446272088336</v>
      </c>
      <c r="F441" s="366">
        <f t="shared" si="165"/>
        <v>0.5004024884831505</v>
      </c>
      <c r="G441" s="365">
        <f t="shared" si="166"/>
        <v>1</v>
      </c>
      <c r="H441" s="366">
        <f t="shared" si="167"/>
        <v>0</v>
      </c>
      <c r="I441" s="364">
        <f t="shared" si="168"/>
        <v>15518.081106094676</v>
      </c>
      <c r="J441" s="367">
        <f t="shared" si="169"/>
        <v>1.5707318858376769</v>
      </c>
      <c r="K441" s="375">
        <f t="shared" si="185"/>
        <v>9.435901214296754</v>
      </c>
      <c r="L441" s="376">
        <f t="shared" si="186"/>
        <v>1.4646187186459789</v>
      </c>
      <c r="M441" s="364">
        <f t="shared" si="170"/>
        <v>1.0074815399656301</v>
      </c>
      <c r="N441" s="367">
        <f t="shared" si="171"/>
        <v>0.12194417817666973</v>
      </c>
      <c r="O441" s="368">
        <f t="shared" si="172"/>
        <v>1.4025329507570956</v>
      </c>
      <c r="P441" s="369">
        <f t="shared" si="173"/>
        <v>0.93447586254756898</v>
      </c>
      <c r="Q441" s="370">
        <f t="shared" si="174"/>
        <v>-11.510574987011676</v>
      </c>
      <c r="R441" s="371">
        <f t="shared" si="175"/>
        <v>-126.95772599985591</v>
      </c>
      <c r="S441" s="373">
        <f t="shared" si="176"/>
        <v>53.04227400014409</v>
      </c>
      <c r="U441" s="346">
        <f t="shared" si="182"/>
        <v>45709</v>
      </c>
      <c r="V441" s="346">
        <f t="shared" si="183"/>
        <v>2089312681</v>
      </c>
      <c r="X441" s="372">
        <f t="shared" si="177"/>
        <v>23.710839748783805</v>
      </c>
      <c r="Y441" s="373">
        <f t="shared" si="178"/>
        <v>-13.066723391495765</v>
      </c>
      <c r="AA441" s="372">
        <f t="shared" si="179"/>
        <v>16.259210618758896</v>
      </c>
      <c r="AB441" s="373">
        <f t="shared" si="180"/>
        <v>-113.89100260836014</v>
      </c>
      <c r="AD441">
        <f t="shared" si="184"/>
        <v>0</v>
      </c>
      <c r="AE441">
        <f t="shared" si="187"/>
        <v>0</v>
      </c>
    </row>
    <row r="442" spans="1:31" x14ac:dyDescent="0.2">
      <c r="A442" s="374">
        <v>45975.25</v>
      </c>
      <c r="B442" s="391">
        <f t="shared" si="181"/>
        <v>45.975250000000003</v>
      </c>
      <c r="C442" s="364">
        <f t="shared" si="162"/>
        <v>58.834223315808494</v>
      </c>
      <c r="D442" s="365">
        <f t="shared" si="163"/>
        <v>1.5537985982780951</v>
      </c>
      <c r="E442" s="365">
        <f t="shared" si="164"/>
        <v>1.1412762390625046</v>
      </c>
      <c r="F442" s="366">
        <f t="shared" si="165"/>
        <v>0.50285120512773873</v>
      </c>
      <c r="G442" s="365">
        <f t="shared" si="166"/>
        <v>1</v>
      </c>
      <c r="H442" s="366">
        <f t="shared" si="167"/>
        <v>0</v>
      </c>
      <c r="I442" s="364">
        <f t="shared" si="168"/>
        <v>15608.472256139305</v>
      </c>
      <c r="J442" s="367">
        <f t="shared" si="169"/>
        <v>1.5707322590255293</v>
      </c>
      <c r="K442" s="375">
        <f t="shared" si="185"/>
        <v>9.4902487779922122</v>
      </c>
      <c r="L442" s="376">
        <f t="shared" si="186"/>
        <v>1.4652290387318545</v>
      </c>
      <c r="M442" s="364">
        <f t="shared" si="170"/>
        <v>1.0075686238136834</v>
      </c>
      <c r="N442" s="367">
        <f t="shared" si="171"/>
        <v>0.1226474083234151</v>
      </c>
      <c r="O442" s="368">
        <f t="shared" si="172"/>
        <v>1.4066719221560087</v>
      </c>
      <c r="P442" s="369">
        <f t="shared" si="173"/>
        <v>0.93836430125323433</v>
      </c>
      <c r="Q442" s="370">
        <f t="shared" si="174"/>
        <v>-11.576252494321411</v>
      </c>
      <c r="R442" s="371">
        <f t="shared" si="175"/>
        <v>-127.05123248353745</v>
      </c>
      <c r="S442" s="373">
        <f t="shared" si="176"/>
        <v>52.948767516462553</v>
      </c>
      <c r="U442" s="346">
        <f t="shared" si="182"/>
        <v>45975.25</v>
      </c>
      <c r="V442" s="346">
        <f t="shared" si="183"/>
        <v>2113723612.5625</v>
      </c>
      <c r="X442" s="372">
        <f t="shared" si="177"/>
        <v>23.709525643140637</v>
      </c>
      <c r="Y442" s="373">
        <f t="shared" si="178"/>
        <v>-13.072068127952921</v>
      </c>
      <c r="AA442" s="372">
        <f t="shared" si="179"/>
        <v>16.194847217092327</v>
      </c>
      <c r="AB442" s="373">
        <f t="shared" si="180"/>
        <v>-113.97916435558452</v>
      </c>
      <c r="AD442">
        <f t="shared" si="184"/>
        <v>0</v>
      </c>
      <c r="AE442">
        <f t="shared" si="187"/>
        <v>0</v>
      </c>
    </row>
    <row r="443" spans="1:31" x14ac:dyDescent="0.2">
      <c r="A443" s="374">
        <v>46241.5</v>
      </c>
      <c r="B443" s="391">
        <f t="shared" si="181"/>
        <v>46.241500000000002</v>
      </c>
      <c r="C443" s="364">
        <f t="shared" si="162"/>
        <v>59.174843531143587</v>
      </c>
      <c r="D443" s="365">
        <f t="shared" si="163"/>
        <v>1.5538964493657994</v>
      </c>
      <c r="E443" s="365">
        <f t="shared" si="164"/>
        <v>1.1428146758849158</v>
      </c>
      <c r="F443" s="366">
        <f t="shared" si="165"/>
        <v>0.50529334354541322</v>
      </c>
      <c r="G443" s="365">
        <f t="shared" si="166"/>
        <v>1</v>
      </c>
      <c r="H443" s="366">
        <f t="shared" si="167"/>
        <v>0</v>
      </c>
      <c r="I443" s="364">
        <f t="shared" si="168"/>
        <v>15698.863406186085</v>
      </c>
      <c r="J443" s="367">
        <f t="shared" si="169"/>
        <v>1.5707326279158884</v>
      </c>
      <c r="K443" s="375">
        <f t="shared" si="185"/>
        <v>9.5445998364580831</v>
      </c>
      <c r="L443" s="376">
        <f t="shared" si="186"/>
        <v>1.4658324081899776</v>
      </c>
      <c r="M443" s="364">
        <f t="shared" si="170"/>
        <v>1.0076562058510399</v>
      </c>
      <c r="N443" s="367">
        <f t="shared" si="171"/>
        <v>0.12335051657309302</v>
      </c>
      <c r="O443" s="368">
        <f t="shared" si="172"/>
        <v>1.4108253917322222</v>
      </c>
      <c r="P443" s="369">
        <f t="shared" si="173"/>
        <v>0.94223634653425081</v>
      </c>
      <c r="Q443" s="370">
        <f t="shared" si="174"/>
        <v>-11.641611374425578</v>
      </c>
      <c r="R443" s="371">
        <f t="shared" si="175"/>
        <v>-127.14450231402702</v>
      </c>
      <c r="S443" s="373">
        <f t="shared" si="176"/>
        <v>52.855497685972978</v>
      </c>
      <c r="U443" s="346">
        <f t="shared" si="182"/>
        <v>46241.5</v>
      </c>
      <c r="V443" s="346">
        <f t="shared" si="183"/>
        <v>2138276322.25</v>
      </c>
      <c r="X443" s="372">
        <f t="shared" si="177"/>
        <v>23.708216939862496</v>
      </c>
      <c r="Y443" s="373">
        <f t="shared" si="178"/>
        <v>-13.077803875629987</v>
      </c>
      <c r="AA443" s="372">
        <f t="shared" si="179"/>
        <v>16.130797040266305</v>
      </c>
      <c r="AB443" s="373">
        <f t="shared" si="180"/>
        <v>-114.06669843839703</v>
      </c>
      <c r="AD443">
        <f t="shared" si="184"/>
        <v>0</v>
      </c>
      <c r="AE443">
        <f t="shared" si="187"/>
        <v>0</v>
      </c>
    </row>
    <row r="444" spans="1:31" x14ac:dyDescent="0.2">
      <c r="A444" s="374">
        <v>46507.75</v>
      </c>
      <c r="B444" s="391">
        <f t="shared" si="181"/>
        <v>46.507750000000001</v>
      </c>
      <c r="C444" s="364">
        <f t="shared" si="162"/>
        <v>59.515464306582622</v>
      </c>
      <c r="D444" s="365">
        <f t="shared" si="163"/>
        <v>1.5539931804055815</v>
      </c>
      <c r="E444" s="365">
        <f t="shared" si="164"/>
        <v>1.1443599101503306</v>
      </c>
      <c r="F444" s="366">
        <f t="shared" si="165"/>
        <v>0.50772890119555558</v>
      </c>
      <c r="G444" s="365">
        <f t="shared" si="166"/>
        <v>1</v>
      </c>
      <c r="H444" s="366">
        <f t="shared" si="167"/>
        <v>0</v>
      </c>
      <c r="I444" s="364">
        <f t="shared" si="168"/>
        <v>15789.254556234975</v>
      </c>
      <c r="J444" s="367">
        <f t="shared" si="169"/>
        <v>1.5707329925825622</v>
      </c>
      <c r="K444" s="375">
        <f t="shared" si="185"/>
        <v>9.5989543303302458</v>
      </c>
      <c r="L444" s="376">
        <f t="shared" si="186"/>
        <v>1.4664289446519456</v>
      </c>
      <c r="M444" s="364">
        <f t="shared" si="170"/>
        <v>1.0077442859478078</v>
      </c>
      <c r="N444" s="367">
        <f t="shared" si="171"/>
        <v>0.12405350226239753</v>
      </c>
      <c r="O444" s="368">
        <f t="shared" si="172"/>
        <v>1.4149932787183199</v>
      </c>
      <c r="P444" s="369">
        <f t="shared" si="173"/>
        <v>0.94609208185866589</v>
      </c>
      <c r="Q444" s="370">
        <f t="shared" si="174"/>
        <v>-11.706654717260056</v>
      </c>
      <c r="R444" s="371">
        <f t="shared" si="175"/>
        <v>-127.23753476667544</v>
      </c>
      <c r="S444" s="373">
        <f t="shared" si="176"/>
        <v>52.762465233324562</v>
      </c>
      <c r="U444" s="346">
        <f t="shared" si="182"/>
        <v>46507.75</v>
      </c>
      <c r="V444" s="346">
        <f t="shared" si="183"/>
        <v>2162970810.0625</v>
      </c>
      <c r="X444" s="372">
        <f t="shared" si="177"/>
        <v>23.706913423244419</v>
      </c>
      <c r="Y444" s="373">
        <f t="shared" si="178"/>
        <v>-13.083923860957132</v>
      </c>
      <c r="AA444" s="372">
        <f t="shared" si="179"/>
        <v>16.067057214049896</v>
      </c>
      <c r="AB444" s="373">
        <f t="shared" si="180"/>
        <v>-114.15361090571831</v>
      </c>
      <c r="AD444">
        <f t="shared" si="184"/>
        <v>0</v>
      </c>
      <c r="AE444">
        <f t="shared" si="187"/>
        <v>0</v>
      </c>
    </row>
    <row r="445" spans="1:31" x14ac:dyDescent="0.2">
      <c r="A445" s="374">
        <v>46774</v>
      </c>
      <c r="B445" s="391">
        <f t="shared" si="181"/>
        <v>46.774000000000001</v>
      </c>
      <c r="C445" s="364">
        <f t="shared" si="162"/>
        <v>59.85608563256352</v>
      </c>
      <c r="D445" s="365">
        <f t="shared" si="163"/>
        <v>1.55408881051709</v>
      </c>
      <c r="E445" s="365">
        <f t="shared" si="164"/>
        <v>1.1459119143601908</v>
      </c>
      <c r="F445" s="366">
        <f t="shared" si="165"/>
        <v>0.51015787586351247</v>
      </c>
      <c r="G445" s="365">
        <f t="shared" si="166"/>
        <v>1</v>
      </c>
      <c r="H445" s="366">
        <f t="shared" si="167"/>
        <v>0</v>
      </c>
      <c r="I445" s="364">
        <f t="shared" si="168"/>
        <v>15879.645706285941</v>
      </c>
      <c r="J445" s="367">
        <f t="shared" si="169"/>
        <v>1.570733353097677</v>
      </c>
      <c r="K445" s="375">
        <f t="shared" si="185"/>
        <v>9.6533122015779185</v>
      </c>
      <c r="L445" s="376">
        <f t="shared" si="186"/>
        <v>1.4670187631195226</v>
      </c>
      <c r="M445" s="364">
        <f t="shared" si="170"/>
        <v>1.0078328639734029</v>
      </c>
      <c r="N445" s="367">
        <f t="shared" si="171"/>
        <v>0.12475636472873838</v>
      </c>
      <c r="O445" s="368">
        <f t="shared" si="172"/>
        <v>1.4191755031246864</v>
      </c>
      <c r="P445" s="369">
        <f t="shared" si="173"/>
        <v>0.94993159080930645</v>
      </c>
      <c r="Q445" s="370">
        <f t="shared" si="174"/>
        <v>-11.771385561366785</v>
      </c>
      <c r="R445" s="371">
        <f t="shared" si="175"/>
        <v>-127.33032922984457</v>
      </c>
      <c r="S445" s="373">
        <f t="shared" si="176"/>
        <v>52.669670770155435</v>
      </c>
      <c r="U445" s="346">
        <f t="shared" si="182"/>
        <v>46774</v>
      </c>
      <c r="V445" s="346">
        <f t="shared" si="183"/>
        <v>2187807076</v>
      </c>
      <c r="X445" s="372">
        <f t="shared" si="177"/>
        <v>23.705614883711231</v>
      </c>
      <c r="Y445" s="373">
        <f t="shared" si="178"/>
        <v>-13.090421460987535</v>
      </c>
      <c r="AA445" s="372">
        <f t="shared" si="179"/>
        <v>16.003624909476365</v>
      </c>
      <c r="AB445" s="373">
        <f t="shared" si="180"/>
        <v>-114.23990776885702</v>
      </c>
      <c r="AD445">
        <f t="shared" si="184"/>
        <v>0</v>
      </c>
      <c r="AE445">
        <f t="shared" si="187"/>
        <v>0</v>
      </c>
    </row>
    <row r="446" spans="1:31" x14ac:dyDescent="0.2">
      <c r="A446" s="374">
        <v>47046.25</v>
      </c>
      <c r="B446" s="391">
        <f t="shared" si="181"/>
        <v>47.046250000000001</v>
      </c>
      <c r="C446" s="364">
        <f t="shared" si="162"/>
        <v>60.204383491643853</v>
      </c>
      <c r="D446" s="365">
        <f t="shared" si="163"/>
        <v>1.5541854767171348</v>
      </c>
      <c r="E446" s="365">
        <f t="shared" si="164"/>
        <v>1.1475058652007839</v>
      </c>
      <c r="F446" s="366">
        <f t="shared" si="165"/>
        <v>0.51263477884247177</v>
      </c>
      <c r="G446" s="365">
        <f t="shared" si="166"/>
        <v>1</v>
      </c>
      <c r="H446" s="366">
        <f t="shared" si="167"/>
        <v>0</v>
      </c>
      <c r="I446" s="364">
        <f t="shared" si="168"/>
        <v>15972.073840002136</v>
      </c>
      <c r="J446" s="367">
        <f t="shared" si="169"/>
        <v>1.5707337175175622</v>
      </c>
      <c r="K446" s="375">
        <f t="shared" si="185"/>
        <v>9.7088984722360703</v>
      </c>
      <c r="L446" s="376">
        <f t="shared" si="186"/>
        <v>1.4676150436165276</v>
      </c>
      <c r="M446" s="364">
        <f t="shared" si="170"/>
        <v>1.0079239528734041</v>
      </c>
      <c r="N446" s="367">
        <f t="shared" si="171"/>
        <v>0.12547493824016581</v>
      </c>
      <c r="O446" s="368">
        <f t="shared" si="172"/>
        <v>1.4234667180238951</v>
      </c>
      <c r="P446" s="369">
        <f t="shared" si="173"/>
        <v>0.95384093209358234</v>
      </c>
      <c r="Q446" s="370">
        <f t="shared" si="174"/>
        <v>-11.837255100502414</v>
      </c>
      <c r="R446" s="371">
        <f t="shared" si="175"/>
        <v>-127.42496821785608</v>
      </c>
      <c r="S446" s="373">
        <f t="shared" si="176"/>
        <v>52.575031782143924</v>
      </c>
      <c r="U446" s="346">
        <f t="shared" si="182"/>
        <v>47046.25</v>
      </c>
      <c r="V446" s="346">
        <f t="shared" si="183"/>
        <v>2213349639.0625</v>
      </c>
      <c r="X446" s="372">
        <f t="shared" si="177"/>
        <v>23.704292015769699</v>
      </c>
      <c r="Y446" s="373">
        <f t="shared" si="178"/>
        <v>-13.097449214307295</v>
      </c>
      <c r="AA446" s="372">
        <f t="shared" si="179"/>
        <v>15.939078238282265</v>
      </c>
      <c r="AB446" s="373">
        <f t="shared" si="180"/>
        <v>-114.32751900354876</v>
      </c>
      <c r="AD446">
        <f t="shared" si="184"/>
        <v>0</v>
      </c>
      <c r="AE446">
        <f t="shared" si="187"/>
        <v>0</v>
      </c>
    </row>
    <row r="447" spans="1:31" x14ac:dyDescent="0.2">
      <c r="A447" s="374">
        <v>47318.5</v>
      </c>
      <c r="B447" s="391">
        <f t="shared" si="181"/>
        <v>47.3185</v>
      </c>
      <c r="C447" s="364">
        <f t="shared" si="162"/>
        <v>60.55268190682348</v>
      </c>
      <c r="D447" s="365">
        <f t="shared" si="163"/>
        <v>1.5542810308720501</v>
      </c>
      <c r="E447" s="365">
        <f t="shared" si="164"/>
        <v>1.1491068364895252</v>
      </c>
      <c r="F447" s="366">
        <f t="shared" si="165"/>
        <v>0.51510479514387908</v>
      </c>
      <c r="G447" s="365">
        <f t="shared" si="166"/>
        <v>1</v>
      </c>
      <c r="H447" s="366">
        <f t="shared" si="167"/>
        <v>0</v>
      </c>
      <c r="I447" s="364">
        <f t="shared" si="168"/>
        <v>16064.501973720431</v>
      </c>
      <c r="J447" s="367">
        <f t="shared" si="169"/>
        <v>1.5707340777440215</v>
      </c>
      <c r="K447" s="375">
        <f t="shared" si="185"/>
        <v>9.7644881555941367</v>
      </c>
      <c r="L447" s="376">
        <f t="shared" si="186"/>
        <v>1.4682045350161643</v>
      </c>
      <c r="M447" s="364">
        <f t="shared" si="170"/>
        <v>1.0080155621185976</v>
      </c>
      <c r="N447" s="367">
        <f t="shared" si="171"/>
        <v>0.1261933815134548</v>
      </c>
      <c r="O447" s="368">
        <f t="shared" si="172"/>
        <v>1.4277727571370042</v>
      </c>
      <c r="P447" s="369">
        <f t="shared" si="173"/>
        <v>0.95773348447649798</v>
      </c>
      <c r="Q447" s="370">
        <f t="shared" si="174"/>
        <v>-11.902804164694512</v>
      </c>
      <c r="R447" s="371">
        <f t="shared" si="175"/>
        <v>-127.51935741900732</v>
      </c>
      <c r="S447" s="373">
        <f t="shared" si="176"/>
        <v>52.480642580992679</v>
      </c>
      <c r="U447" s="346">
        <f t="shared" si="182"/>
        <v>47318.5</v>
      </c>
      <c r="V447" s="346">
        <f t="shared" si="183"/>
        <v>2239040442.25</v>
      </c>
      <c r="X447" s="372">
        <f t="shared" si="177"/>
        <v>23.702973927311195</v>
      </c>
      <c r="Y447" s="373">
        <f t="shared" si="178"/>
        <v>-13.104858251892129</v>
      </c>
      <c r="AA447" s="372">
        <f t="shared" si="179"/>
        <v>15.874847262548668</v>
      </c>
      <c r="AB447" s="373">
        <f t="shared" si="180"/>
        <v>-114.41449916711524</v>
      </c>
      <c r="AD447">
        <f t="shared" si="184"/>
        <v>0</v>
      </c>
      <c r="AE447">
        <f t="shared" si="187"/>
        <v>0</v>
      </c>
    </row>
    <row r="448" spans="1:31" x14ac:dyDescent="0.2">
      <c r="A448" s="374">
        <v>47590.75</v>
      </c>
      <c r="B448" s="391">
        <f t="shared" si="181"/>
        <v>47.59075</v>
      </c>
      <c r="C448" s="364">
        <f t="shared" si="162"/>
        <v>60.900980868561234</v>
      </c>
      <c r="D448" s="365">
        <f t="shared" si="163"/>
        <v>1.5543754920597763</v>
      </c>
      <c r="E448" s="365">
        <f t="shared" si="164"/>
        <v>1.1507147989240993</v>
      </c>
      <c r="F448" s="366">
        <f t="shared" si="165"/>
        <v>0.51756792343561986</v>
      </c>
      <c r="G448" s="365">
        <f t="shared" si="166"/>
        <v>1</v>
      </c>
      <c r="H448" s="366">
        <f t="shared" si="167"/>
        <v>0</v>
      </c>
      <c r="I448" s="364">
        <f t="shared" si="168"/>
        <v>16156.930107440783</v>
      </c>
      <c r="J448" s="367">
        <f t="shared" si="169"/>
        <v>1.5707344338490221</v>
      </c>
      <c r="K448" s="375">
        <f t="shared" si="185"/>
        <v>9.8200811936961063</v>
      </c>
      <c r="L448" s="376">
        <f t="shared" si="186"/>
        <v>1.4687873522076902</v>
      </c>
      <c r="M448" s="364">
        <f t="shared" si="170"/>
        <v>1.0081076915671283</v>
      </c>
      <c r="N448" s="367">
        <f t="shared" si="171"/>
        <v>0.12691169384254772</v>
      </c>
      <c r="O448" s="368">
        <f t="shared" si="172"/>
        <v>1.4320935374445969</v>
      </c>
      <c r="P448" s="369">
        <f t="shared" si="173"/>
        <v>0.96160933757279032</v>
      </c>
      <c r="Q448" s="370">
        <f t="shared" si="174"/>
        <v>-11.96803584447421</v>
      </c>
      <c r="R448" s="371">
        <f t="shared" si="175"/>
        <v>-127.61349651825444</v>
      </c>
      <c r="S448" s="373">
        <f t="shared" si="176"/>
        <v>52.386503481745564</v>
      </c>
      <c r="U448" s="346">
        <f t="shared" si="182"/>
        <v>47590.75</v>
      </c>
      <c r="V448" s="346">
        <f t="shared" si="183"/>
        <v>2264879485.5625</v>
      </c>
      <c r="X448" s="372">
        <f t="shared" si="177"/>
        <v>23.701660412847609</v>
      </c>
      <c r="Y448" s="373">
        <f t="shared" si="178"/>
        <v>-13.112641954741751</v>
      </c>
      <c r="AA448" s="372">
        <f t="shared" si="179"/>
        <v>15.810929097232563</v>
      </c>
      <c r="AB448" s="373">
        <f t="shared" si="180"/>
        <v>-114.50085456351268</v>
      </c>
      <c r="AD448">
        <f t="shared" si="184"/>
        <v>0</v>
      </c>
      <c r="AE448">
        <f t="shared" si="187"/>
        <v>0</v>
      </c>
    </row>
    <row r="449" spans="1:31" x14ac:dyDescent="0.2">
      <c r="A449" s="374">
        <v>47863</v>
      </c>
      <c r="B449" s="391">
        <f t="shared" si="181"/>
        <v>47.863</v>
      </c>
      <c r="C449" s="364">
        <f t="shared" si="162"/>
        <v>61.249280367532982</v>
      </c>
      <c r="D449" s="365">
        <f t="shared" si="163"/>
        <v>1.5544688789243797</v>
      </c>
      <c r="E449" s="365">
        <f t="shared" si="164"/>
        <v>1.1523297232381446</v>
      </c>
      <c r="F449" s="366">
        <f t="shared" si="165"/>
        <v>0.52002416272731289</v>
      </c>
      <c r="G449" s="365">
        <f t="shared" si="166"/>
        <v>1</v>
      </c>
      <c r="H449" s="366">
        <f t="shared" si="167"/>
        <v>0</v>
      </c>
      <c r="I449" s="364">
        <f t="shared" si="168"/>
        <v>16249.358241163163</v>
      </c>
      <c r="J449" s="367">
        <f t="shared" si="169"/>
        <v>1.5707347859028939</v>
      </c>
      <c r="K449" s="375">
        <f t="shared" si="185"/>
        <v>9.8756775298875148</v>
      </c>
      <c r="L449" s="376">
        <f t="shared" si="186"/>
        <v>1.4693636075116017</v>
      </c>
      <c r="M449" s="364">
        <f t="shared" si="170"/>
        <v>1.0082003410763876</v>
      </c>
      <c r="N449" s="367">
        <f t="shared" si="171"/>
        <v>0.12762987452218469</v>
      </c>
      <c r="O449" s="368">
        <f t="shared" si="172"/>
        <v>1.436428976762272</v>
      </c>
      <c r="P449" s="369">
        <f t="shared" si="173"/>
        <v>0.96546858104383582</v>
      </c>
      <c r="Q449" s="370">
        <f t="shared" si="174"/>
        <v>-12.032953179837229</v>
      </c>
      <c r="R449" s="371">
        <f t="shared" si="175"/>
        <v>-127.70738530591748</v>
      </c>
      <c r="S449" s="373">
        <f t="shared" si="176"/>
        <v>52.292614694082516</v>
      </c>
      <c r="U449" s="346">
        <f t="shared" si="182"/>
        <v>47863</v>
      </c>
      <c r="V449" s="346">
        <f t="shared" si="183"/>
        <v>2290866769</v>
      </c>
      <c r="X449" s="372">
        <f t="shared" si="177"/>
        <v>23.700351272739013</v>
      </c>
      <c r="Y449" s="373">
        <f t="shared" si="178"/>
        <v>-13.120793850986965</v>
      </c>
      <c r="AA449" s="372">
        <f t="shared" si="179"/>
        <v>15.747320901978137</v>
      </c>
      <c r="AB449" s="373">
        <f t="shared" si="180"/>
        <v>-114.5865914549305</v>
      </c>
      <c r="AD449">
        <f t="shared" si="184"/>
        <v>0</v>
      </c>
      <c r="AE449">
        <f t="shared" si="187"/>
        <v>0</v>
      </c>
    </row>
    <row r="450" spans="1:31" x14ac:dyDescent="0.2">
      <c r="A450" s="374">
        <v>48141.75</v>
      </c>
      <c r="B450" s="391">
        <f t="shared" si="181"/>
        <v>48.141750000000002</v>
      </c>
      <c r="C450" s="364">
        <f t="shared" si="162"/>
        <v>61.605896104132775</v>
      </c>
      <c r="D450" s="365">
        <f t="shared" si="163"/>
        <v>1.5545634013353273</v>
      </c>
      <c r="E450" s="365">
        <f t="shared" si="164"/>
        <v>1.1539903867179861</v>
      </c>
      <c r="F450" s="366">
        <f t="shared" si="165"/>
        <v>0.52253190665785332</v>
      </c>
      <c r="G450" s="365">
        <f t="shared" si="166"/>
        <v>1</v>
      </c>
      <c r="H450" s="366">
        <f t="shared" si="167"/>
        <v>0</v>
      </c>
      <c r="I450" s="364">
        <f t="shared" si="168"/>
        <v>16343.993107189517</v>
      </c>
      <c r="J450" s="367">
        <f t="shared" si="169"/>
        <v>1.5707351422365048</v>
      </c>
      <c r="K450" s="375">
        <f t="shared" si="185"/>
        <v>9.9326045942923127</v>
      </c>
      <c r="L450" s="376">
        <f t="shared" si="186"/>
        <v>1.4699469368980569</v>
      </c>
      <c r="M450" s="364">
        <f t="shared" si="170"/>
        <v>1.0082957412873079</v>
      </c>
      <c r="N450" s="367">
        <f t="shared" si="171"/>
        <v>0.1283650647105965</v>
      </c>
      <c r="O450" s="368">
        <f t="shared" si="172"/>
        <v>1.4408830284018237</v>
      </c>
      <c r="P450" s="369">
        <f t="shared" si="173"/>
        <v>0.96940284886811512</v>
      </c>
      <c r="Q450" s="370">
        <f t="shared" si="174"/>
        <v>-12.099097855604589</v>
      </c>
      <c r="R450" s="371">
        <f t="shared" si="175"/>
        <v>-127.80325623916707</v>
      </c>
      <c r="S450" s="373">
        <f t="shared" si="176"/>
        <v>52.196743760832931</v>
      </c>
      <c r="U450" s="346">
        <f t="shared" si="182"/>
        <v>48141.75</v>
      </c>
      <c r="V450" s="346">
        <f t="shared" si="183"/>
        <v>2317628093.0625</v>
      </c>
      <c r="X450" s="372">
        <f t="shared" si="177"/>
        <v>23.699015206464551</v>
      </c>
      <c r="Y450" s="373">
        <f t="shared" si="178"/>
        <v>-13.129515250434517</v>
      </c>
      <c r="AA450" s="372">
        <f t="shared" si="179"/>
        <v>15.682512292485235</v>
      </c>
      <c r="AB450" s="373">
        <f t="shared" si="180"/>
        <v>-114.67374098873258</v>
      </c>
      <c r="AD450">
        <f t="shared" si="184"/>
        <v>0</v>
      </c>
      <c r="AE450">
        <f t="shared" si="187"/>
        <v>0</v>
      </c>
    </row>
    <row r="451" spans="1:31" x14ac:dyDescent="0.2">
      <c r="A451" s="374">
        <v>48420.5</v>
      </c>
      <c r="B451" s="391">
        <f t="shared" si="181"/>
        <v>48.420499999999997</v>
      </c>
      <c r="C451" s="364">
        <f t="shared" si="162"/>
        <v>61.962512384813905</v>
      </c>
      <c r="D451" s="365">
        <f t="shared" si="163"/>
        <v>1.5546568357269641</v>
      </c>
      <c r="E451" s="365">
        <f t="shared" si="164"/>
        <v>1.155658286505528</v>
      </c>
      <c r="F451" s="366">
        <f t="shared" si="165"/>
        <v>0.52503242769054326</v>
      </c>
      <c r="G451" s="365">
        <f t="shared" si="166"/>
        <v>1</v>
      </c>
      <c r="H451" s="366">
        <f t="shared" si="167"/>
        <v>0</v>
      </c>
      <c r="I451" s="364">
        <f t="shared" si="168"/>
        <v>16438.627973217925</v>
      </c>
      <c r="J451" s="367">
        <f t="shared" si="169"/>
        <v>1.5707354944673906</v>
      </c>
      <c r="K451" s="375">
        <f t="shared" si="185"/>
        <v>9.9895349999746088</v>
      </c>
      <c r="L451" s="376">
        <f t="shared" si="186"/>
        <v>1.4705236176851955</v>
      </c>
      <c r="M451" s="364">
        <f t="shared" si="170"/>
        <v>1.0083916863834372</v>
      </c>
      <c r="N451" s="367">
        <f t="shared" si="171"/>
        <v>0.12910011539446895</v>
      </c>
      <c r="O451" s="368">
        <f t="shared" si="172"/>
        <v>1.4453522756745376</v>
      </c>
      <c r="P451" s="369">
        <f t="shared" si="173"/>
        <v>0.9733198947877284</v>
      </c>
      <c r="Q451" s="370">
        <f t="shared" si="174"/>
        <v>-12.164919290911092</v>
      </c>
      <c r="R451" s="371">
        <f t="shared" si="175"/>
        <v>-127.89886464120244</v>
      </c>
      <c r="S451" s="373">
        <f t="shared" si="176"/>
        <v>52.101135358797563</v>
      </c>
      <c r="U451" s="346">
        <f t="shared" si="182"/>
        <v>48420.5</v>
      </c>
      <c r="V451" s="346">
        <f t="shared" si="183"/>
        <v>2344544820.25</v>
      </c>
      <c r="X451" s="372">
        <f t="shared" si="177"/>
        <v>23.697683320296186</v>
      </c>
      <c r="Y451" s="373">
        <f t="shared" si="178"/>
        <v>-13.138609358472847</v>
      </c>
      <c r="AA451" s="372">
        <f t="shared" si="179"/>
        <v>15.618022743347098</v>
      </c>
      <c r="AB451" s="373">
        <f t="shared" si="180"/>
        <v>-114.76025528272955</v>
      </c>
      <c r="AD451">
        <f t="shared" si="184"/>
        <v>0</v>
      </c>
      <c r="AE451">
        <f t="shared" si="187"/>
        <v>0</v>
      </c>
    </row>
    <row r="452" spans="1:31" x14ac:dyDescent="0.2">
      <c r="A452" s="374">
        <v>48699.25</v>
      </c>
      <c r="B452" s="391">
        <f t="shared" si="181"/>
        <v>48.699249999999999</v>
      </c>
      <c r="C452" s="364">
        <f t="shared" si="162"/>
        <v>62.319129200235992</v>
      </c>
      <c r="D452" s="365">
        <f t="shared" si="163"/>
        <v>1.5547492007759853</v>
      </c>
      <c r="E452" s="365">
        <f t="shared" si="164"/>
        <v>1.1573333913147918</v>
      </c>
      <c r="F452" s="366">
        <f t="shared" si="165"/>
        <v>0.52752572585148627</v>
      </c>
      <c r="G452" s="365">
        <f t="shared" si="166"/>
        <v>1</v>
      </c>
      <c r="H452" s="366">
        <f t="shared" si="167"/>
        <v>0</v>
      </c>
      <c r="I452" s="364">
        <f t="shared" si="168"/>
        <v>16533.262839248342</v>
      </c>
      <c r="J452" s="367">
        <f t="shared" si="169"/>
        <v>1.5707358426660025</v>
      </c>
      <c r="K452" s="375">
        <f t="shared" si="185"/>
        <v>10.04646869013227</v>
      </c>
      <c r="L452" s="376">
        <f t="shared" si="186"/>
        <v>1.4710937625196927</v>
      </c>
      <c r="M452" s="364">
        <f t="shared" si="170"/>
        <v>1.0084881762092583</v>
      </c>
      <c r="N452" s="367">
        <f t="shared" si="171"/>
        <v>0.12983502581943726</v>
      </c>
      <c r="O452" s="368">
        <f t="shared" si="172"/>
        <v>1.4498366330610988</v>
      </c>
      <c r="P452" s="369">
        <f t="shared" si="173"/>
        <v>0.97721981507237077</v>
      </c>
      <c r="Q452" s="370">
        <f t="shared" si="174"/>
        <v>-12.230420592507187</v>
      </c>
      <c r="R452" s="371">
        <f t="shared" si="175"/>
        <v>-127.9942106031064</v>
      </c>
      <c r="S452" s="373">
        <f t="shared" si="176"/>
        <v>52.005789396893604</v>
      </c>
      <c r="U452" s="346">
        <f t="shared" si="182"/>
        <v>48699.25</v>
      </c>
      <c r="V452" s="346">
        <f t="shared" si="183"/>
        <v>2371616950.5625</v>
      </c>
      <c r="X452" s="372">
        <f t="shared" si="177"/>
        <v>23.696355417755978</v>
      </c>
      <c r="Y452" s="373">
        <f t="shared" si="178"/>
        <v>-13.148069681737526</v>
      </c>
      <c r="AA452" s="372">
        <f t="shared" si="179"/>
        <v>15.553849344291208</v>
      </c>
      <c r="AB452" s="373">
        <f t="shared" si="180"/>
        <v>-114.84614092136883</v>
      </c>
      <c r="AD452">
        <f t="shared" si="184"/>
        <v>0</v>
      </c>
      <c r="AE452">
        <f t="shared" si="187"/>
        <v>0</v>
      </c>
    </row>
    <row r="453" spans="1:31" x14ac:dyDescent="0.2">
      <c r="A453" s="374">
        <v>48978</v>
      </c>
      <c r="B453" s="391">
        <f t="shared" si="181"/>
        <v>48.978000000000002</v>
      </c>
      <c r="C453" s="364">
        <f t="shared" si="162"/>
        <v>62.675746541271216</v>
      </c>
      <c r="D453" s="365">
        <f t="shared" si="163"/>
        <v>1.5548405147340878</v>
      </c>
      <c r="E453" s="365">
        <f t="shared" si="164"/>
        <v>1.1590156699059069</v>
      </c>
      <c r="F453" s="366">
        <f t="shared" si="165"/>
        <v>0.5300118015258436</v>
      </c>
      <c r="G453" s="365">
        <f t="shared" si="166"/>
        <v>1</v>
      </c>
      <c r="H453" s="366">
        <f t="shared" si="167"/>
        <v>0</v>
      </c>
      <c r="I453" s="364">
        <f t="shared" si="168"/>
        <v>16627.897705280746</v>
      </c>
      <c r="J453" s="367">
        <f t="shared" si="169"/>
        <v>1.5707361869011873</v>
      </c>
      <c r="K453" s="375">
        <f t="shared" si="185"/>
        <v>10.103405609240269</v>
      </c>
      <c r="L453" s="376">
        <f t="shared" si="186"/>
        <v>1.4716574815261967</v>
      </c>
      <c r="M453" s="364">
        <f t="shared" si="170"/>
        <v>1.0085852106084312</v>
      </c>
      <c r="N453" s="367">
        <f t="shared" si="171"/>
        <v>0.13056979523203047</v>
      </c>
      <c r="O453" s="368">
        <f t="shared" si="172"/>
        <v>1.4543360159408107</v>
      </c>
      <c r="P453" s="369">
        <f t="shared" si="173"/>
        <v>0.98110270596363258</v>
      </c>
      <c r="Q453" s="370">
        <f t="shared" si="174"/>
        <v>-12.295604817155297</v>
      </c>
      <c r="R453" s="371">
        <f t="shared" si="175"/>
        <v>-128.08929431388935</v>
      </c>
      <c r="S453" s="373">
        <f t="shared" si="176"/>
        <v>51.910705686110646</v>
      </c>
      <c r="U453" s="346">
        <f t="shared" si="182"/>
        <v>48978</v>
      </c>
      <c r="V453" s="346">
        <f t="shared" si="183"/>
        <v>2398844484</v>
      </c>
      <c r="X453" s="372">
        <f t="shared" si="177"/>
        <v>23.695031307974727</v>
      </c>
      <c r="Y453" s="373">
        <f t="shared" si="178"/>
        <v>-13.157889871324908</v>
      </c>
      <c r="AA453" s="372">
        <f t="shared" si="179"/>
        <v>15.489989229424355</v>
      </c>
      <c r="AB453" s="373">
        <f t="shared" si="180"/>
        <v>-114.93140444256443</v>
      </c>
      <c r="AD453">
        <f t="shared" si="184"/>
        <v>0</v>
      </c>
      <c r="AE453">
        <f t="shared" si="187"/>
        <v>0</v>
      </c>
    </row>
    <row r="454" spans="1:31" x14ac:dyDescent="0.2">
      <c r="A454" s="374">
        <v>49263.25</v>
      </c>
      <c r="B454" s="391">
        <f t="shared" si="181"/>
        <v>49.263249999999999</v>
      </c>
      <c r="C454" s="364">
        <f t="shared" si="162"/>
        <v>63.040680157828675</v>
      </c>
      <c r="D454" s="365">
        <f t="shared" si="163"/>
        <v>1.5549328884535956</v>
      </c>
      <c r="E454" s="365">
        <f t="shared" si="164"/>
        <v>1.1607445706293469</v>
      </c>
      <c r="F454" s="366">
        <f t="shared" si="165"/>
        <v>0.53254837217047357</v>
      </c>
      <c r="G454" s="365">
        <f t="shared" si="166"/>
        <v>1</v>
      </c>
      <c r="H454" s="366">
        <f t="shared" si="167"/>
        <v>0</v>
      </c>
      <c r="I454" s="364">
        <f t="shared" si="168"/>
        <v>16724.739303617269</v>
      </c>
      <c r="J454" s="367">
        <f t="shared" si="169"/>
        <v>1.5707365351304383</v>
      </c>
      <c r="K454" s="375">
        <f t="shared" si="185"/>
        <v>10.161673491528404</v>
      </c>
      <c r="L454" s="376">
        <f t="shared" si="186"/>
        <v>1.4722278055347955</v>
      </c>
      <c r="M454" s="364">
        <f t="shared" si="170"/>
        <v>1.008685071298437</v>
      </c>
      <c r="N454" s="367">
        <f t="shared" si="171"/>
        <v>0.13132155151301564</v>
      </c>
      <c r="O454" s="368">
        <f t="shared" si="172"/>
        <v>1.4589557849524417</v>
      </c>
      <c r="P454" s="369">
        <f t="shared" si="173"/>
        <v>0.98505861029129549</v>
      </c>
      <c r="Q454" s="370">
        <f t="shared" si="174"/>
        <v>-12.36198391696645</v>
      </c>
      <c r="R454" s="371">
        <f t="shared" si="175"/>
        <v>-128.18632402356607</v>
      </c>
      <c r="S454" s="373">
        <f t="shared" si="176"/>
        <v>51.813675976433927</v>
      </c>
      <c r="U454" s="346">
        <f t="shared" si="182"/>
        <v>49263.25</v>
      </c>
      <c r="V454" s="346">
        <f t="shared" si="183"/>
        <v>2426867800.5625</v>
      </c>
      <c r="X454" s="372">
        <f t="shared" si="177"/>
        <v>23.693680055097666</v>
      </c>
      <c r="Y454" s="373">
        <f t="shared" si="178"/>
        <v>-13.168305126878412</v>
      </c>
      <c r="AA454" s="372">
        <f t="shared" si="179"/>
        <v>15.42496138249026</v>
      </c>
      <c r="AB454" s="373">
        <f t="shared" si="180"/>
        <v>-115.01801889668769</v>
      </c>
      <c r="AD454">
        <f t="shared" si="184"/>
        <v>0</v>
      </c>
      <c r="AE454">
        <f t="shared" si="187"/>
        <v>0</v>
      </c>
    </row>
    <row r="455" spans="1:31" x14ac:dyDescent="0.2">
      <c r="A455" s="374">
        <v>49548.5</v>
      </c>
      <c r="B455" s="391">
        <f t="shared" si="181"/>
        <v>49.548499999999997</v>
      </c>
      <c r="C455" s="364">
        <f t="shared" si="162"/>
        <v>63.405614306114167</v>
      </c>
      <c r="D455" s="365">
        <f t="shared" si="163"/>
        <v>1.5550241988508549</v>
      </c>
      <c r="E455" s="365">
        <f t="shared" si="164"/>
        <v>1.1624809175617274</v>
      </c>
      <c r="F455" s="366">
        <f t="shared" si="165"/>
        <v>0.53507738151743833</v>
      </c>
      <c r="G455" s="365">
        <f t="shared" si="166"/>
        <v>1</v>
      </c>
      <c r="H455" s="366">
        <f t="shared" si="167"/>
        <v>0</v>
      </c>
      <c r="I455" s="364">
        <f t="shared" si="168"/>
        <v>16821.580901955793</v>
      </c>
      <c r="J455" s="367">
        <f t="shared" si="169"/>
        <v>1.5707368793501875</v>
      </c>
      <c r="K455" s="375">
        <f t="shared" si="185"/>
        <v>10.219944641408715</v>
      </c>
      <c r="L455" s="376">
        <f t="shared" si="186"/>
        <v>1.4727916260820353</v>
      </c>
      <c r="M455" s="364">
        <f t="shared" si="170"/>
        <v>1.0087855019211616</v>
      </c>
      <c r="N455" s="367">
        <f t="shared" si="171"/>
        <v>0.13207315853503498</v>
      </c>
      <c r="O455" s="368">
        <f t="shared" si="172"/>
        <v>1.4635911119350888</v>
      </c>
      <c r="P455" s="369">
        <f t="shared" si="173"/>
        <v>0.98899688551478782</v>
      </c>
      <c r="Q455" s="370">
        <f t="shared" si="174"/>
        <v>-12.428037301774301</v>
      </c>
      <c r="R455" s="371">
        <f t="shared" si="175"/>
        <v>-128.28307980579544</v>
      </c>
      <c r="S455" s="373">
        <f t="shared" si="176"/>
        <v>51.716920194204562</v>
      </c>
      <c r="U455" s="346">
        <f t="shared" si="182"/>
        <v>49548.5</v>
      </c>
      <c r="V455" s="346">
        <f t="shared" si="183"/>
        <v>2455053852.25</v>
      </c>
      <c r="X455" s="372">
        <f t="shared" si="177"/>
        <v>23.692332386702397</v>
      </c>
      <c r="Y455" s="373">
        <f t="shared" si="178"/>
        <v>-13.179084221684082</v>
      </c>
      <c r="AA455" s="372">
        <f t="shared" si="179"/>
        <v>15.360255666077681</v>
      </c>
      <c r="AB455" s="373">
        <f t="shared" si="180"/>
        <v>-115.10399558411137</v>
      </c>
      <c r="AD455">
        <f t="shared" si="184"/>
        <v>0</v>
      </c>
      <c r="AE455">
        <f t="shared" si="187"/>
        <v>0</v>
      </c>
    </row>
    <row r="456" spans="1:31" x14ac:dyDescent="0.2">
      <c r="A456" s="374">
        <v>49833.75</v>
      </c>
      <c r="B456" s="391">
        <f t="shared" si="181"/>
        <v>49.833750000000002</v>
      </c>
      <c r="C456" s="364">
        <f t="shared" si="162"/>
        <v>63.770548976999066</v>
      </c>
      <c r="D456" s="365">
        <f t="shared" si="163"/>
        <v>1.5551144641792998</v>
      </c>
      <c r="E456" s="365">
        <f t="shared" si="164"/>
        <v>1.1642246773867937</v>
      </c>
      <c r="F456" s="366">
        <f t="shared" si="165"/>
        <v>0.53759883111982032</v>
      </c>
      <c r="G456" s="365">
        <f t="shared" si="166"/>
        <v>1</v>
      </c>
      <c r="H456" s="366">
        <f t="shared" si="167"/>
        <v>0</v>
      </c>
      <c r="I456" s="364">
        <f t="shared" si="168"/>
        <v>16918.422500296288</v>
      </c>
      <c r="J456" s="367">
        <f t="shared" si="169"/>
        <v>1.5707372196292868</v>
      </c>
      <c r="K456" s="375">
        <f t="shared" si="185"/>
        <v>10.278219003305516</v>
      </c>
      <c r="L456" s="376">
        <f t="shared" si="186"/>
        <v>1.4733490534242799</v>
      </c>
      <c r="M456" s="364">
        <f t="shared" si="170"/>
        <v>1.0088865023064015</v>
      </c>
      <c r="N456" s="367">
        <f t="shared" si="171"/>
        <v>0.13282461549360497</v>
      </c>
      <c r="O456" s="368">
        <f t="shared" si="172"/>
        <v>1.4682419090981382</v>
      </c>
      <c r="P456" s="369">
        <f t="shared" si="173"/>
        <v>0.99291763455500981</v>
      </c>
      <c r="Q456" s="370">
        <f t="shared" si="174"/>
        <v>-12.493768092902933</v>
      </c>
      <c r="R456" s="371">
        <f t="shared" si="175"/>
        <v>-128.37956215499744</v>
      </c>
      <c r="S456" s="373">
        <f t="shared" si="176"/>
        <v>51.620437845002556</v>
      </c>
      <c r="U456" s="346">
        <f t="shared" si="182"/>
        <v>49833.75</v>
      </c>
      <c r="V456" s="346">
        <f t="shared" si="183"/>
        <v>2483402639.0625</v>
      </c>
      <c r="X456" s="372">
        <f t="shared" si="177"/>
        <v>23.690988115296644</v>
      </c>
      <c r="Y456" s="373">
        <f t="shared" si="178"/>
        <v>-13.190220796369045</v>
      </c>
      <c r="AA456" s="372">
        <f t="shared" si="179"/>
        <v>15.2958691463548</v>
      </c>
      <c r="AB456" s="373">
        <f t="shared" si="180"/>
        <v>-115.18934135862843</v>
      </c>
      <c r="AD456">
        <f t="shared" si="184"/>
        <v>0</v>
      </c>
      <c r="AE456">
        <f t="shared" si="187"/>
        <v>0</v>
      </c>
    </row>
    <row r="457" spans="1:31" x14ac:dyDescent="0.2">
      <c r="A457" s="374">
        <v>50119</v>
      </c>
      <c r="B457" s="391">
        <f t="shared" si="181"/>
        <v>50.119</v>
      </c>
      <c r="C457" s="364">
        <f t="shared" si="162"/>
        <v>64.135484161562516</v>
      </c>
      <c r="D457" s="365">
        <f t="shared" si="163"/>
        <v>1.5552037022769807</v>
      </c>
      <c r="E457" s="365">
        <f t="shared" si="164"/>
        <v>1.1659758168457837</v>
      </c>
      <c r="F457" s="366">
        <f t="shared" si="165"/>
        <v>0.54011272290593015</v>
      </c>
      <c r="G457" s="365">
        <f t="shared" si="166"/>
        <v>1</v>
      </c>
      <c r="H457" s="366">
        <f t="shared" si="167"/>
        <v>0</v>
      </c>
      <c r="I457" s="364">
        <f t="shared" si="168"/>
        <v>17015.26409863872</v>
      </c>
      <c r="J457" s="367">
        <f t="shared" si="169"/>
        <v>1.5707375560350201</v>
      </c>
      <c r="K457" s="375">
        <f t="shared" si="185"/>
        <v>10.336496522893379</v>
      </c>
      <c r="L457" s="376">
        <f t="shared" si="186"/>
        <v>1.4739001953474753</v>
      </c>
      <c r="M457" s="364">
        <f t="shared" si="170"/>
        <v>1.0089880722830558</v>
      </c>
      <c r="N457" s="367">
        <f t="shared" si="171"/>
        <v>0.1335759215852412</v>
      </c>
      <c r="O457" s="368">
        <f t="shared" si="172"/>
        <v>1.4729080896132827</v>
      </c>
      <c r="P457" s="369">
        <f t="shared" si="173"/>
        <v>0.99682096022292987</v>
      </c>
      <c r="Q457" s="370">
        <f t="shared" si="174"/>
        <v>-12.559179362296678</v>
      </c>
      <c r="R457" s="371">
        <f t="shared" si="175"/>
        <v>-128.47577165550661</v>
      </c>
      <c r="S457" s="373">
        <f t="shared" si="176"/>
        <v>51.524228344493395</v>
      </c>
      <c r="U457" s="346">
        <f t="shared" si="182"/>
        <v>50119</v>
      </c>
      <c r="V457" s="346">
        <f t="shared" si="183"/>
        <v>2511914161</v>
      </c>
      <c r="X457" s="372">
        <f t="shared" si="177"/>
        <v>23.689647058755142</v>
      </c>
      <c r="Y457" s="373">
        <f t="shared" si="178"/>
        <v>-13.201708633072297</v>
      </c>
      <c r="AA457" s="372">
        <f t="shared" si="179"/>
        <v>15.23179893350256</v>
      </c>
      <c r="AB457" s="373">
        <f t="shared" si="180"/>
        <v>-115.27406302243429</v>
      </c>
      <c r="AD457">
        <f t="shared" si="184"/>
        <v>0</v>
      </c>
      <c r="AE457">
        <f t="shared" si="187"/>
        <v>0</v>
      </c>
    </row>
    <row r="458" spans="1:31" x14ac:dyDescent="0.2">
      <c r="A458" s="374">
        <v>50410.75</v>
      </c>
      <c r="B458" s="391">
        <f t="shared" si="181"/>
        <v>50.41075</v>
      </c>
      <c r="C458" s="364">
        <f t="shared" si="162"/>
        <v>64.508735657014384</v>
      </c>
      <c r="D458" s="365">
        <f t="shared" si="163"/>
        <v>1.5552939294065136</v>
      </c>
      <c r="E458" s="365">
        <f t="shared" si="164"/>
        <v>1.1677744587565337</v>
      </c>
      <c r="F458" s="366">
        <f t="shared" si="165"/>
        <v>0.54267608310642712</v>
      </c>
      <c r="G458" s="365">
        <f t="shared" si="166"/>
        <v>1</v>
      </c>
      <c r="H458" s="366">
        <f t="shared" si="167"/>
        <v>0</v>
      </c>
      <c r="I458" s="364">
        <f t="shared" si="168"/>
        <v>17114.312429285401</v>
      </c>
      <c r="J458" s="367">
        <f t="shared" si="169"/>
        <v>1.570737896168209</v>
      </c>
      <c r="K458" s="375">
        <f t="shared" si="185"/>
        <v>10.396105225098639</v>
      </c>
      <c r="L458" s="376">
        <f t="shared" si="186"/>
        <v>1.4744575040953289</v>
      </c>
      <c r="M458" s="364">
        <f t="shared" si="170"/>
        <v>1.0090925457666668</v>
      </c>
      <c r="N458" s="367">
        <f t="shared" si="171"/>
        <v>0.13434419081128307</v>
      </c>
      <c r="O458" s="368">
        <f t="shared" si="172"/>
        <v>1.4776964221775015</v>
      </c>
      <c r="P458" s="369">
        <f t="shared" si="173"/>
        <v>1.0007953146744726</v>
      </c>
      <c r="Q458" s="370">
        <f t="shared" si="174"/>
        <v>-12.625753785507673</v>
      </c>
      <c r="R458" s="371">
        <f t="shared" si="175"/>
        <v>-128.57389193808112</v>
      </c>
      <c r="S458" s="373">
        <f t="shared" si="176"/>
        <v>51.426108061918882</v>
      </c>
      <c r="U458" s="346">
        <f t="shared" si="182"/>
        <v>50410.75</v>
      </c>
      <c r="V458" s="346">
        <f t="shared" si="183"/>
        <v>2541243715.5625</v>
      </c>
      <c r="X458" s="372">
        <f t="shared" si="177"/>
        <v>23.688278584712496</v>
      </c>
      <c r="Y458" s="373">
        <f t="shared" si="178"/>
        <v>-13.213815266326572</v>
      </c>
      <c r="AA458" s="372">
        <f t="shared" si="179"/>
        <v>15.166592984334205</v>
      </c>
      <c r="AB458" s="373">
        <f t="shared" si="180"/>
        <v>-115.36007667175456</v>
      </c>
      <c r="AD458">
        <f t="shared" si="184"/>
        <v>0</v>
      </c>
      <c r="AE458">
        <f t="shared" si="187"/>
        <v>0</v>
      </c>
    </row>
    <row r="459" spans="1:31" x14ac:dyDescent="0.2">
      <c r="A459" s="374">
        <v>50702.5</v>
      </c>
      <c r="B459" s="391">
        <f t="shared" si="181"/>
        <v>50.702500000000001</v>
      </c>
      <c r="C459" s="364">
        <f t="shared" si="162"/>
        <v>64.881987671585392</v>
      </c>
      <c r="D459" s="365">
        <f t="shared" si="163"/>
        <v>1.5553831184225193</v>
      </c>
      <c r="E459" s="365">
        <f t="shared" si="164"/>
        <v>1.1695807502678757</v>
      </c>
      <c r="F459" s="366">
        <f t="shared" si="165"/>
        <v>0.54523154238772398</v>
      </c>
      <c r="G459" s="365">
        <f t="shared" si="166"/>
        <v>1</v>
      </c>
      <c r="H459" s="366">
        <f t="shared" si="167"/>
        <v>0</v>
      </c>
      <c r="I459" s="364">
        <f t="shared" si="168"/>
        <v>17213.360759934039</v>
      </c>
      <c r="J459" s="367">
        <f t="shared" si="169"/>
        <v>1.5707382323870405</v>
      </c>
      <c r="K459" s="375">
        <f t="shared" si="185"/>
        <v>10.455717119444264</v>
      </c>
      <c r="L459" s="376">
        <f t="shared" si="186"/>
        <v>1.4750084581678042</v>
      </c>
      <c r="M459" s="364">
        <f t="shared" si="170"/>
        <v>1.0091976147311235</v>
      </c>
      <c r="N459" s="367">
        <f t="shared" si="171"/>
        <v>0.13511230051946269</v>
      </c>
      <c r="O459" s="368">
        <f t="shared" si="172"/>
        <v>1.4825006664878251</v>
      </c>
      <c r="P459" s="369">
        <f t="shared" si="173"/>
        <v>1.004751659772438</v>
      </c>
      <c r="Q459" s="370">
        <f t="shared" si="174"/>
        <v>-12.692000306736643</v>
      </c>
      <c r="R459" s="371">
        <f t="shared" si="175"/>
        <v>-128.67172830260722</v>
      </c>
      <c r="S459" s="373">
        <f t="shared" si="176"/>
        <v>51.328271697392779</v>
      </c>
      <c r="U459" s="346">
        <f t="shared" si="182"/>
        <v>50702.5</v>
      </c>
      <c r="V459" s="346">
        <f t="shared" si="183"/>
        <v>2570743506.25</v>
      </c>
      <c r="X459" s="372">
        <f t="shared" si="177"/>
        <v>23.686913104758919</v>
      </c>
      <c r="Y459" s="373">
        <f t="shared" si="178"/>
        <v>-13.226276631684192</v>
      </c>
      <c r="AA459" s="372">
        <f t="shared" si="179"/>
        <v>15.101711943058813</v>
      </c>
      <c r="AB459" s="373">
        <f t="shared" si="180"/>
        <v>-115.44545167092301</v>
      </c>
      <c r="AD459">
        <f t="shared" si="184"/>
        <v>0</v>
      </c>
      <c r="AE459">
        <f t="shared" si="187"/>
        <v>0</v>
      </c>
    </row>
    <row r="460" spans="1:31" x14ac:dyDescent="0.2">
      <c r="A460" s="374">
        <v>50994.25</v>
      </c>
      <c r="B460" s="391">
        <f t="shared" si="181"/>
        <v>50.994250000000001</v>
      </c>
      <c r="C460" s="364">
        <f t="shared" si="162"/>
        <v>65.255240196367652</v>
      </c>
      <c r="D460" s="365">
        <f t="shared" si="163"/>
        <v>1.5554712871372394</v>
      </c>
      <c r="E460" s="365">
        <f t="shared" si="164"/>
        <v>1.1713946559927391</v>
      </c>
      <c r="F460" s="366">
        <f t="shared" si="165"/>
        <v>0.54777910400052365</v>
      </c>
      <c r="G460" s="365">
        <f t="shared" si="166"/>
        <v>1</v>
      </c>
      <c r="H460" s="366">
        <f t="shared" si="167"/>
        <v>0</v>
      </c>
      <c r="I460" s="364">
        <f t="shared" si="168"/>
        <v>17312.409090584606</v>
      </c>
      <c r="J460" s="367">
        <f t="shared" si="169"/>
        <v>1.5707385647586991</v>
      </c>
      <c r="K460" s="375">
        <f t="shared" si="185"/>
        <v>10.515332151641086</v>
      </c>
      <c r="L460" s="376">
        <f t="shared" si="186"/>
        <v>1.4755531653080556</v>
      </c>
      <c r="M460" s="364">
        <f t="shared" si="170"/>
        <v>1.0093032789904564</v>
      </c>
      <c r="N460" s="367">
        <f t="shared" si="171"/>
        <v>0.13588024985338196</v>
      </c>
      <c r="O460" s="368">
        <f t="shared" si="172"/>
        <v>1.4873207327277667</v>
      </c>
      <c r="P460" s="369">
        <f t="shared" si="173"/>
        <v>1.0086901050419335</v>
      </c>
      <c r="Q460" s="370">
        <f t="shared" si="174"/>
        <v>-12.757922060531239</v>
      </c>
      <c r="R460" s="371">
        <f t="shared" si="175"/>
        <v>-128.76928164027927</v>
      </c>
      <c r="S460" s="373">
        <f t="shared" si="176"/>
        <v>51.230718359720726</v>
      </c>
      <c r="U460" s="346">
        <f t="shared" si="182"/>
        <v>50994.25</v>
      </c>
      <c r="V460" s="346">
        <f t="shared" si="183"/>
        <v>2600413533.0625</v>
      </c>
      <c r="X460" s="372">
        <f t="shared" si="177"/>
        <v>23.685550440311669</v>
      </c>
      <c r="Y460" s="373">
        <f t="shared" si="178"/>
        <v>-13.23908651069851</v>
      </c>
      <c r="AA460" s="372">
        <f t="shared" si="179"/>
        <v>15.037152853711468</v>
      </c>
      <c r="AB460" s="373">
        <f t="shared" si="180"/>
        <v>-115.5301951295808</v>
      </c>
      <c r="AD460">
        <f t="shared" si="184"/>
        <v>0</v>
      </c>
      <c r="AE460">
        <f t="shared" si="187"/>
        <v>0</v>
      </c>
    </row>
    <row r="461" spans="1:31" x14ac:dyDescent="0.2">
      <c r="A461" s="374">
        <v>51286</v>
      </c>
      <c r="B461" s="391">
        <f t="shared" si="181"/>
        <v>51.286000000000001</v>
      </c>
      <c r="C461" s="364">
        <f t="shared" ref="C461:C524" si="188">SQRT(1+(A461/pole1)^2)</f>
        <v>65.628493222655891</v>
      </c>
      <c r="D461" s="365">
        <f t="shared" ref="D461:D524" si="189">ATAN(A461/pole1)</f>
        <v>1.5555584529577602</v>
      </c>
      <c r="E461" s="365">
        <f t="shared" ref="E461:E524" si="190">SQRT(1+(A461/Zero1)^2)</f>
        <v>1.173216140614191</v>
      </c>
      <c r="F461" s="366">
        <f t="shared" ref="F461:F524" si="191">ATAN(A461/Zero1)</f>
        <v>0.55031877158551734</v>
      </c>
      <c r="G461" s="365">
        <f t="shared" ref="G461:G524" si="192">IF(VIN_nom&gt;Vout, 1, SQRT(1+(A461/z_RHP)^2))</f>
        <v>1</v>
      </c>
      <c r="H461" s="366">
        <f t="shared" ref="H461:H524" si="193">IF(VIN_nom&gt;Vout, 0, -ATAN(A461/z_RHP))</f>
        <v>0</v>
      </c>
      <c r="I461" s="364">
        <f t="shared" ref="I461:I524" si="194">SQRT(1+(A461/Pole2)^2)</f>
        <v>17411.457421237061</v>
      </c>
      <c r="J461" s="367">
        <f t="shared" ref="J461:J524" si="195">ATAN(A461/Pole2)</f>
        <v>1.5707388933488411</v>
      </c>
      <c r="K461" s="375">
        <f t="shared" si="185"/>
        <v>10.574950268621315</v>
      </c>
      <c r="L461" s="376">
        <f t="shared" si="186"/>
        <v>1.4760917308445758</v>
      </c>
      <c r="M461" s="364">
        <f t="shared" ref="M461:M524" si="196">SQRT(1+(A461/pole4)^2)</f>
        <v>1.00940953835772</v>
      </c>
      <c r="N461" s="367">
        <f t="shared" ref="N461:N524" si="197">ATAN(A461/pole4)</f>
        <v>0.13664803795775696</v>
      </c>
      <c r="O461" s="368">
        <f t="shared" ref="O461:O524" si="198">SQRT((1-(V461/pterm2))^2+(A461/pterm1)^2)</f>
        <v>1.4921565321064427</v>
      </c>
      <c r="P461" s="369">
        <f t="shared" ref="P461:P524" si="199">IF((ATAN((A461/pterm1)/(1-A461^2/pterm2))&gt;0),ATAN((A461/pterm1)/(1-A461^2/pterm2)),PI()+ATAN((A461/pterm1)/(1-A461^2/pterm2)))</f>
        <v>1.0126107598097951</v>
      </c>
      <c r="Q461" s="370">
        <f t="shared" ref="Q461:Q524" si="200">20*LOG10(((E461*K461*G461)/(C461*I461*O461*M461))*Adc)</f>
        <v>-12.823522132711405</v>
      </c>
      <c r="R461" s="371">
        <f t="shared" ref="R461:R524" si="201">((F461+L461+H461)-(D461+J461+P461+N461))*radconv</f>
        <v>-128.86655292369963</v>
      </c>
      <c r="S461" s="373">
        <f t="shared" ref="S461:S524" si="202">IF(R461&gt;0,R461,R461+180)</f>
        <v>51.133447076300371</v>
      </c>
      <c r="U461" s="346">
        <f t="shared" si="182"/>
        <v>51286</v>
      </c>
      <c r="V461" s="346">
        <f t="shared" si="183"/>
        <v>2630253796</v>
      </c>
      <c r="X461" s="372">
        <f t="shared" ref="X461:X524" si="203">20*LOG10((K461/(I461*M461))*AEA)</f>
        <v>23.684190417913022</v>
      </c>
      <c r="Y461" s="373">
        <f t="shared" ref="Y461:Y524" si="204">(L461-(J461+N461))*radconv</f>
        <v>-13.252238823249098</v>
      </c>
      <c r="AA461" s="372">
        <f t="shared" ref="AA461:AA524" si="205">20*LOG10((E461*G461/(C461*O461))*Acs*Am)</f>
        <v>14.972912803929949</v>
      </c>
      <c r="AB461" s="373">
        <f t="shared" ref="AB461:AB524" si="206">(F461+H461-(D461+P461))*radconv</f>
        <v>-115.61431410045053</v>
      </c>
      <c r="AD461">
        <f t="shared" si="184"/>
        <v>0</v>
      </c>
      <c r="AE461">
        <f t="shared" si="187"/>
        <v>0</v>
      </c>
    </row>
    <row r="462" spans="1:31" x14ac:dyDescent="0.2">
      <c r="A462" s="374">
        <v>51584.75</v>
      </c>
      <c r="B462" s="391">
        <f t="shared" ref="B462:B525" si="207">A462/1000</f>
        <v>51.58475</v>
      </c>
      <c r="C462" s="364">
        <f t="shared" si="188"/>
        <v>66.010702273669892</v>
      </c>
      <c r="D462" s="365">
        <f t="shared" si="189"/>
        <v>1.5556466886528737</v>
      </c>
      <c r="E462" s="365">
        <f t="shared" si="190"/>
        <v>1.1750891454050494</v>
      </c>
      <c r="F462" s="366">
        <f t="shared" si="191"/>
        <v>0.55291119758611595</v>
      </c>
      <c r="G462" s="365">
        <f t="shared" si="192"/>
        <v>1</v>
      </c>
      <c r="H462" s="366">
        <f t="shared" si="193"/>
        <v>0</v>
      </c>
      <c r="I462" s="364">
        <f t="shared" si="194"/>
        <v>17512.882232832548</v>
      </c>
      <c r="J462" s="367">
        <f t="shared" si="195"/>
        <v>1.5707392259712145</v>
      </c>
      <c r="K462" s="375">
        <f t="shared" si="185"/>
        <v>10.63600195422238</v>
      </c>
      <c r="L462" s="376">
        <f t="shared" si="186"/>
        <v>1.4766369614118207</v>
      </c>
      <c r="M462" s="364">
        <f t="shared" si="196"/>
        <v>1.0095189637220607</v>
      </c>
      <c r="N462" s="367">
        <f t="shared" si="197"/>
        <v>0.13743407974252683</v>
      </c>
      <c r="O462" s="368">
        <f t="shared" si="198"/>
        <v>1.4971245697407141</v>
      </c>
      <c r="P462" s="369">
        <f t="shared" si="199"/>
        <v>1.0166071614893326</v>
      </c>
      <c r="Q462" s="370">
        <f t="shared" si="200"/>
        <v>-12.890365978923677</v>
      </c>
      <c r="R462" s="371">
        <f t="shared" si="201"/>
        <v>-128.96586686196952</v>
      </c>
      <c r="S462" s="373">
        <f t="shared" si="202"/>
        <v>51.034133138030484</v>
      </c>
      <c r="U462" s="346">
        <f t="shared" ref="U462:U525" si="208">IF(Q462&lt;0,A462,1000000000)</f>
        <v>51584.75</v>
      </c>
      <c r="V462" s="346">
        <f t="shared" ref="V462:V525" si="209">A462^2</f>
        <v>2660986432.5625</v>
      </c>
      <c r="X462" s="372">
        <f t="shared" si="203"/>
        <v>23.68280032621254</v>
      </c>
      <c r="Y462" s="373">
        <f t="shared" si="204"/>
        <v>-13.266055347546642</v>
      </c>
      <c r="AA462" s="372">
        <f t="shared" si="205"/>
        <v>14.90745904941816</v>
      </c>
      <c r="AB462" s="373">
        <f t="shared" si="206"/>
        <v>-115.69981151442286</v>
      </c>
      <c r="AD462">
        <f t="shared" ref="AD462:AD525" si="210">SUM((Q463&lt;0)*(Q462&gt;0))*A462</f>
        <v>0</v>
      </c>
      <c r="AE462">
        <f t="shared" si="187"/>
        <v>0</v>
      </c>
    </row>
    <row r="463" spans="1:31" x14ac:dyDescent="0.2">
      <c r="A463" s="374">
        <v>51883.5</v>
      </c>
      <c r="B463" s="391">
        <f t="shared" si="207"/>
        <v>51.883499999999998</v>
      </c>
      <c r="C463" s="364">
        <f t="shared" si="188"/>
        <v>66.39291183269556</v>
      </c>
      <c r="D463" s="365">
        <f t="shared" si="189"/>
        <v>1.5557339084412325</v>
      </c>
      <c r="E463" s="365">
        <f t="shared" si="190"/>
        <v>1.1769700224189172</v>
      </c>
      <c r="F463" s="366">
        <f t="shared" si="191"/>
        <v>0.55549535516669934</v>
      </c>
      <c r="G463" s="365">
        <f t="shared" si="192"/>
        <v>1</v>
      </c>
      <c r="H463" s="366">
        <f t="shared" si="193"/>
        <v>0</v>
      </c>
      <c r="I463" s="364">
        <f t="shared" si="194"/>
        <v>17614.307044429945</v>
      </c>
      <c r="J463" s="367">
        <f t="shared" si="195"/>
        <v>1.5707395547630469</v>
      </c>
      <c r="K463" s="375">
        <f t="shared" si="185"/>
        <v>10.697056765563699</v>
      </c>
      <c r="L463" s="376">
        <f t="shared" si="186"/>
        <v>1.4771759681922298</v>
      </c>
      <c r="M463" s="364">
        <f t="shared" si="196"/>
        <v>1.0096290126940624</v>
      </c>
      <c r="N463" s="367">
        <f t="shared" si="197"/>
        <v>0.13821995065657844</v>
      </c>
      <c r="O463" s="368">
        <f t="shared" si="198"/>
        <v>1.5021089193709039</v>
      </c>
      <c r="P463" s="369">
        <f t="shared" si="199"/>
        <v>1.020585140033401</v>
      </c>
      <c r="Q463" s="370">
        <f t="shared" si="200"/>
        <v>-12.956878919715226</v>
      </c>
      <c r="R463" s="371">
        <f t="shared" si="201"/>
        <v>-129.06488735780536</v>
      </c>
      <c r="S463" s="373">
        <f t="shared" si="202"/>
        <v>50.935112642194639</v>
      </c>
      <c r="U463" s="346">
        <f t="shared" si="208"/>
        <v>51883.5</v>
      </c>
      <c r="V463" s="346">
        <f t="shared" si="209"/>
        <v>2691897572.25</v>
      </c>
      <c r="X463" s="372">
        <f t="shared" si="203"/>
        <v>23.681412652473306</v>
      </c>
      <c r="Y463" s="373">
        <f t="shared" si="204"/>
        <v>-13.280218458918023</v>
      </c>
      <c r="AA463" s="372">
        <f t="shared" si="205"/>
        <v>14.842333782365847</v>
      </c>
      <c r="AB463" s="373">
        <f t="shared" si="206"/>
        <v>-115.78466889888736</v>
      </c>
      <c r="AD463">
        <f t="shared" si="210"/>
        <v>0</v>
      </c>
      <c r="AE463">
        <f t="shared" si="187"/>
        <v>0</v>
      </c>
    </row>
    <row r="464" spans="1:31" x14ac:dyDescent="0.2">
      <c r="A464" s="374">
        <v>52182.25</v>
      </c>
      <c r="B464" s="391">
        <f t="shared" si="207"/>
        <v>52.182250000000003</v>
      </c>
      <c r="C464" s="364">
        <f t="shared" si="188"/>
        <v>66.775121891009576</v>
      </c>
      <c r="D464" s="365">
        <f t="shared" si="189"/>
        <v>1.5558201297661589</v>
      </c>
      <c r="E464" s="365">
        <f t="shared" si="190"/>
        <v>1.1788587339752417</v>
      </c>
      <c r="F464" s="366">
        <f t="shared" si="191"/>
        <v>0.55807124947350928</v>
      </c>
      <c r="G464" s="365">
        <f t="shared" si="192"/>
        <v>1</v>
      </c>
      <c r="H464" s="366">
        <f t="shared" si="193"/>
        <v>0</v>
      </c>
      <c r="I464" s="364">
        <f t="shared" si="194"/>
        <v>17715.731856029226</v>
      </c>
      <c r="J464" s="367">
        <f t="shared" si="195"/>
        <v>1.5707398797901295</v>
      </c>
      <c r="K464" s="375">
        <f t="shared" si="185"/>
        <v>10.758114649427355</v>
      </c>
      <c r="L464" s="376">
        <f t="shared" si="186"/>
        <v>1.4777088568395738</v>
      </c>
      <c r="M464" s="364">
        <f t="shared" si="196"/>
        <v>1.0097396850698286</v>
      </c>
      <c r="N464" s="367">
        <f t="shared" si="197"/>
        <v>0.1390056497852426</v>
      </c>
      <c r="O464" s="368">
        <f t="shared" si="198"/>
        <v>1.5071094889562817</v>
      </c>
      <c r="P464" s="369">
        <f t="shared" si="199"/>
        <v>1.0245448120655738</v>
      </c>
      <c r="Q464" s="370">
        <f t="shared" si="200"/>
        <v>-13.023064117477485</v>
      </c>
      <c r="R464" s="371">
        <f t="shared" si="201"/>
        <v>-129.16361569566439</v>
      </c>
      <c r="S464" s="373">
        <f t="shared" si="202"/>
        <v>50.83638430433561</v>
      </c>
      <c r="U464" s="346">
        <f t="shared" si="208"/>
        <v>52182.25</v>
      </c>
      <c r="V464" s="346">
        <f t="shared" si="209"/>
        <v>2722987215.0625</v>
      </c>
      <c r="X464" s="372">
        <f t="shared" si="203"/>
        <v>23.68002722605921</v>
      </c>
      <c r="Y464" s="373">
        <f t="shared" si="204"/>
        <v>-13.294722055210974</v>
      </c>
      <c r="AA464" s="372">
        <f t="shared" si="205"/>
        <v>14.777534011017682</v>
      </c>
      <c r="AB464" s="373">
        <f t="shared" si="206"/>
        <v>-115.86889364045342</v>
      </c>
      <c r="AD464">
        <f t="shared" si="210"/>
        <v>0</v>
      </c>
      <c r="AE464">
        <f t="shared" si="187"/>
        <v>0</v>
      </c>
    </row>
    <row r="465" spans="1:31" x14ac:dyDescent="0.2">
      <c r="A465" s="374">
        <v>52481</v>
      </c>
      <c r="B465" s="391">
        <f t="shared" si="207"/>
        <v>52.481000000000002</v>
      </c>
      <c r="C465" s="364">
        <f t="shared" si="188"/>
        <v>67.157332440087217</v>
      </c>
      <c r="D465" s="365">
        <f t="shared" si="189"/>
        <v>1.5559053696739364</v>
      </c>
      <c r="E465" s="365">
        <f t="shared" si="190"/>
        <v>1.1807552424781094</v>
      </c>
      <c r="F465" s="366">
        <f t="shared" si="191"/>
        <v>0.56063888605855661</v>
      </c>
      <c r="G465" s="365">
        <f t="shared" si="192"/>
        <v>1</v>
      </c>
      <c r="H465" s="366">
        <f t="shared" si="193"/>
        <v>0</v>
      </c>
      <c r="I465" s="364">
        <f t="shared" si="194"/>
        <v>17817.156667630356</v>
      </c>
      <c r="J465" s="367">
        <f t="shared" si="195"/>
        <v>1.5707402011167551</v>
      </c>
      <c r="K465" s="375">
        <f t="shared" si="185"/>
        <v>10.819175553794125</v>
      </c>
      <c r="L465" s="376">
        <f t="shared" si="186"/>
        <v>1.4782357306365619</v>
      </c>
      <c r="M465" s="364">
        <f t="shared" si="196"/>
        <v>1.0098509806443978</v>
      </c>
      <c r="N465" s="367">
        <f t="shared" si="197"/>
        <v>0.13979117621509837</v>
      </c>
      <c r="O465" s="368">
        <f t="shared" si="198"/>
        <v>1.512126187551438</v>
      </c>
      <c r="P465" s="369">
        <f t="shared" si="199"/>
        <v>1.0284862939149373</v>
      </c>
      <c r="Q465" s="370">
        <f t="shared" si="200"/>
        <v>-13.088924686235037</v>
      </c>
      <c r="R465" s="371">
        <f t="shared" si="201"/>
        <v>-129.26205323297071</v>
      </c>
      <c r="S465" s="373">
        <f t="shared" si="202"/>
        <v>50.737946767029285</v>
      </c>
      <c r="U465" s="346">
        <f t="shared" si="208"/>
        <v>52481</v>
      </c>
      <c r="V465" s="346">
        <f t="shared" si="209"/>
        <v>2754255361</v>
      </c>
      <c r="X465" s="372">
        <f t="shared" si="203"/>
        <v>23.678643881251098</v>
      </c>
      <c r="Y465" s="373">
        <f t="shared" si="204"/>
        <v>-13.309560170110679</v>
      </c>
      <c r="AA465" s="372">
        <f t="shared" si="205"/>
        <v>14.713056787068242</v>
      </c>
      <c r="AB465" s="373">
        <f t="shared" si="206"/>
        <v>-115.95249306286001</v>
      </c>
      <c r="AD465">
        <f t="shared" si="210"/>
        <v>0</v>
      </c>
      <c r="AE465">
        <f t="shared" si="187"/>
        <v>0</v>
      </c>
    </row>
    <row r="466" spans="1:31" x14ac:dyDescent="0.2">
      <c r="A466" s="374">
        <v>52786.5</v>
      </c>
      <c r="B466" s="391">
        <f t="shared" si="207"/>
        <v>52.786499999999997</v>
      </c>
      <c r="C466" s="364">
        <f t="shared" si="188"/>
        <v>67.548179207525138</v>
      </c>
      <c r="D466" s="365">
        <f t="shared" si="189"/>
        <v>1.5559915379321603</v>
      </c>
      <c r="E466" s="365">
        <f t="shared" si="190"/>
        <v>1.1827026250666535</v>
      </c>
      <c r="F466" s="366">
        <f t="shared" si="191"/>
        <v>0.5632560027000626</v>
      </c>
      <c r="G466" s="365">
        <f t="shared" si="192"/>
        <v>1</v>
      </c>
      <c r="H466" s="366">
        <f t="shared" si="193"/>
        <v>0</v>
      </c>
      <c r="I466" s="364">
        <f t="shared" si="194"/>
        <v>17920.873085855324</v>
      </c>
      <c r="J466" s="367">
        <f t="shared" si="195"/>
        <v>1.5707405259421297</v>
      </c>
      <c r="K466" s="375">
        <f t="shared" si="185"/>
        <v>10.881619147583367</v>
      </c>
      <c r="L466" s="376">
        <f t="shared" si="186"/>
        <v>1.478768393657695</v>
      </c>
      <c r="M466" s="364">
        <f t="shared" si="196"/>
        <v>1.0099654351111771</v>
      </c>
      <c r="N466" s="367">
        <f t="shared" si="197"/>
        <v>0.14059427139458594</v>
      </c>
      <c r="O466" s="368">
        <f t="shared" si="198"/>
        <v>1.5172728202864048</v>
      </c>
      <c r="P466" s="369">
        <f t="shared" si="199"/>
        <v>1.0324981397329298</v>
      </c>
      <c r="Q466" s="370">
        <f t="shared" si="200"/>
        <v>-13.155940799319463</v>
      </c>
      <c r="R466" s="371">
        <f t="shared" si="201"/>
        <v>-129.36241563842742</v>
      </c>
      <c r="S466" s="373">
        <f t="shared" si="202"/>
        <v>50.637584361572578</v>
      </c>
      <c r="U466" s="346">
        <f t="shared" si="208"/>
        <v>52786.5</v>
      </c>
      <c r="V466" s="346">
        <f t="shared" si="209"/>
        <v>2786414582.25</v>
      </c>
      <c r="X466" s="372">
        <f t="shared" si="203"/>
        <v>23.677231265949551</v>
      </c>
      <c r="Y466" s="373">
        <f t="shared" si="204"/>
        <v>-13.325073402569783</v>
      </c>
      <c r="AA466" s="372">
        <f t="shared" si="205"/>
        <v>14.647453289285364</v>
      </c>
      <c r="AB466" s="373">
        <f t="shared" si="206"/>
        <v>-116.03734223585765</v>
      </c>
      <c r="AD466">
        <f t="shared" si="210"/>
        <v>0</v>
      </c>
      <c r="AE466">
        <f t="shared" si="187"/>
        <v>0</v>
      </c>
    </row>
    <row r="467" spans="1:31" x14ac:dyDescent="0.2">
      <c r="A467" s="374">
        <v>53092</v>
      </c>
      <c r="B467" s="391">
        <f t="shared" si="207"/>
        <v>53.091999999999999</v>
      </c>
      <c r="C467" s="364">
        <f t="shared" si="188"/>
        <v>67.939026470735513</v>
      </c>
      <c r="D467" s="365">
        <f t="shared" si="189"/>
        <v>1.5560767147541397</v>
      </c>
      <c r="E467" s="365">
        <f t="shared" si="190"/>
        <v>1.1846580816750301</v>
      </c>
      <c r="F467" s="366">
        <f t="shared" si="191"/>
        <v>0.56586449726843679</v>
      </c>
      <c r="G467" s="365">
        <f t="shared" si="192"/>
        <v>1</v>
      </c>
      <c r="H467" s="366">
        <f t="shared" si="193"/>
        <v>0</v>
      </c>
      <c r="I467" s="364">
        <f t="shared" si="194"/>
        <v>18024.589504082156</v>
      </c>
      <c r="J467" s="367">
        <f t="shared" si="195"/>
        <v>1.5707408470293083</v>
      </c>
      <c r="K467" s="375">
        <f t="shared" si="185"/>
        <v>10.944065793580705</v>
      </c>
      <c r="L467" s="376">
        <f t="shared" si="186"/>
        <v>1.4792949780952491</v>
      </c>
      <c r="M467" s="364">
        <f t="shared" si="196"/>
        <v>1.0100805408192837</v>
      </c>
      <c r="N467" s="367">
        <f t="shared" si="197"/>
        <v>0.14139718405525248</v>
      </c>
      <c r="O467" s="368">
        <f t="shared" si="198"/>
        <v>1.5224361302249669</v>
      </c>
      <c r="P467" s="369">
        <f t="shared" si="199"/>
        <v>1.0364912091201173</v>
      </c>
      <c r="Q467" s="370">
        <f t="shared" si="200"/>
        <v>-13.222623884842976</v>
      </c>
      <c r="R467" s="371">
        <f t="shared" si="201"/>
        <v>-129.46247704237649</v>
      </c>
      <c r="S467" s="373">
        <f t="shared" si="202"/>
        <v>50.537522957623509</v>
      </c>
      <c r="U467" s="346">
        <f t="shared" si="208"/>
        <v>53092</v>
      </c>
      <c r="V467" s="346">
        <f t="shared" si="209"/>
        <v>2818760464</v>
      </c>
      <c r="X467" s="372">
        <f t="shared" si="203"/>
        <v>23.675820491917747</v>
      </c>
      <c r="Y467" s="373">
        <f t="shared" si="204"/>
        <v>-13.340924240472765</v>
      </c>
      <c r="AA467" s="372">
        <f t="shared" si="205"/>
        <v>14.582180977793652</v>
      </c>
      <c r="AB467" s="373">
        <f t="shared" si="206"/>
        <v>-116.12155280190372</v>
      </c>
      <c r="AD467">
        <f t="shared" si="210"/>
        <v>0</v>
      </c>
      <c r="AE467">
        <f t="shared" si="187"/>
        <v>0</v>
      </c>
    </row>
    <row r="468" spans="1:31" x14ac:dyDescent="0.2">
      <c r="A468" s="374">
        <v>53397.5</v>
      </c>
      <c r="B468" s="391">
        <f t="shared" si="207"/>
        <v>53.397500000000001</v>
      </c>
      <c r="C468" s="364">
        <f t="shared" si="188"/>
        <v>68.3298742212109</v>
      </c>
      <c r="D468" s="365">
        <f t="shared" si="189"/>
        <v>1.5561609171517121</v>
      </c>
      <c r="E468" s="365">
        <f t="shared" si="190"/>
        <v>1.18662157238724</v>
      </c>
      <c r="F468" s="366">
        <f t="shared" si="191"/>
        <v>0.56846437697921171</v>
      </c>
      <c r="G468" s="365">
        <f t="shared" si="192"/>
        <v>1</v>
      </c>
      <c r="H468" s="366">
        <f t="shared" si="193"/>
        <v>0</v>
      </c>
      <c r="I468" s="364">
        <f t="shared" si="194"/>
        <v>18128.305922310825</v>
      </c>
      <c r="J468" s="367">
        <f t="shared" si="195"/>
        <v>1.5707411644424523</v>
      </c>
      <c r="K468" s="375">
        <f t="shared" si="185"/>
        <v>11.006515439835054</v>
      </c>
      <c r="L468" s="376">
        <f t="shared" si="186"/>
        <v>1.4798155871221348</v>
      </c>
      <c r="M468" s="364">
        <f t="shared" si="196"/>
        <v>1.0101962975461025</v>
      </c>
      <c r="N468" s="367">
        <f t="shared" si="197"/>
        <v>0.14219991322444103</v>
      </c>
      <c r="O468" s="368">
        <f t="shared" si="198"/>
        <v>1.5276160236153498</v>
      </c>
      <c r="P468" s="369">
        <f t="shared" si="199"/>
        <v>1.04046562540198</v>
      </c>
      <c r="Q468" s="370">
        <f t="shared" si="200"/>
        <v>-13.288977123535243</v>
      </c>
      <c r="R468" s="371">
        <f t="shared" si="201"/>
        <v>-129.56223910870909</v>
      </c>
      <c r="S468" s="373">
        <f t="shared" si="202"/>
        <v>50.437760891290907</v>
      </c>
      <c r="U468" s="346">
        <f t="shared" si="208"/>
        <v>53397.5</v>
      </c>
      <c r="V468" s="346">
        <f t="shared" si="209"/>
        <v>2851293006.25</v>
      </c>
      <c r="X468" s="372">
        <f t="shared" si="203"/>
        <v>23.674411396851418</v>
      </c>
      <c r="Y468" s="373">
        <f t="shared" si="204"/>
        <v>-13.357106720394354</v>
      </c>
      <c r="AA468" s="372">
        <f t="shared" si="205"/>
        <v>14.517236834167713</v>
      </c>
      <c r="AB468" s="373">
        <f t="shared" si="206"/>
        <v>-116.20513238831471</v>
      </c>
      <c r="AD468">
        <f t="shared" si="210"/>
        <v>0</v>
      </c>
      <c r="AE468">
        <f t="shared" si="187"/>
        <v>0</v>
      </c>
    </row>
    <row r="469" spans="1:31" x14ac:dyDescent="0.2">
      <c r="A469" s="374">
        <v>53703</v>
      </c>
      <c r="B469" s="391">
        <f t="shared" si="207"/>
        <v>53.703000000000003</v>
      </c>
      <c r="C469" s="364">
        <f t="shared" si="188"/>
        <v>68.720722450637325</v>
      </c>
      <c r="D469" s="365">
        <f t="shared" si="189"/>
        <v>1.556244161749752</v>
      </c>
      <c r="E469" s="365">
        <f t="shared" si="190"/>
        <v>1.1885930573875838</v>
      </c>
      <c r="F469" s="366">
        <f t="shared" si="191"/>
        <v>0.57105564946618514</v>
      </c>
      <c r="G469" s="365">
        <f t="shared" si="192"/>
        <v>1</v>
      </c>
      <c r="H469" s="366">
        <f t="shared" si="193"/>
        <v>0</v>
      </c>
      <c r="I469" s="364">
        <f t="shared" si="194"/>
        <v>18232.022340541302</v>
      </c>
      <c r="J469" s="367">
        <f t="shared" si="195"/>
        <v>1.5707414782442628</v>
      </c>
      <c r="K469" s="375">
        <f t="shared" si="185"/>
        <v>11.068968035565256</v>
      </c>
      <c r="L469" s="376">
        <f t="shared" si="186"/>
        <v>1.4803303215959254</v>
      </c>
      <c r="M469" s="364">
        <f t="shared" si="196"/>
        <v>1.010312705067862</v>
      </c>
      <c r="N469" s="367">
        <f t="shared" si="197"/>
        <v>0.14300245793088506</v>
      </c>
      <c r="O469" s="368">
        <f t="shared" si="198"/>
        <v>1.5328124078661494</v>
      </c>
      <c r="P469" s="369">
        <f t="shared" si="199"/>
        <v>1.0444215115081832</v>
      </c>
      <c r="Q469" s="370">
        <f t="shared" si="200"/>
        <v>-13.355003648316487</v>
      </c>
      <c r="R469" s="371">
        <f t="shared" si="201"/>
        <v>-129.66170356515667</v>
      </c>
      <c r="S469" s="373">
        <f t="shared" si="202"/>
        <v>50.338296434843329</v>
      </c>
      <c r="U469" s="346">
        <f t="shared" si="208"/>
        <v>53703</v>
      </c>
      <c r="V469" s="346">
        <f t="shared" si="209"/>
        <v>2884012209</v>
      </c>
      <c r="X469" s="372">
        <f t="shared" si="203"/>
        <v>23.673003823137808</v>
      </c>
      <c r="Y469" s="373">
        <f t="shared" si="204"/>
        <v>-13.373615011564292</v>
      </c>
      <c r="AA469" s="372">
        <f t="shared" si="205"/>
        <v>14.45261788310008</v>
      </c>
      <c r="AB469" s="373">
        <f t="shared" si="206"/>
        <v>-116.28808855359237</v>
      </c>
      <c r="AD469">
        <f t="shared" si="210"/>
        <v>0</v>
      </c>
      <c r="AE469">
        <f t="shared" si="187"/>
        <v>0</v>
      </c>
    </row>
    <row r="470" spans="1:31" x14ac:dyDescent="0.2">
      <c r="A470" s="374">
        <v>54015.75</v>
      </c>
      <c r="B470" s="391">
        <f t="shared" si="207"/>
        <v>54.015749999999997</v>
      </c>
      <c r="C470" s="364">
        <f t="shared" si="188"/>
        <v>69.12084661669607</v>
      </c>
      <c r="D470" s="365">
        <f t="shared" si="189"/>
        <v>1.5563284066725775</v>
      </c>
      <c r="E470" s="365">
        <f t="shared" si="190"/>
        <v>1.1906195685086278</v>
      </c>
      <c r="F470" s="366">
        <f t="shared" si="191"/>
        <v>0.57369950932372016</v>
      </c>
      <c r="G470" s="365">
        <f t="shared" si="192"/>
        <v>1</v>
      </c>
      <c r="H470" s="366">
        <f t="shared" si="193"/>
        <v>0</v>
      </c>
      <c r="I470" s="364">
        <f t="shared" si="194"/>
        <v>18338.200114034404</v>
      </c>
      <c r="J470" s="367">
        <f t="shared" si="195"/>
        <v>1.5707417958161596</v>
      </c>
      <c r="K470" s="375">
        <f t="shared" si="185"/>
        <v>11.132905734014509</v>
      </c>
      <c r="L470" s="376">
        <f t="shared" si="186"/>
        <v>1.4808512891488472</v>
      </c>
      <c r="M470" s="364">
        <f t="shared" si="196"/>
        <v>1.0104325490348662</v>
      </c>
      <c r="N470" s="367">
        <f t="shared" si="197"/>
        <v>0.14382385620361676</v>
      </c>
      <c r="O470" s="368">
        <f t="shared" si="198"/>
        <v>1.5381490976367624</v>
      </c>
      <c r="P470" s="369">
        <f t="shared" si="199"/>
        <v>1.0484522099665692</v>
      </c>
      <c r="Q470" s="370">
        <f t="shared" si="200"/>
        <v>-13.422261873308752</v>
      </c>
      <c r="R470" s="371">
        <f t="shared" si="201"/>
        <v>-129.76322205030112</v>
      </c>
      <c r="S470" s="373">
        <f t="shared" si="202"/>
        <v>50.236777949698876</v>
      </c>
      <c r="U470" s="346">
        <f t="shared" si="208"/>
        <v>54015.75</v>
      </c>
      <c r="V470" s="346">
        <f t="shared" si="209"/>
        <v>2917701248.0625</v>
      </c>
      <c r="X470" s="372">
        <f t="shared" si="203"/>
        <v>23.671564261605429</v>
      </c>
      <c r="Y470" s="373">
        <f t="shared" si="204"/>
        <v>-13.390846619394537</v>
      </c>
      <c r="AA470" s="372">
        <f t="shared" si="205"/>
        <v>14.386799219640194</v>
      </c>
      <c r="AB470" s="373">
        <f t="shared" si="206"/>
        <v>-116.3723754309066</v>
      </c>
      <c r="AD470">
        <f t="shared" si="210"/>
        <v>0</v>
      </c>
      <c r="AE470">
        <f t="shared" si="187"/>
        <v>0</v>
      </c>
    </row>
    <row r="471" spans="1:31" x14ac:dyDescent="0.2">
      <c r="A471" s="374">
        <v>54328.5</v>
      </c>
      <c r="B471" s="391">
        <f t="shared" si="207"/>
        <v>54.328499999999998</v>
      </c>
      <c r="C471" s="364">
        <f t="shared" si="188"/>
        <v>69.520971267672948</v>
      </c>
      <c r="D471" s="365">
        <f t="shared" si="189"/>
        <v>1.5564116818606777</v>
      </c>
      <c r="E471" s="365">
        <f t="shared" si="190"/>
        <v>1.1926543737383006</v>
      </c>
      <c r="F471" s="366">
        <f t="shared" si="191"/>
        <v>0.57633436609000266</v>
      </c>
      <c r="G471" s="365">
        <f t="shared" si="192"/>
        <v>1</v>
      </c>
      <c r="H471" s="366">
        <f t="shared" si="193"/>
        <v>0</v>
      </c>
      <c r="I471" s="364">
        <f t="shared" si="194"/>
        <v>18444.377887529332</v>
      </c>
      <c r="J471" s="367">
        <f t="shared" si="195"/>
        <v>1.5707421097317575</v>
      </c>
      <c r="K471" s="375">
        <f t="shared" ref="K471:K534" si="211">SQRT(1+(A471/Zero2)^2)</f>
        <v>11.196846419505855</v>
      </c>
      <c r="L471" s="376">
        <f t="shared" ref="L471:L534" si="212">ATAN(A471/Zero2)</f>
        <v>1.4813663067679947</v>
      </c>
      <c r="M471" s="364">
        <f t="shared" si="196"/>
        <v>1.0105530745738178</v>
      </c>
      <c r="N471" s="367">
        <f t="shared" si="197"/>
        <v>0.14464505909903841</v>
      </c>
      <c r="O471" s="368">
        <f t="shared" si="198"/>
        <v>1.5435028775687754</v>
      </c>
      <c r="P471" s="369">
        <f t="shared" si="199"/>
        <v>1.0524637476938479</v>
      </c>
      <c r="Q471" s="370">
        <f t="shared" si="200"/>
        <v>-13.489184189726199</v>
      </c>
      <c r="R471" s="371">
        <f t="shared" si="201"/>
        <v>-129.86443248615259</v>
      </c>
      <c r="S471" s="373">
        <f t="shared" si="202"/>
        <v>50.135567513847406</v>
      </c>
      <c r="U471" s="346">
        <f t="shared" si="208"/>
        <v>54328.5</v>
      </c>
      <c r="V471" s="346">
        <f t="shared" si="209"/>
        <v>2951585912.25</v>
      </c>
      <c r="X471" s="372">
        <f t="shared" si="203"/>
        <v>23.670125974600346</v>
      </c>
      <c r="Y471" s="373">
        <f t="shared" si="204"/>
        <v>-13.408407729533051</v>
      </c>
      <c r="AA471" s="372">
        <f t="shared" si="205"/>
        <v>14.321315190227828</v>
      </c>
      <c r="AB471" s="373">
        <f t="shared" si="206"/>
        <v>-116.45602475661956</v>
      </c>
      <c r="AD471">
        <f t="shared" si="210"/>
        <v>0</v>
      </c>
      <c r="AE471">
        <f t="shared" si="187"/>
        <v>0</v>
      </c>
    </row>
    <row r="472" spans="1:31" x14ac:dyDescent="0.2">
      <c r="A472" s="374">
        <v>54641.25</v>
      </c>
      <c r="B472" s="391">
        <f t="shared" si="207"/>
        <v>54.641249999999999</v>
      </c>
      <c r="C472" s="364">
        <f t="shared" si="188"/>
        <v>69.921096395243083</v>
      </c>
      <c r="D472" s="365">
        <f t="shared" si="189"/>
        <v>1.556494003960877</v>
      </c>
      <c r="E472" s="365">
        <f t="shared" si="190"/>
        <v>1.1946974306970974</v>
      </c>
      <c r="F472" s="366">
        <f t="shared" si="191"/>
        <v>0.57896022927578461</v>
      </c>
      <c r="G472" s="365">
        <f t="shared" si="192"/>
        <v>1</v>
      </c>
      <c r="H472" s="366">
        <f t="shared" si="193"/>
        <v>0</v>
      </c>
      <c r="I472" s="364">
        <f t="shared" si="194"/>
        <v>18550.555661026057</v>
      </c>
      <c r="J472" s="367">
        <f t="shared" si="195"/>
        <v>1.5707424200538396</v>
      </c>
      <c r="K472" s="375">
        <f t="shared" si="211"/>
        <v>11.260790041156488</v>
      </c>
      <c r="L472" s="376">
        <f t="shared" si="212"/>
        <v>1.4818754755366732</v>
      </c>
      <c r="M472" s="364">
        <f t="shared" si="196"/>
        <v>1.0106742814408789</v>
      </c>
      <c r="N472" s="367">
        <f t="shared" si="197"/>
        <v>0.14546606557965064</v>
      </c>
      <c r="O472" s="368">
        <f t="shared" si="198"/>
        <v>1.5488736520370325</v>
      </c>
      <c r="P472" s="369">
        <f t="shared" si="199"/>
        <v>1.0564562551837264</v>
      </c>
      <c r="Q472" s="370">
        <f t="shared" si="200"/>
        <v>-13.555773810732381</v>
      </c>
      <c r="R472" s="371">
        <f t="shared" si="201"/>
        <v>-129.96533691082274</v>
      </c>
      <c r="S472" s="373">
        <f t="shared" si="202"/>
        <v>50.034663089177258</v>
      </c>
      <c r="U472" s="346">
        <f t="shared" si="208"/>
        <v>54641.25</v>
      </c>
      <c r="V472" s="346">
        <f t="shared" si="209"/>
        <v>2985666201.5625</v>
      </c>
      <c r="X472" s="372">
        <f t="shared" si="203"/>
        <v>23.66868880729621</v>
      </c>
      <c r="Y472" s="373">
        <f t="shared" si="204"/>
        <v>-13.426292494485899</v>
      </c>
      <c r="AA472" s="372">
        <f t="shared" si="205"/>
        <v>14.256162736525788</v>
      </c>
      <c r="AB472" s="373">
        <f t="shared" si="206"/>
        <v>-116.53904441633684</v>
      </c>
      <c r="AD472">
        <f t="shared" si="210"/>
        <v>0</v>
      </c>
      <c r="AE472">
        <f t="shared" si="187"/>
        <v>0</v>
      </c>
    </row>
    <row r="473" spans="1:31" x14ac:dyDescent="0.2">
      <c r="A473" s="374">
        <v>54954</v>
      </c>
      <c r="B473" s="391">
        <f t="shared" si="207"/>
        <v>54.954000000000001</v>
      </c>
      <c r="C473" s="364">
        <f t="shared" si="188"/>
        <v>70.321221991271059</v>
      </c>
      <c r="D473" s="365">
        <f t="shared" si="189"/>
        <v>1.5565753892411727</v>
      </c>
      <c r="E473" s="365">
        <f t="shared" si="190"/>
        <v>1.1967486971236332</v>
      </c>
      <c r="F473" s="366">
        <f t="shared" si="191"/>
        <v>0.58157710882309877</v>
      </c>
      <c r="G473" s="365">
        <f t="shared" si="192"/>
        <v>1</v>
      </c>
      <c r="H473" s="366">
        <f t="shared" si="193"/>
        <v>0</v>
      </c>
      <c r="I473" s="364">
        <f t="shared" si="194"/>
        <v>18656.733434524551</v>
      </c>
      <c r="J473" s="367">
        <f t="shared" si="195"/>
        <v>1.570742726843759</v>
      </c>
      <c r="K473" s="375">
        <f t="shared" si="211"/>
        <v>11.324736549230508</v>
      </c>
      <c r="L473" s="376">
        <f t="shared" si="212"/>
        <v>1.4823788942673592</v>
      </c>
      <c r="M473" s="364">
        <f t="shared" si="196"/>
        <v>1.0107961693909504</v>
      </c>
      <c r="N473" s="367">
        <f t="shared" si="197"/>
        <v>0.14628687460950957</v>
      </c>
      <c r="O473" s="368">
        <f t="shared" si="198"/>
        <v>1.5542613266479905</v>
      </c>
      <c r="P473" s="369">
        <f t="shared" si="199"/>
        <v>1.0604298624245734</v>
      </c>
      <c r="Q473" s="370">
        <f t="shared" si="200"/>
        <v>-13.622033901951978</v>
      </c>
      <c r="R473" s="371">
        <f t="shared" si="201"/>
        <v>-130.06593741716964</v>
      </c>
      <c r="S473" s="373">
        <f t="shared" si="202"/>
        <v>49.934062582830364</v>
      </c>
      <c r="U473" s="346">
        <f t="shared" si="208"/>
        <v>54954</v>
      </c>
      <c r="V473" s="346">
        <f t="shared" si="209"/>
        <v>3019942116</v>
      </c>
      <c r="X473" s="372">
        <f t="shared" si="203"/>
        <v>23.667252609363153</v>
      </c>
      <c r="Y473" s="373">
        <f t="shared" si="204"/>
        <v>-13.444495196875282</v>
      </c>
      <c r="AA473" s="372">
        <f t="shared" si="205"/>
        <v>14.191338843239244</v>
      </c>
      <c r="AB473" s="373">
        <f t="shared" si="206"/>
        <v>-116.62144222029436</v>
      </c>
      <c r="AD473">
        <f t="shared" si="210"/>
        <v>0</v>
      </c>
      <c r="AE473">
        <f t="shared" si="187"/>
        <v>0</v>
      </c>
    </row>
    <row r="474" spans="1:31" x14ac:dyDescent="0.2">
      <c r="A474" s="374">
        <v>55274</v>
      </c>
      <c r="B474" s="391">
        <f t="shared" si="207"/>
        <v>55.274000000000001</v>
      </c>
      <c r="C474" s="364">
        <f t="shared" si="188"/>
        <v>70.730623557312782</v>
      </c>
      <c r="D474" s="365">
        <f t="shared" si="189"/>
        <v>1.5566577080857995</v>
      </c>
      <c r="E474" s="365">
        <f t="shared" si="190"/>
        <v>1.1988559680704933</v>
      </c>
      <c r="F474" s="366">
        <f t="shared" si="191"/>
        <v>0.58424536382742265</v>
      </c>
      <c r="G474" s="365">
        <f t="shared" si="192"/>
        <v>1</v>
      </c>
      <c r="H474" s="366">
        <f t="shared" si="193"/>
        <v>0</v>
      </c>
      <c r="I474" s="364">
        <f t="shared" si="194"/>
        <v>18765.3725632858</v>
      </c>
      <c r="J474" s="367">
        <f t="shared" si="195"/>
        <v>1.5707430371521196</v>
      </c>
      <c r="K474" s="375">
        <f t="shared" si="211"/>
        <v>11.390168367252482</v>
      </c>
      <c r="L474" s="376">
        <f t="shared" si="212"/>
        <v>1.4828881322018805</v>
      </c>
      <c r="M474" s="364">
        <f t="shared" si="196"/>
        <v>1.010921587572817</v>
      </c>
      <c r="N474" s="367">
        <f t="shared" si="197"/>
        <v>0.1471265057383328</v>
      </c>
      <c r="O474" s="368">
        <f t="shared" si="198"/>
        <v>1.55979129055745</v>
      </c>
      <c r="P474" s="369">
        <f t="shared" si="199"/>
        <v>1.0644761561678542</v>
      </c>
      <c r="Q474" s="370">
        <f t="shared" si="200"/>
        <v>-13.689492174898595</v>
      </c>
      <c r="R474" s="371">
        <f t="shared" si="201"/>
        <v>-130.16855765837897</v>
      </c>
      <c r="S474" s="373">
        <f t="shared" si="202"/>
        <v>49.831442341621027</v>
      </c>
      <c r="U474" s="346">
        <f t="shared" si="208"/>
        <v>55274</v>
      </c>
      <c r="V474" s="346">
        <f t="shared" si="209"/>
        <v>3055215076</v>
      </c>
      <c r="X474" s="372">
        <f t="shared" si="203"/>
        <v>23.665783969370288</v>
      </c>
      <c r="Y474" s="373">
        <f t="shared" si="204"/>
        <v>-13.463443111869688</v>
      </c>
      <c r="AA474" s="372">
        <f t="shared" si="205"/>
        <v>14.125349210285494</v>
      </c>
      <c r="AB474" s="373">
        <f t="shared" si="206"/>
        <v>-116.70511454650926</v>
      </c>
      <c r="AD474">
        <f t="shared" si="210"/>
        <v>0</v>
      </c>
      <c r="AE474">
        <f t="shared" ref="AE474:AE537" si="213">IF(AD474&gt;0,S474,0)</f>
        <v>0</v>
      </c>
    </row>
    <row r="475" spans="1:31" x14ac:dyDescent="0.2">
      <c r="A475" s="374">
        <v>55594</v>
      </c>
      <c r="B475" s="391">
        <f t="shared" si="207"/>
        <v>55.594000000000001</v>
      </c>
      <c r="C475" s="364">
        <f t="shared" si="188"/>
        <v>71.140025597136344</v>
      </c>
      <c r="D475" s="365">
        <f t="shared" si="189"/>
        <v>1.556739079461454</v>
      </c>
      <c r="E475" s="365">
        <f t="shared" si="190"/>
        <v>1.2009717443857404</v>
      </c>
      <c r="F475" s="366">
        <f t="shared" si="191"/>
        <v>0.58690423626829835</v>
      </c>
      <c r="G475" s="365">
        <f t="shared" si="192"/>
        <v>1</v>
      </c>
      <c r="H475" s="366">
        <f t="shared" si="193"/>
        <v>0</v>
      </c>
      <c r="I475" s="364">
        <f t="shared" si="194"/>
        <v>18874.011692048829</v>
      </c>
      <c r="J475" s="367">
        <f t="shared" si="195"/>
        <v>1.5707433438882001</v>
      </c>
      <c r="K475" s="375">
        <f t="shared" si="211"/>
        <v>11.455603105267622</v>
      </c>
      <c r="L475" s="376">
        <f t="shared" si="212"/>
        <v>1.4833915527019339</v>
      </c>
      <c r="M475" s="364">
        <f t="shared" si="196"/>
        <v>1.0110477182575157</v>
      </c>
      <c r="N475" s="367">
        <f t="shared" si="197"/>
        <v>0.14796592796672081</v>
      </c>
      <c r="O475" s="368">
        <f t="shared" si="198"/>
        <v>1.5653387512001888</v>
      </c>
      <c r="P475" s="369">
        <f t="shared" si="199"/>
        <v>1.0685029368711252</v>
      </c>
      <c r="Q475" s="370">
        <f t="shared" si="200"/>
        <v>-13.756612020554881</v>
      </c>
      <c r="R475" s="371">
        <f t="shared" si="201"/>
        <v>-130.27086432071587</v>
      </c>
      <c r="S475" s="373">
        <f t="shared" si="202"/>
        <v>49.729135679284127</v>
      </c>
      <c r="U475" s="346">
        <f t="shared" si="208"/>
        <v>55594</v>
      </c>
      <c r="V475" s="346">
        <f t="shared" si="209"/>
        <v>3090692836</v>
      </c>
      <c r="X475" s="372">
        <f t="shared" si="203"/>
        <v>23.664316039577482</v>
      </c>
      <c r="Y475" s="373">
        <f t="shared" si="204"/>
        <v>-13.482712167517212</v>
      </c>
      <c r="AA475" s="372">
        <f t="shared" si="205"/>
        <v>14.059697294422016</v>
      </c>
      <c r="AB475" s="373">
        <f t="shared" si="206"/>
        <v>-116.78815215319862</v>
      </c>
      <c r="AD475">
        <f t="shared" si="210"/>
        <v>0</v>
      </c>
      <c r="AE475">
        <f t="shared" si="213"/>
        <v>0</v>
      </c>
    </row>
    <row r="476" spans="1:31" x14ac:dyDescent="0.2">
      <c r="A476" s="374">
        <v>55914</v>
      </c>
      <c r="B476" s="391">
        <f t="shared" si="207"/>
        <v>55.914000000000001</v>
      </c>
      <c r="C476" s="364">
        <f t="shared" si="188"/>
        <v>71.549428102608886</v>
      </c>
      <c r="D476" s="365">
        <f t="shared" si="189"/>
        <v>1.5568195196311694</v>
      </c>
      <c r="E476" s="365">
        <f t="shared" si="190"/>
        <v>1.2030959811965034</v>
      </c>
      <c r="F476" s="366">
        <f t="shared" si="191"/>
        <v>0.58955373815133616</v>
      </c>
      <c r="G476" s="365">
        <f t="shared" si="192"/>
        <v>1</v>
      </c>
      <c r="H476" s="366">
        <f t="shared" si="193"/>
        <v>0</v>
      </c>
      <c r="I476" s="364">
        <f t="shared" si="194"/>
        <v>18982.650820813618</v>
      </c>
      <c r="J476" s="367">
        <f t="shared" si="195"/>
        <v>1.5707436471133336</v>
      </c>
      <c r="K476" s="375">
        <f t="shared" si="211"/>
        <v>11.52104071352287</v>
      </c>
      <c r="L476" s="376">
        <f t="shared" si="212"/>
        <v>1.4838892546363547</v>
      </c>
      <c r="M476" s="364">
        <f t="shared" si="196"/>
        <v>1.0111745611784209</v>
      </c>
      <c r="N476" s="367">
        <f t="shared" si="197"/>
        <v>0.14880514019010493</v>
      </c>
      <c r="O476" s="368">
        <f t="shared" si="198"/>
        <v>1.5709036113964496</v>
      </c>
      <c r="P476" s="369">
        <f t="shared" si="199"/>
        <v>1.0725103420291127</v>
      </c>
      <c r="Q476" s="370">
        <f t="shared" si="200"/>
        <v>-13.823396682702704</v>
      </c>
      <c r="R476" s="371">
        <f t="shared" si="201"/>
        <v>-130.37285980144034</v>
      </c>
      <c r="S476" s="373">
        <f t="shared" si="202"/>
        <v>49.627140198559658</v>
      </c>
      <c r="U476" s="346">
        <f t="shared" si="208"/>
        <v>55914</v>
      </c>
      <c r="V476" s="346">
        <f t="shared" si="209"/>
        <v>3126375396</v>
      </c>
      <c r="X476" s="372">
        <f t="shared" si="203"/>
        <v>23.662848672612711</v>
      </c>
      <c r="Y476" s="373">
        <f t="shared" si="204"/>
        <v>-13.502296639277878</v>
      </c>
      <c r="AA476" s="372">
        <f t="shared" si="205"/>
        <v>13.994379999238962</v>
      </c>
      <c r="AB476" s="373">
        <f t="shared" si="206"/>
        <v>-116.87056316216243</v>
      </c>
      <c r="AD476">
        <f t="shared" si="210"/>
        <v>0</v>
      </c>
      <c r="AE476">
        <f t="shared" si="213"/>
        <v>0</v>
      </c>
    </row>
    <row r="477" spans="1:31" x14ac:dyDescent="0.2">
      <c r="A477" s="374">
        <v>56234</v>
      </c>
      <c r="B477" s="391">
        <f t="shared" si="207"/>
        <v>56.234000000000002</v>
      </c>
      <c r="C477" s="364">
        <f t="shared" si="188"/>
        <v>71.958831065782618</v>
      </c>
      <c r="D477" s="365">
        <f t="shared" si="189"/>
        <v>1.5568990444879198</v>
      </c>
      <c r="E477" s="365">
        <f t="shared" si="190"/>
        <v>1.205228633767464</v>
      </c>
      <c r="F477" s="366">
        <f t="shared" si="191"/>
        <v>0.59219388192391376</v>
      </c>
      <c r="G477" s="365">
        <f t="shared" si="192"/>
        <v>1</v>
      </c>
      <c r="H477" s="366">
        <f t="shared" si="193"/>
        <v>0</v>
      </c>
      <c r="I477" s="364">
        <f t="shared" si="194"/>
        <v>19091.289949580132</v>
      </c>
      <c r="J477" s="367">
        <f t="shared" si="195"/>
        <v>1.5707439468874573</v>
      </c>
      <c r="K477" s="375">
        <f t="shared" si="211"/>
        <v>11.586481143386992</v>
      </c>
      <c r="L477" s="376">
        <f t="shared" si="212"/>
        <v>1.4843813346518144</v>
      </c>
      <c r="M477" s="364">
        <f t="shared" si="196"/>
        <v>1.0113021160675351</v>
      </c>
      <c r="N477" s="367">
        <f t="shared" si="197"/>
        <v>0.14964414130565248</v>
      </c>
      <c r="O477" s="368">
        <f t="shared" si="198"/>
        <v>1.5764857752676016</v>
      </c>
      <c r="P477" s="369">
        <f t="shared" si="199"/>
        <v>1.0764985085163115</v>
      </c>
      <c r="Q477" s="370">
        <f t="shared" si="200"/>
        <v>-13.889849357880868</v>
      </c>
      <c r="R477" s="371">
        <f t="shared" si="201"/>
        <v>-130.47454654310144</v>
      </c>
      <c r="S477" s="373">
        <f t="shared" si="202"/>
        <v>49.52545345689856</v>
      </c>
      <c r="U477" s="346">
        <f t="shared" si="208"/>
        <v>56234</v>
      </c>
      <c r="V477" s="346">
        <f t="shared" si="209"/>
        <v>3162262756</v>
      </c>
      <c r="X477" s="372">
        <f t="shared" si="203"/>
        <v>23.661381725404254</v>
      </c>
      <c r="Y477" s="373">
        <f t="shared" si="204"/>
        <v>-13.522190929951771</v>
      </c>
      <c r="AA477" s="372">
        <f t="shared" si="205"/>
        <v>13.929394271269256</v>
      </c>
      <c r="AB477" s="373">
        <f t="shared" si="206"/>
        <v>-116.95235561314962</v>
      </c>
      <c r="AD477">
        <f t="shared" si="210"/>
        <v>0</v>
      </c>
      <c r="AE477">
        <f t="shared" si="213"/>
        <v>0</v>
      </c>
    </row>
    <row r="478" spans="1:31" x14ac:dyDescent="0.2">
      <c r="A478" s="374">
        <v>56561.5</v>
      </c>
      <c r="B478" s="391">
        <f t="shared" si="207"/>
        <v>56.561500000000002</v>
      </c>
      <c r="C478" s="364">
        <f t="shared" si="188"/>
        <v>72.377829876718749</v>
      </c>
      <c r="D478" s="365">
        <f t="shared" si="189"/>
        <v>1.5569795016724142</v>
      </c>
      <c r="E478" s="365">
        <f t="shared" si="190"/>
        <v>1.2074199377854715</v>
      </c>
      <c r="F478" s="366">
        <f t="shared" si="191"/>
        <v>0.59488622783400624</v>
      </c>
      <c r="G478" s="365">
        <f t="shared" si="192"/>
        <v>1</v>
      </c>
      <c r="H478" s="366">
        <f t="shared" si="193"/>
        <v>0</v>
      </c>
      <c r="I478" s="364">
        <f t="shared" si="194"/>
        <v>19202.475307928864</v>
      </c>
      <c r="J478" s="367">
        <f t="shared" si="195"/>
        <v>1.5707442501753768</v>
      </c>
      <c r="K478" s="375">
        <f t="shared" si="211"/>
        <v>11.653458205303814</v>
      </c>
      <c r="L478" s="376">
        <f t="shared" si="212"/>
        <v>1.4848792252695711</v>
      </c>
      <c r="M478" s="364">
        <f t="shared" si="196"/>
        <v>1.0114333974371545</v>
      </c>
      <c r="N478" s="367">
        <f t="shared" si="197"/>
        <v>0.15050258677326861</v>
      </c>
      <c r="O478" s="368">
        <f t="shared" si="198"/>
        <v>1.5822165891656697</v>
      </c>
      <c r="P478" s="369">
        <f t="shared" si="199"/>
        <v>1.0805603695057706</v>
      </c>
      <c r="Q478" s="370">
        <f t="shared" si="200"/>
        <v>-13.957519055317144</v>
      </c>
      <c r="R478" s="371">
        <f t="shared" si="201"/>
        <v>-130.57829948264785</v>
      </c>
      <c r="S478" s="373">
        <f t="shared" si="202"/>
        <v>49.42170051735215</v>
      </c>
      <c r="U478" s="346">
        <f t="shared" si="208"/>
        <v>56561.5</v>
      </c>
      <c r="V478" s="346">
        <f t="shared" si="209"/>
        <v>3199203282.25</v>
      </c>
      <c r="X478" s="372">
        <f t="shared" si="203"/>
        <v>23.659880686313279</v>
      </c>
      <c r="Y478" s="373">
        <f t="shared" si="204"/>
        <v>-13.542866578273083</v>
      </c>
      <c r="AA478" s="372">
        <f t="shared" si="205"/>
        <v>13.863225612923953</v>
      </c>
      <c r="AB478" s="373">
        <f t="shared" si="206"/>
        <v>-117.03543290437484</v>
      </c>
      <c r="AD478">
        <f t="shared" si="210"/>
        <v>0</v>
      </c>
      <c r="AE478">
        <f t="shared" si="213"/>
        <v>0</v>
      </c>
    </row>
    <row r="479" spans="1:31" x14ac:dyDescent="0.2">
      <c r="A479" s="374">
        <v>56889</v>
      </c>
      <c r="B479" s="391">
        <f t="shared" si="207"/>
        <v>56.889000000000003</v>
      </c>
      <c r="C479" s="364">
        <f t="shared" si="188"/>
        <v>72.79682915078908</v>
      </c>
      <c r="D479" s="365">
        <f t="shared" si="189"/>
        <v>1.5570590326769163</v>
      </c>
      <c r="E479" s="365">
        <f t="shared" si="190"/>
        <v>1.2096199623128996</v>
      </c>
      <c r="F479" s="366">
        <f t="shared" si="191"/>
        <v>0.59756879959665621</v>
      </c>
      <c r="G479" s="365">
        <f t="shared" si="192"/>
        <v>1</v>
      </c>
      <c r="H479" s="366">
        <f t="shared" si="193"/>
        <v>0</v>
      </c>
      <c r="I479" s="364">
        <f t="shared" si="194"/>
        <v>19313.660666279346</v>
      </c>
      <c r="J479" s="367">
        <f t="shared" si="195"/>
        <v>1.5707445499713453</v>
      </c>
      <c r="K479" s="375">
        <f t="shared" si="211"/>
        <v>11.720438123038228</v>
      </c>
      <c r="L479" s="376">
        <f t="shared" si="212"/>
        <v>1.4853714253211503</v>
      </c>
      <c r="M479" s="364">
        <f t="shared" si="196"/>
        <v>1.0115654239672076</v>
      </c>
      <c r="N479" s="367">
        <f t="shared" si="197"/>
        <v>0.15136080878966426</v>
      </c>
      <c r="O479" s="368">
        <f t="shared" si="198"/>
        <v>1.5879653282694475</v>
      </c>
      <c r="P479" s="369">
        <f t="shared" si="199"/>
        <v>1.084602367481988</v>
      </c>
      <c r="Q479" s="370">
        <f t="shared" si="200"/>
        <v>-14.024847649520449</v>
      </c>
      <c r="R479" s="371">
        <f t="shared" si="201"/>
        <v>-130.68173434909815</v>
      </c>
      <c r="S479" s="373">
        <f t="shared" si="202"/>
        <v>49.31826565090185</v>
      </c>
      <c r="U479" s="346">
        <f t="shared" si="208"/>
        <v>56889</v>
      </c>
      <c r="V479" s="346">
        <f t="shared" si="209"/>
        <v>3236358321</v>
      </c>
      <c r="X479" s="372">
        <f t="shared" si="203"/>
        <v>23.658379796842205</v>
      </c>
      <c r="Y479" s="373">
        <f t="shared" si="204"/>
        <v>-13.563855269133846</v>
      </c>
      <c r="AA479" s="372">
        <f t="shared" si="205"/>
        <v>13.797397908191725</v>
      </c>
      <c r="AB479" s="373">
        <f t="shared" si="206"/>
        <v>-117.1178790799643</v>
      </c>
      <c r="AD479">
        <f t="shared" si="210"/>
        <v>0</v>
      </c>
      <c r="AE479">
        <f t="shared" si="213"/>
        <v>0</v>
      </c>
    </row>
    <row r="480" spans="1:31" x14ac:dyDescent="0.2">
      <c r="A480" s="374">
        <v>57216.5</v>
      </c>
      <c r="B480" s="391">
        <f t="shared" si="207"/>
        <v>57.216500000000003</v>
      </c>
      <c r="C480" s="364">
        <f t="shared" si="188"/>
        <v>73.215828880042366</v>
      </c>
      <c r="D480" s="365">
        <f t="shared" si="189"/>
        <v>1.5571376534014463</v>
      </c>
      <c r="E480" s="365">
        <f t="shared" si="190"/>
        <v>1.2118286598545829</v>
      </c>
      <c r="F480" s="366">
        <f t="shared" si="191"/>
        <v>0.60024161194204018</v>
      </c>
      <c r="G480" s="365">
        <f t="shared" si="192"/>
        <v>1</v>
      </c>
      <c r="H480" s="366">
        <f t="shared" si="193"/>
        <v>0</v>
      </c>
      <c r="I480" s="364">
        <f t="shared" si="194"/>
        <v>19424.846024631541</v>
      </c>
      <c r="J480" s="367">
        <f t="shared" si="195"/>
        <v>1.5707448463353257</v>
      </c>
      <c r="K480" s="375">
        <f t="shared" si="211"/>
        <v>11.787420847907212</v>
      </c>
      <c r="L480" s="376">
        <f t="shared" si="212"/>
        <v>1.4858580315769632</v>
      </c>
      <c r="M480" s="364">
        <f t="shared" si="196"/>
        <v>1.0116981953659641</v>
      </c>
      <c r="N480" s="367">
        <f t="shared" si="197"/>
        <v>0.15221880617833081</v>
      </c>
      <c r="O480" s="368">
        <f t="shared" si="198"/>
        <v>1.5937318939516716</v>
      </c>
      <c r="P480" s="369">
        <f t="shared" si="199"/>
        <v>1.088624647058134</v>
      </c>
      <c r="Q480" s="370">
        <f t="shared" si="200"/>
        <v>-14.091838420621306</v>
      </c>
      <c r="R480" s="371">
        <f t="shared" si="201"/>
        <v>-130.78485388669404</v>
      </c>
      <c r="S480" s="373">
        <f t="shared" si="202"/>
        <v>49.215146113305963</v>
      </c>
      <c r="U480" s="346">
        <f t="shared" si="208"/>
        <v>57216.5</v>
      </c>
      <c r="V480" s="346">
        <f t="shared" si="209"/>
        <v>3273727872.25</v>
      </c>
      <c r="X480" s="372">
        <f t="shared" si="203"/>
        <v>23.656878916694271</v>
      </c>
      <c r="Y480" s="373">
        <f t="shared" si="204"/>
        <v>-13.585151394024553</v>
      </c>
      <c r="AA480" s="372">
        <f t="shared" si="205"/>
        <v>13.731908017238798</v>
      </c>
      <c r="AB480" s="373">
        <f t="shared" si="206"/>
        <v>-117.1997024926695</v>
      </c>
      <c r="AD480">
        <f t="shared" si="210"/>
        <v>0</v>
      </c>
      <c r="AE480">
        <f t="shared" si="213"/>
        <v>0</v>
      </c>
    </row>
    <row r="481" spans="1:31" x14ac:dyDescent="0.2">
      <c r="A481" s="374">
        <v>57544</v>
      </c>
      <c r="B481" s="391">
        <f t="shared" si="207"/>
        <v>57.543999999999997</v>
      </c>
      <c r="C481" s="364">
        <f t="shared" si="188"/>
        <v>73.63482905670827</v>
      </c>
      <c r="D481" s="365">
        <f t="shared" si="189"/>
        <v>1.557215379384171</v>
      </c>
      <c r="E481" s="365">
        <f t="shared" si="190"/>
        <v>1.2140459830744272</v>
      </c>
      <c r="F481" s="366">
        <f t="shared" si="191"/>
        <v>0.60290468005111497</v>
      </c>
      <c r="G481" s="365">
        <f t="shared" si="192"/>
        <v>1</v>
      </c>
      <c r="H481" s="366">
        <f t="shared" si="193"/>
        <v>0</v>
      </c>
      <c r="I481" s="364">
        <f t="shared" si="194"/>
        <v>19536.031382985424</v>
      </c>
      <c r="J481" s="367">
        <f t="shared" si="195"/>
        <v>1.5707451393259151</v>
      </c>
      <c r="K481" s="375">
        <f t="shared" si="211"/>
        <v>11.854406332326047</v>
      </c>
      <c r="L481" s="376">
        <f t="shared" si="212"/>
        <v>1.4863391386308802</v>
      </c>
      <c r="M481" s="364">
        <f t="shared" si="196"/>
        <v>1.0118317113402016</v>
      </c>
      <c r="N481" s="367">
        <f t="shared" si="197"/>
        <v>0.15307657776469827</v>
      </c>
      <c r="O481" s="368">
        <f t="shared" si="198"/>
        <v>1.5995161889576095</v>
      </c>
      <c r="P481" s="369">
        <f t="shared" si="199"/>
        <v>1.0926273521056047</v>
      </c>
      <c r="Q481" s="370">
        <f t="shared" si="200"/>
        <v>-14.158494601672922</v>
      </c>
      <c r="R481" s="371">
        <f t="shared" si="201"/>
        <v>-130.88766087535592</v>
      </c>
      <c r="S481" s="373">
        <f t="shared" si="202"/>
        <v>49.11233912464408</v>
      </c>
      <c r="U481" s="346">
        <f t="shared" si="208"/>
        <v>57544</v>
      </c>
      <c r="V481" s="346">
        <f t="shared" si="209"/>
        <v>3311311936</v>
      </c>
      <c r="X481" s="372">
        <f t="shared" si="203"/>
        <v>23.655377909689562</v>
      </c>
      <c r="Y481" s="373">
        <f t="shared" si="204"/>
        <v>-13.606749469175124</v>
      </c>
      <c r="AA481" s="372">
        <f t="shared" si="205"/>
        <v>13.666752843191892</v>
      </c>
      <c r="AB481" s="373">
        <f t="shared" si="206"/>
        <v>-117.28091140618085</v>
      </c>
      <c r="AD481">
        <f t="shared" si="210"/>
        <v>0</v>
      </c>
      <c r="AE481">
        <f t="shared" si="213"/>
        <v>0</v>
      </c>
    </row>
    <row r="482" spans="1:31" x14ac:dyDescent="0.2">
      <c r="A482" s="374">
        <v>57879</v>
      </c>
      <c r="B482" s="391">
        <f t="shared" si="207"/>
        <v>57.878999999999998</v>
      </c>
      <c r="C482" s="364">
        <f t="shared" si="188"/>
        <v>74.063425112250144</v>
      </c>
      <c r="D482" s="365">
        <f t="shared" si="189"/>
        <v>1.5572939754694948</v>
      </c>
      <c r="E482" s="365">
        <f t="shared" si="190"/>
        <v>1.2163229597509493</v>
      </c>
      <c r="F482" s="366">
        <f t="shared" si="191"/>
        <v>0.60561866922570051</v>
      </c>
      <c r="G482" s="365">
        <f t="shared" si="192"/>
        <v>1</v>
      </c>
      <c r="H482" s="366">
        <f t="shared" si="193"/>
        <v>0</v>
      </c>
      <c r="I482" s="364">
        <f t="shared" si="194"/>
        <v>19649.762970921645</v>
      </c>
      <c r="J482" s="367">
        <f t="shared" si="195"/>
        <v>1.5707454355957553</v>
      </c>
      <c r="K482" s="375">
        <f t="shared" si="211"/>
        <v>11.922928642050774</v>
      </c>
      <c r="L482" s="376">
        <f t="shared" si="212"/>
        <v>1.4868256702528355</v>
      </c>
      <c r="M482" s="364">
        <f t="shared" si="196"/>
        <v>1.0119690549726665</v>
      </c>
      <c r="N482" s="367">
        <f t="shared" si="197"/>
        <v>0.15395375813464338</v>
      </c>
      <c r="O482" s="368">
        <f t="shared" si="198"/>
        <v>1.6054511917652952</v>
      </c>
      <c r="P482" s="369">
        <f t="shared" si="199"/>
        <v>1.0967016192806494</v>
      </c>
      <c r="Q482" s="370">
        <f t="shared" si="200"/>
        <v>-14.226334411111171</v>
      </c>
      <c r="R482" s="371">
        <f t="shared" si="201"/>
        <v>-130.99250178738524</v>
      </c>
      <c r="S482" s="373">
        <f t="shared" si="202"/>
        <v>49.007498212614763</v>
      </c>
      <c r="U482" s="346">
        <f t="shared" si="208"/>
        <v>57879</v>
      </c>
      <c r="V482" s="346">
        <f t="shared" si="209"/>
        <v>3349978641</v>
      </c>
      <c r="X482" s="372">
        <f t="shared" si="203"/>
        <v>23.653842259433443</v>
      </c>
      <c r="Y482" s="373">
        <f t="shared" si="204"/>
        <v>-13.629148968744037</v>
      </c>
      <c r="AA482" s="372">
        <f t="shared" si="205"/>
        <v>13.600448684009763</v>
      </c>
      <c r="AB482" s="373">
        <f t="shared" si="206"/>
        <v>-117.36335281864116</v>
      </c>
      <c r="AD482">
        <f t="shared" si="210"/>
        <v>0</v>
      </c>
      <c r="AE482">
        <f t="shared" si="213"/>
        <v>0</v>
      </c>
    </row>
    <row r="483" spans="1:31" x14ac:dyDescent="0.2">
      <c r="A483" s="374">
        <v>58214</v>
      </c>
      <c r="B483" s="391">
        <f t="shared" si="207"/>
        <v>58.213999999999999</v>
      </c>
      <c r="C483" s="364">
        <f t="shared" si="188"/>
        <v>74.492021620042593</v>
      </c>
      <c r="D483" s="365">
        <f t="shared" si="189"/>
        <v>1.5573716671360831</v>
      </c>
      <c r="E483" s="365">
        <f t="shared" si="190"/>
        <v>1.2186088620240774</v>
      </c>
      <c r="F483" s="366">
        <f t="shared" si="191"/>
        <v>0.60832249629274326</v>
      </c>
      <c r="G483" s="365">
        <f t="shared" si="192"/>
        <v>1</v>
      </c>
      <c r="H483" s="366">
        <f t="shared" si="193"/>
        <v>0</v>
      </c>
      <c r="I483" s="364">
        <f t="shared" si="194"/>
        <v>19763.494558859577</v>
      </c>
      <c r="J483" s="367">
        <f t="shared" si="195"/>
        <v>1.5707457284557493</v>
      </c>
      <c r="K483" s="375">
        <f t="shared" si="211"/>
        <v>11.991453741832682</v>
      </c>
      <c r="L483" s="376">
        <f t="shared" si="212"/>
        <v>1.4873066414227358</v>
      </c>
      <c r="M483" s="364">
        <f t="shared" si="196"/>
        <v>1.0121071770483896</v>
      </c>
      <c r="N483" s="367">
        <f t="shared" si="197"/>
        <v>0.15483069976191452</v>
      </c>
      <c r="O483" s="368">
        <f t="shared" si="198"/>
        <v>1.6114045437109461</v>
      </c>
      <c r="P483" s="369">
        <f t="shared" si="199"/>
        <v>1.1007557072045184</v>
      </c>
      <c r="Q483" s="370">
        <f t="shared" si="200"/>
        <v>-14.29383082731942</v>
      </c>
      <c r="R483" s="371">
        <f t="shared" si="201"/>
        <v>-131.09702165610221</v>
      </c>
      <c r="S483" s="373">
        <f t="shared" si="202"/>
        <v>48.902978343897786</v>
      </c>
      <c r="U483" s="346">
        <f t="shared" si="208"/>
        <v>58214</v>
      </c>
      <c r="V483" s="346">
        <f t="shared" si="209"/>
        <v>3388869796</v>
      </c>
      <c r="X483" s="372">
        <f t="shared" si="203"/>
        <v>23.652306200804919</v>
      </c>
      <c r="Y483" s="373">
        <f t="shared" si="204"/>
        <v>-13.651853184430841</v>
      </c>
      <c r="AA483" s="372">
        <f t="shared" si="205"/>
        <v>13.534488326430036</v>
      </c>
      <c r="AB483" s="373">
        <f t="shared" si="206"/>
        <v>-117.44516847167135</v>
      </c>
      <c r="AD483">
        <f t="shared" si="210"/>
        <v>0</v>
      </c>
      <c r="AE483">
        <f t="shared" si="213"/>
        <v>0</v>
      </c>
    </row>
    <row r="484" spans="1:31" x14ac:dyDescent="0.2">
      <c r="A484" s="374">
        <v>58549</v>
      </c>
      <c r="B484" s="391">
        <f t="shared" si="207"/>
        <v>58.548999999999999</v>
      </c>
      <c r="C484" s="364">
        <f t="shared" si="188"/>
        <v>74.920618572324088</v>
      </c>
      <c r="D484" s="365">
        <f t="shared" si="189"/>
        <v>1.5574484699046629</v>
      </c>
      <c r="E484" s="365">
        <f t="shared" si="190"/>
        <v>1.220903639759533</v>
      </c>
      <c r="F484" s="366">
        <f t="shared" si="191"/>
        <v>0.61101617890923177</v>
      </c>
      <c r="G484" s="365">
        <f t="shared" si="192"/>
        <v>1</v>
      </c>
      <c r="H484" s="366">
        <f t="shared" si="193"/>
        <v>0</v>
      </c>
      <c r="I484" s="364">
        <f t="shared" si="194"/>
        <v>19877.226146799178</v>
      </c>
      <c r="J484" s="367">
        <f t="shared" si="195"/>
        <v>1.5707460179644273</v>
      </c>
      <c r="K484" s="375">
        <f t="shared" si="211"/>
        <v>12.059981584112263</v>
      </c>
      <c r="L484" s="376">
        <f t="shared" si="212"/>
        <v>1.4877821467037855</v>
      </c>
      <c r="M484" s="364">
        <f t="shared" si="196"/>
        <v>1.0122460772487127</v>
      </c>
      <c r="N484" s="367">
        <f t="shared" si="197"/>
        <v>0.15570740139573616</v>
      </c>
      <c r="O484" s="368">
        <f t="shared" si="198"/>
        <v>1.6173761450705606</v>
      </c>
      <c r="P484" s="369">
        <f t="shared" si="199"/>
        <v>1.1047897673662941</v>
      </c>
      <c r="Q484" s="370">
        <f t="shared" si="200"/>
        <v>-14.360987164770233</v>
      </c>
      <c r="R484" s="371">
        <f t="shared" si="201"/>
        <v>-131.20122355241008</v>
      </c>
      <c r="S484" s="373">
        <f t="shared" si="202"/>
        <v>48.798776447589916</v>
      </c>
      <c r="U484" s="346">
        <f t="shared" si="208"/>
        <v>58549</v>
      </c>
      <c r="V484" s="346">
        <f t="shared" si="209"/>
        <v>3427985401</v>
      </c>
      <c r="X484" s="372">
        <f t="shared" si="203"/>
        <v>23.650769600544269</v>
      </c>
      <c r="Y484" s="373">
        <f t="shared" si="204"/>
        <v>-13.674856629852389</v>
      </c>
      <c r="AA484" s="372">
        <f t="shared" si="205"/>
        <v>13.468868589239875</v>
      </c>
      <c r="AB484" s="373">
        <f t="shared" si="206"/>
        <v>-117.52636692255774</v>
      </c>
      <c r="AD484">
        <f t="shared" si="210"/>
        <v>0</v>
      </c>
      <c r="AE484">
        <f t="shared" si="213"/>
        <v>0</v>
      </c>
    </row>
    <row r="485" spans="1:31" x14ac:dyDescent="0.2">
      <c r="A485" s="374">
        <v>58884</v>
      </c>
      <c r="B485" s="391">
        <f t="shared" si="207"/>
        <v>58.884</v>
      </c>
      <c r="C485" s="364">
        <f t="shared" si="188"/>
        <v>75.349215961509714</v>
      </c>
      <c r="D485" s="365">
        <f t="shared" si="189"/>
        <v>1.5575243989428673</v>
      </c>
      <c r="E485" s="365">
        <f t="shared" si="190"/>
        <v>1.2232072430053238</v>
      </c>
      <c r="F485" s="366">
        <f t="shared" si="191"/>
        <v>0.61369973518876964</v>
      </c>
      <c r="G485" s="365">
        <f t="shared" si="192"/>
        <v>1</v>
      </c>
      <c r="H485" s="366">
        <f t="shared" si="193"/>
        <v>0</v>
      </c>
      <c r="I485" s="364">
        <f t="shared" si="194"/>
        <v>19990.957734740427</v>
      </c>
      <c r="J485" s="367">
        <f t="shared" si="195"/>
        <v>1.5707463041789878</v>
      </c>
      <c r="K485" s="375">
        <f t="shared" si="211"/>
        <v>12.128512122402991</v>
      </c>
      <c r="L485" s="376">
        <f t="shared" si="212"/>
        <v>1.4882522785319381</v>
      </c>
      <c r="M485" s="364">
        <f t="shared" si="196"/>
        <v>1.0123857552533577</v>
      </c>
      <c r="N485" s="367">
        <f t="shared" si="197"/>
        <v>0.15658386178749301</v>
      </c>
      <c r="O485" s="368">
        <f t="shared" si="198"/>
        <v>1.6233658975614349</v>
      </c>
      <c r="P485" s="369">
        <f t="shared" si="199"/>
        <v>1.1088039503877636</v>
      </c>
      <c r="Q485" s="370">
        <f t="shared" si="200"/>
        <v>-14.427806691035507</v>
      </c>
      <c r="R485" s="371">
        <f t="shared" si="201"/>
        <v>-131.30511057305685</v>
      </c>
      <c r="S485" s="373">
        <f t="shared" si="202"/>
        <v>48.694889426943149</v>
      </c>
      <c r="U485" s="346">
        <f t="shared" si="208"/>
        <v>58884</v>
      </c>
      <c r="V485" s="346">
        <f t="shared" si="209"/>
        <v>3467325456</v>
      </c>
      <c r="X485" s="372">
        <f t="shared" si="203"/>
        <v>23.649232329324899</v>
      </c>
      <c r="Y485" s="373">
        <f t="shared" si="204"/>
        <v>-13.698153940555496</v>
      </c>
      <c r="AA485" s="372">
        <f t="shared" si="205"/>
        <v>13.403586334193969</v>
      </c>
      <c r="AB485" s="373">
        <f t="shared" si="206"/>
        <v>-117.60695663250135</v>
      </c>
      <c r="AD485">
        <f t="shared" si="210"/>
        <v>0</v>
      </c>
      <c r="AE485">
        <f t="shared" si="213"/>
        <v>0</v>
      </c>
    </row>
    <row r="486" spans="1:31" x14ac:dyDescent="0.2">
      <c r="A486" s="374">
        <v>59227</v>
      </c>
      <c r="B486" s="391">
        <f t="shared" si="207"/>
        <v>59.226999999999997</v>
      </c>
      <c r="C486" s="364">
        <f t="shared" si="188"/>
        <v>75.788048957165984</v>
      </c>
      <c r="D486" s="365">
        <f t="shared" si="189"/>
        <v>1.5576012514144713</v>
      </c>
      <c r="E486" s="365">
        <f t="shared" si="190"/>
        <v>1.2255749498624164</v>
      </c>
      <c r="F486" s="366">
        <f t="shared" si="191"/>
        <v>0.61643690382260274</v>
      </c>
      <c r="G486" s="365">
        <f t="shared" si="192"/>
        <v>1</v>
      </c>
      <c r="H486" s="366">
        <f t="shared" si="193"/>
        <v>0</v>
      </c>
      <c r="I486" s="364">
        <f t="shared" si="194"/>
        <v>20107.405300902847</v>
      </c>
      <c r="J486" s="367">
        <f t="shared" si="195"/>
        <v>1.5707465938738436</v>
      </c>
      <c r="K486" s="375">
        <f t="shared" si="211"/>
        <v>12.198681956762485</v>
      </c>
      <c r="L486" s="376">
        <f t="shared" si="212"/>
        <v>1.4887281642854335</v>
      </c>
      <c r="M486" s="364">
        <f t="shared" si="196"/>
        <v>1.0125295744037155</v>
      </c>
      <c r="N486" s="367">
        <f t="shared" si="197"/>
        <v>0.15748100132258863</v>
      </c>
      <c r="O486" s="368">
        <f t="shared" si="198"/>
        <v>1.6295173942704617</v>
      </c>
      <c r="P486" s="369">
        <f t="shared" si="199"/>
        <v>1.1128935560498399</v>
      </c>
      <c r="Q486" s="370">
        <f t="shared" si="200"/>
        <v>-14.495876299740726</v>
      </c>
      <c r="R486" s="371">
        <f t="shared" si="201"/>
        <v>-131.41115549130382</v>
      </c>
      <c r="S486" s="373">
        <f t="shared" si="202"/>
        <v>48.588844508696184</v>
      </c>
      <c r="U486" s="346">
        <f t="shared" si="208"/>
        <v>59227</v>
      </c>
      <c r="V486" s="346">
        <f t="shared" si="209"/>
        <v>3507837529</v>
      </c>
      <c r="X486" s="372">
        <f t="shared" si="203"/>
        <v>23.647657520897553</v>
      </c>
      <c r="Y486" s="373">
        <f t="shared" si="204"/>
        <v>-13.7223066026653</v>
      </c>
      <c r="AA486" s="372">
        <f t="shared" si="205"/>
        <v>13.337091533916096</v>
      </c>
      <c r="AB486" s="373">
        <f t="shared" si="206"/>
        <v>-117.68884888863853</v>
      </c>
      <c r="AD486">
        <f t="shared" si="210"/>
        <v>0</v>
      </c>
      <c r="AE486">
        <f t="shared" si="213"/>
        <v>0</v>
      </c>
    </row>
    <row r="487" spans="1:31" x14ac:dyDescent="0.2">
      <c r="A487" s="374">
        <v>59570</v>
      </c>
      <c r="B487" s="391">
        <f t="shared" si="207"/>
        <v>59.57</v>
      </c>
      <c r="C487" s="364">
        <f t="shared" si="188"/>
        <v>76.226882395295476</v>
      </c>
      <c r="D487" s="365">
        <f t="shared" si="189"/>
        <v>1.5576772190166868</v>
      </c>
      <c r="E487" s="365">
        <f t="shared" si="190"/>
        <v>1.227951803390422</v>
      </c>
      <c r="F487" s="366">
        <f t="shared" si="191"/>
        <v>0.61916349655754777</v>
      </c>
      <c r="G487" s="365">
        <f t="shared" si="192"/>
        <v>1</v>
      </c>
      <c r="H487" s="366">
        <f t="shared" si="193"/>
        <v>0</v>
      </c>
      <c r="I487" s="364">
        <f t="shared" si="194"/>
        <v>20223.852867066933</v>
      </c>
      <c r="J487" s="367">
        <f t="shared" si="195"/>
        <v>1.570746880232613</v>
      </c>
      <c r="K487" s="375">
        <f t="shared" si="211"/>
        <v>12.268854522123018</v>
      </c>
      <c r="L487" s="376">
        <f t="shared" si="212"/>
        <v>1.4891986064212321</v>
      </c>
      <c r="M487" s="364">
        <f t="shared" si="196"/>
        <v>1.0126742082661058</v>
      </c>
      <c r="N487" s="367">
        <f t="shared" si="197"/>
        <v>0.15837788531382915</v>
      </c>
      <c r="O487" s="368">
        <f t="shared" si="198"/>
        <v>1.6356877154185885</v>
      </c>
      <c r="P487" s="369">
        <f t="shared" si="199"/>
        <v>1.1169626406172393</v>
      </c>
      <c r="Q487" s="370">
        <f t="shared" si="200"/>
        <v>-14.563599605432385</v>
      </c>
      <c r="R487" s="371">
        <f t="shared" si="201"/>
        <v>-131.51687695611523</v>
      </c>
      <c r="S487" s="373">
        <f t="shared" si="202"/>
        <v>48.483123043884774</v>
      </c>
      <c r="U487" s="346">
        <f t="shared" si="208"/>
        <v>59570</v>
      </c>
      <c r="V487" s="346">
        <f t="shared" si="209"/>
        <v>3548584900</v>
      </c>
      <c r="X487" s="372">
        <f t="shared" si="203"/>
        <v>23.646081746764047</v>
      </c>
      <c r="Y487" s="373">
        <f t="shared" si="204"/>
        <v>-13.746756328366693</v>
      </c>
      <c r="AA487" s="372">
        <f t="shared" si="205"/>
        <v>13.270944002357947</v>
      </c>
      <c r="AB487" s="373">
        <f t="shared" si="206"/>
        <v>-117.77012062774847</v>
      </c>
      <c r="AD487">
        <f t="shared" si="210"/>
        <v>0</v>
      </c>
      <c r="AE487">
        <f t="shared" si="213"/>
        <v>0</v>
      </c>
    </row>
    <row r="488" spans="1:31" x14ac:dyDescent="0.2">
      <c r="A488" s="374">
        <v>59913</v>
      </c>
      <c r="B488" s="391">
        <f t="shared" si="207"/>
        <v>59.912999999999997</v>
      </c>
      <c r="C488" s="364">
        <f t="shared" si="188"/>
        <v>76.665716268300045</v>
      </c>
      <c r="D488" s="365">
        <f t="shared" si="189"/>
        <v>1.5577523169435825</v>
      </c>
      <c r="E488" s="365">
        <f t="shared" si="190"/>
        <v>1.2303377505787834</v>
      </c>
      <c r="F488" s="366">
        <f t="shared" si="191"/>
        <v>0.6218795342641521</v>
      </c>
      <c r="G488" s="365">
        <f t="shared" si="192"/>
        <v>1</v>
      </c>
      <c r="H488" s="366">
        <f t="shared" si="193"/>
        <v>0</v>
      </c>
      <c r="I488" s="364">
        <f t="shared" si="194"/>
        <v>20340.30043323266</v>
      </c>
      <c r="J488" s="367">
        <f t="shared" si="195"/>
        <v>1.5707471633125929</v>
      </c>
      <c r="K488" s="375">
        <f t="shared" si="211"/>
        <v>12.339029771890647</v>
      </c>
      <c r="L488" s="376">
        <f t="shared" si="212"/>
        <v>1.4896636976070849</v>
      </c>
      <c r="M488" s="364">
        <f t="shared" si="196"/>
        <v>1.0128196564914982</v>
      </c>
      <c r="N488" s="367">
        <f t="shared" si="197"/>
        <v>0.15927451242809385</v>
      </c>
      <c r="O488" s="368">
        <f t="shared" si="198"/>
        <v>1.6418767601076396</v>
      </c>
      <c r="P488" s="369">
        <f t="shared" si="199"/>
        <v>1.1210113628606202</v>
      </c>
      <c r="Q488" s="370">
        <f t="shared" si="200"/>
        <v>-14.630979969507116</v>
      </c>
      <c r="R488" s="371">
        <f t="shared" si="201"/>
        <v>-131.62227835657094</v>
      </c>
      <c r="S488" s="373">
        <f t="shared" si="202"/>
        <v>48.377721643429055</v>
      </c>
      <c r="U488" s="346">
        <f t="shared" si="208"/>
        <v>59913</v>
      </c>
      <c r="V488" s="346">
        <f t="shared" si="209"/>
        <v>3589567569</v>
      </c>
      <c r="X488" s="372">
        <f t="shared" si="203"/>
        <v>23.644504880084583</v>
      </c>
      <c r="Y488" s="373">
        <f t="shared" si="204"/>
        <v>-13.771497735089342</v>
      </c>
      <c r="AA488" s="372">
        <f t="shared" si="205"/>
        <v>13.20514050496268</v>
      </c>
      <c r="AB488" s="373">
        <f t="shared" si="206"/>
        <v>-117.8507806214816</v>
      </c>
      <c r="AD488">
        <f t="shared" si="210"/>
        <v>0</v>
      </c>
      <c r="AE488">
        <f t="shared" si="213"/>
        <v>0</v>
      </c>
    </row>
    <row r="489" spans="1:31" x14ac:dyDescent="0.2">
      <c r="A489" s="374">
        <v>60256</v>
      </c>
      <c r="B489" s="391">
        <f t="shared" si="207"/>
        <v>60.256</v>
      </c>
      <c r="C489" s="364">
        <f t="shared" si="188"/>
        <v>77.104550568754547</v>
      </c>
      <c r="D489" s="365">
        <f t="shared" si="189"/>
        <v>1.5578265600433643</v>
      </c>
      <c r="E489" s="365">
        <f t="shared" si="190"/>
        <v>1.2327327386253186</v>
      </c>
      <c r="F489" s="366">
        <f t="shared" si="191"/>
        <v>0.62458503827459622</v>
      </c>
      <c r="G489" s="365">
        <f t="shared" si="192"/>
        <v>1</v>
      </c>
      <c r="H489" s="366">
        <f t="shared" si="193"/>
        <v>0</v>
      </c>
      <c r="I489" s="364">
        <f t="shared" si="194"/>
        <v>20456.747999399995</v>
      </c>
      <c r="J489" s="367">
        <f t="shared" si="195"/>
        <v>1.5707474431697757</v>
      </c>
      <c r="K489" s="375">
        <f t="shared" si="211"/>
        <v>12.409207660523643</v>
      </c>
      <c r="L489" s="376">
        <f t="shared" si="212"/>
        <v>1.4901235284238643</v>
      </c>
      <c r="M489" s="364">
        <f t="shared" si="196"/>
        <v>1.0129659187290985</v>
      </c>
      <c r="N489" s="367">
        <f t="shared" si="197"/>
        <v>0.16017088133467763</v>
      </c>
      <c r="O489" s="368">
        <f t="shared" si="198"/>
        <v>1.6480844289550882</v>
      </c>
      <c r="P489" s="369">
        <f t="shared" si="199"/>
        <v>1.1250398805491308</v>
      </c>
      <c r="Q489" s="370">
        <f t="shared" si="200"/>
        <v>-14.69802070636705</v>
      </c>
      <c r="R489" s="371">
        <f t="shared" si="201"/>
        <v>-131.72736309773578</v>
      </c>
      <c r="S489" s="373">
        <f t="shared" si="202"/>
        <v>48.272636902264225</v>
      </c>
      <c r="U489" s="346">
        <f t="shared" si="208"/>
        <v>60256</v>
      </c>
      <c r="V489" s="346">
        <f t="shared" si="209"/>
        <v>3630785536</v>
      </c>
      <c r="X489" s="372">
        <f t="shared" si="203"/>
        <v>23.642926797791596</v>
      </c>
      <c r="Y489" s="373">
        <f t="shared" si="204"/>
        <v>-13.796525559895873</v>
      </c>
      <c r="AA489" s="372">
        <f t="shared" si="205"/>
        <v>13.13967785039573</v>
      </c>
      <c r="AB489" s="373">
        <f t="shared" si="206"/>
        <v>-117.93083753783985</v>
      </c>
      <c r="AD489">
        <f t="shared" si="210"/>
        <v>0</v>
      </c>
      <c r="AE489">
        <f t="shared" si="213"/>
        <v>0</v>
      </c>
    </row>
    <row r="490" spans="1:31" x14ac:dyDescent="0.2">
      <c r="A490" s="374">
        <v>60607</v>
      </c>
      <c r="B490" s="391">
        <f t="shared" si="207"/>
        <v>60.606999999999999</v>
      </c>
      <c r="C490" s="364">
        <f t="shared" si="188"/>
        <v>77.553620506502341</v>
      </c>
      <c r="D490" s="365">
        <f t="shared" si="189"/>
        <v>1.5579016649331143</v>
      </c>
      <c r="E490" s="365">
        <f t="shared" si="190"/>
        <v>1.2351928911986503</v>
      </c>
      <c r="F490" s="366">
        <f t="shared" si="191"/>
        <v>0.62734276206224582</v>
      </c>
      <c r="G490" s="365">
        <f t="shared" si="192"/>
        <v>1</v>
      </c>
      <c r="H490" s="366">
        <f t="shared" si="193"/>
        <v>0</v>
      </c>
      <c r="I490" s="364">
        <f t="shared" si="194"/>
        <v>20575.911543788621</v>
      </c>
      <c r="J490" s="367">
        <f t="shared" si="195"/>
        <v>1.5707477262749019</v>
      </c>
      <c r="K490" s="375">
        <f t="shared" si="211"/>
        <v>12.481025036687956</v>
      </c>
      <c r="L490" s="376">
        <f t="shared" si="212"/>
        <v>1.4905887306966177</v>
      </c>
      <c r="M490" s="364">
        <f t="shared" si="196"/>
        <v>1.0131164346751842</v>
      </c>
      <c r="N490" s="367">
        <f t="shared" si="197"/>
        <v>0.16108788810747646</v>
      </c>
      <c r="O490" s="368">
        <f t="shared" si="198"/>
        <v>1.6544560617659689</v>
      </c>
      <c r="P490" s="369">
        <f t="shared" si="199"/>
        <v>1.1291416044583096</v>
      </c>
      <c r="Q490" s="370">
        <f t="shared" si="200"/>
        <v>-14.766276883713678</v>
      </c>
      <c r="R490" s="371">
        <f t="shared" si="201"/>
        <v>-131.83457453743694</v>
      </c>
      <c r="S490" s="373">
        <f t="shared" si="202"/>
        <v>48.165425462563064</v>
      </c>
      <c r="U490" s="346">
        <f t="shared" si="208"/>
        <v>60607</v>
      </c>
      <c r="V490" s="346">
        <f t="shared" si="209"/>
        <v>3673208449</v>
      </c>
      <c r="X490" s="372">
        <f t="shared" si="203"/>
        <v>23.641310525870267</v>
      </c>
      <c r="Y490" s="373">
        <f t="shared" si="204"/>
        <v>-13.822428271671985</v>
      </c>
      <c r="AA490" s="372">
        <f t="shared" si="205"/>
        <v>13.073037944970435</v>
      </c>
      <c r="AB490" s="373">
        <f t="shared" si="206"/>
        <v>-118.01214626576491</v>
      </c>
      <c r="AD490">
        <f t="shared" si="210"/>
        <v>0</v>
      </c>
      <c r="AE490">
        <f t="shared" si="213"/>
        <v>0</v>
      </c>
    </row>
    <row r="491" spans="1:31" x14ac:dyDescent="0.2">
      <c r="A491" s="374">
        <v>60958</v>
      </c>
      <c r="B491" s="391">
        <f t="shared" si="207"/>
        <v>60.957999999999998</v>
      </c>
      <c r="C491" s="364">
        <f t="shared" si="188"/>
        <v>78.002690876673299</v>
      </c>
      <c r="D491" s="365">
        <f t="shared" si="189"/>
        <v>1.5579759050484807</v>
      </c>
      <c r="E491" s="365">
        <f t="shared" si="190"/>
        <v>1.2376624000778964</v>
      </c>
      <c r="F491" s="366">
        <f t="shared" si="191"/>
        <v>0.63008950169225342</v>
      </c>
      <c r="G491" s="365">
        <f t="shared" si="192"/>
        <v>1</v>
      </c>
      <c r="H491" s="366">
        <f t="shared" si="193"/>
        <v>0</v>
      </c>
      <c r="I491" s="364">
        <f t="shared" si="194"/>
        <v>20695.075088178874</v>
      </c>
      <c r="J491" s="367">
        <f t="shared" si="195"/>
        <v>1.5707480061197538</v>
      </c>
      <c r="K491" s="375">
        <f t="shared" si="211"/>
        <v>12.55284508300333</v>
      </c>
      <c r="L491" s="376">
        <f t="shared" si="212"/>
        <v>1.4910486098366722</v>
      </c>
      <c r="M491" s="364">
        <f t="shared" si="196"/>
        <v>1.013267802298802</v>
      </c>
      <c r="N491" s="367">
        <f t="shared" si="197"/>
        <v>0.16200462167574339</v>
      </c>
      <c r="O491" s="368">
        <f t="shared" si="198"/>
        <v>1.6608469918466824</v>
      </c>
      <c r="P491" s="369">
        <f t="shared" si="199"/>
        <v>1.1332225013621913</v>
      </c>
      <c r="Q491" s="370">
        <f t="shared" si="200"/>
        <v>-14.834184282797626</v>
      </c>
      <c r="R491" s="371">
        <f t="shared" si="201"/>
        <v>-131.94146162835713</v>
      </c>
      <c r="S491" s="373">
        <f t="shared" si="202"/>
        <v>48.058538371642868</v>
      </c>
      <c r="U491" s="346">
        <f t="shared" si="208"/>
        <v>60958</v>
      </c>
      <c r="V491" s="346">
        <f t="shared" si="209"/>
        <v>3715877764</v>
      </c>
      <c r="X491" s="372">
        <f t="shared" si="203"/>
        <v>23.639692731773415</v>
      </c>
      <c r="Y491" s="373">
        <f t="shared" si="204"/>
        <v>-13.848620136219283</v>
      </c>
      <c r="AA491" s="372">
        <f t="shared" si="205"/>
        <v>13.006748339983334</v>
      </c>
      <c r="AB491" s="373">
        <f t="shared" si="206"/>
        <v>-118.09284149213786</v>
      </c>
      <c r="AD491">
        <f t="shared" si="210"/>
        <v>0</v>
      </c>
      <c r="AE491">
        <f t="shared" si="213"/>
        <v>0</v>
      </c>
    </row>
    <row r="492" spans="1:31" x14ac:dyDescent="0.2">
      <c r="A492" s="374">
        <v>61309</v>
      </c>
      <c r="B492" s="391">
        <f t="shared" si="207"/>
        <v>61.308999999999997</v>
      </c>
      <c r="C492" s="364">
        <f t="shared" si="188"/>
        <v>78.451761671841595</v>
      </c>
      <c r="D492" s="365">
        <f t="shared" si="189"/>
        <v>1.5580492952389704</v>
      </c>
      <c r="E492" s="365">
        <f t="shared" si="190"/>
        <v>1.2401412093690671</v>
      </c>
      <c r="F492" s="366">
        <f t="shared" si="191"/>
        <v>0.63282528146100092</v>
      </c>
      <c r="G492" s="365">
        <f t="shared" si="192"/>
        <v>1</v>
      </c>
      <c r="H492" s="366">
        <f t="shared" si="193"/>
        <v>0</v>
      </c>
      <c r="I492" s="364">
        <f t="shared" si="194"/>
        <v>20814.238632570734</v>
      </c>
      <c r="J492" s="367">
        <f t="shared" si="195"/>
        <v>1.5707482827603279</v>
      </c>
      <c r="K492" s="375">
        <f t="shared" si="211"/>
        <v>12.624667753899363</v>
      </c>
      <c r="L492" s="376">
        <f t="shared" si="212"/>
        <v>1.4915032564989195</v>
      </c>
      <c r="M492" s="364">
        <f t="shared" si="196"/>
        <v>1.0134200212183235</v>
      </c>
      <c r="N492" s="367">
        <f t="shared" si="197"/>
        <v>0.16292108062139868</v>
      </c>
      <c r="O492" s="368">
        <f t="shared" si="198"/>
        <v>1.6672571175145823</v>
      </c>
      <c r="P492" s="369">
        <f t="shared" si="199"/>
        <v>1.1372827370075045</v>
      </c>
      <c r="Q492" s="370">
        <f t="shared" si="200"/>
        <v>-14.901746309322807</v>
      </c>
      <c r="R492" s="371">
        <f t="shared" si="201"/>
        <v>-132.04802805363403</v>
      </c>
      <c r="S492" s="373">
        <f t="shared" si="202"/>
        <v>47.951971946365973</v>
      </c>
      <c r="U492" s="346">
        <f t="shared" si="208"/>
        <v>61309</v>
      </c>
      <c r="V492" s="346">
        <f t="shared" si="209"/>
        <v>3758793481</v>
      </c>
      <c r="X492" s="372">
        <f t="shared" si="203"/>
        <v>23.638073295083153</v>
      </c>
      <c r="Y492" s="373">
        <f t="shared" si="204"/>
        <v>-13.875095881353454</v>
      </c>
      <c r="AA492" s="372">
        <f t="shared" si="205"/>
        <v>12.940805750148414</v>
      </c>
      <c r="AB492" s="373">
        <f t="shared" si="206"/>
        <v>-118.17293217228058</v>
      </c>
      <c r="AD492">
        <f t="shared" si="210"/>
        <v>0</v>
      </c>
      <c r="AE492">
        <f t="shared" si="213"/>
        <v>0</v>
      </c>
    </row>
    <row r="493" spans="1:31" x14ac:dyDescent="0.2">
      <c r="A493" s="374">
        <v>61660</v>
      </c>
      <c r="B493" s="391">
        <f t="shared" si="207"/>
        <v>61.66</v>
      </c>
      <c r="C493" s="364">
        <f t="shared" si="188"/>
        <v>78.900832884750557</v>
      </c>
      <c r="D493" s="365">
        <f t="shared" si="189"/>
        <v>1.558121850016059</v>
      </c>
      <c r="E493" s="365">
        <f t="shared" si="190"/>
        <v>1.2426292634144995</v>
      </c>
      <c r="F493" s="366">
        <f t="shared" si="191"/>
        <v>0.63555012612760009</v>
      </c>
      <c r="G493" s="365">
        <f t="shared" si="192"/>
        <v>1</v>
      </c>
      <c r="H493" s="366">
        <f t="shared" si="193"/>
        <v>0</v>
      </c>
      <c r="I493" s="364">
        <f t="shared" si="194"/>
        <v>20933.402176964162</v>
      </c>
      <c r="J493" s="367">
        <f t="shared" si="195"/>
        <v>1.5707485562513448</v>
      </c>
      <c r="K493" s="375">
        <f t="shared" si="211"/>
        <v>12.696493004835164</v>
      </c>
      <c r="L493" s="376">
        <f t="shared" si="212"/>
        <v>1.4919527592956443</v>
      </c>
      <c r="M493" s="364">
        <f t="shared" si="196"/>
        <v>1.013573091050205</v>
      </c>
      <c r="N493" s="367">
        <f t="shared" si="197"/>
        <v>0.16383726352905736</v>
      </c>
      <c r="O493" s="368">
        <f t="shared" si="198"/>
        <v>1.6736863386735876</v>
      </c>
      <c r="P493" s="369">
        <f t="shared" si="199"/>
        <v>1.1413224760022771</v>
      </c>
      <c r="Q493" s="370">
        <f t="shared" si="200"/>
        <v>-14.968966321913779</v>
      </c>
      <c r="R493" s="371">
        <f t="shared" si="201"/>
        <v>-132.15427750239638</v>
      </c>
      <c r="S493" s="373">
        <f t="shared" si="202"/>
        <v>47.845722497603617</v>
      </c>
      <c r="U493" s="346">
        <f t="shared" si="208"/>
        <v>61660</v>
      </c>
      <c r="V493" s="346">
        <f t="shared" si="209"/>
        <v>3801955600</v>
      </c>
      <c r="X493" s="372">
        <f t="shared" si="203"/>
        <v>23.636452098991679</v>
      </c>
      <c r="Y493" s="373">
        <f t="shared" si="204"/>
        <v>-13.901850352004239</v>
      </c>
      <c r="AA493" s="372">
        <f t="shared" si="205"/>
        <v>12.875206933648917</v>
      </c>
      <c r="AB493" s="373">
        <f t="shared" si="206"/>
        <v>-118.25242715039215</v>
      </c>
      <c r="AD493">
        <f t="shared" si="210"/>
        <v>0</v>
      </c>
      <c r="AE493">
        <f t="shared" si="213"/>
        <v>0</v>
      </c>
    </row>
    <row r="494" spans="1:31" x14ac:dyDescent="0.2">
      <c r="A494" s="374">
        <v>62019</v>
      </c>
      <c r="B494" s="391">
        <f t="shared" si="207"/>
        <v>62.018999999999998</v>
      </c>
      <c r="C494" s="364">
        <f t="shared" si="188"/>
        <v>79.360139763718678</v>
      </c>
      <c r="D494" s="365">
        <f t="shared" si="189"/>
        <v>1.5581952090528866</v>
      </c>
      <c r="E494" s="365">
        <f t="shared" si="190"/>
        <v>1.2451835306971484</v>
      </c>
      <c r="F494" s="366">
        <f t="shared" si="191"/>
        <v>0.63832579000423173</v>
      </c>
      <c r="G494" s="365">
        <f t="shared" si="192"/>
        <v>1</v>
      </c>
      <c r="H494" s="366">
        <f t="shared" si="193"/>
        <v>0</v>
      </c>
      <c r="I494" s="364">
        <f t="shared" si="194"/>
        <v>21055.281699578991</v>
      </c>
      <c r="J494" s="367">
        <f t="shared" si="195"/>
        <v>1.5707488327734609</v>
      </c>
      <c r="K494" s="375">
        <f t="shared" si="211"/>
        <v>12.769957922067222</v>
      </c>
      <c r="L494" s="376">
        <f t="shared" si="212"/>
        <v>1.4924072763902674</v>
      </c>
      <c r="M494" s="364">
        <f t="shared" si="196"/>
        <v>1.0137305294758039</v>
      </c>
      <c r="N494" s="367">
        <f t="shared" si="197"/>
        <v>0.16477404107910953</v>
      </c>
      <c r="O494" s="368">
        <f t="shared" si="198"/>
        <v>1.680281745388444</v>
      </c>
      <c r="P494" s="369">
        <f t="shared" si="199"/>
        <v>1.1454332564755714</v>
      </c>
      <c r="Q494" s="370">
        <f t="shared" si="200"/>
        <v>-15.03736807146738</v>
      </c>
      <c r="R494" s="371">
        <f t="shared" si="201"/>
        <v>-132.26262454413853</v>
      </c>
      <c r="S494" s="373">
        <f t="shared" si="202"/>
        <v>47.737375455861468</v>
      </c>
      <c r="U494" s="346">
        <f t="shared" si="208"/>
        <v>62019</v>
      </c>
      <c r="V494" s="346">
        <f t="shared" si="209"/>
        <v>3846356361</v>
      </c>
      <c r="X494" s="372">
        <f t="shared" si="203"/>
        <v>23.634792014461151</v>
      </c>
      <c r="Y494" s="373">
        <f t="shared" si="204"/>
        <v>-13.929497684308156</v>
      </c>
      <c r="AA494" s="372">
        <f t="shared" si="205"/>
        <v>12.808465268625843</v>
      </c>
      <c r="AB494" s="373">
        <f t="shared" si="206"/>
        <v>-118.33312685983034</v>
      </c>
      <c r="AD494">
        <f t="shared" si="210"/>
        <v>0</v>
      </c>
      <c r="AE494">
        <f t="shared" si="213"/>
        <v>0</v>
      </c>
    </row>
    <row r="495" spans="1:31" x14ac:dyDescent="0.2">
      <c r="A495" s="374">
        <v>62378</v>
      </c>
      <c r="B495" s="391">
        <f t="shared" si="207"/>
        <v>62.378</v>
      </c>
      <c r="C495" s="364">
        <f t="shared" si="188"/>
        <v>79.819447064852099</v>
      </c>
      <c r="D495" s="365">
        <f t="shared" si="189"/>
        <v>1.5582677238261409</v>
      </c>
      <c r="E495" s="365">
        <f t="shared" si="190"/>
        <v>1.2477473519397946</v>
      </c>
      <c r="F495" s="366">
        <f t="shared" si="191"/>
        <v>0.64109006845922833</v>
      </c>
      <c r="G495" s="365">
        <f t="shared" si="192"/>
        <v>1</v>
      </c>
      <c r="H495" s="366">
        <f t="shared" si="193"/>
        <v>0</v>
      </c>
      <c r="I495" s="364">
        <f t="shared" si="194"/>
        <v>21177.161222195406</v>
      </c>
      <c r="J495" s="367">
        <f t="shared" si="195"/>
        <v>1.5707491061126777</v>
      </c>
      <c r="K495" s="375">
        <f t="shared" si="211"/>
        <v>12.843425447210818</v>
      </c>
      <c r="L495" s="376">
        <f t="shared" si="212"/>
        <v>1.4928565936796199</v>
      </c>
      <c r="M495" s="364">
        <f t="shared" si="196"/>
        <v>1.0138888572261042</v>
      </c>
      <c r="N495" s="367">
        <f t="shared" si="197"/>
        <v>0.16571052687849397</v>
      </c>
      <c r="O495" s="368">
        <f t="shared" si="198"/>
        <v>1.6868969211550235</v>
      </c>
      <c r="P495" s="369">
        <f t="shared" si="199"/>
        <v>1.1495229399684339</v>
      </c>
      <c r="Q495" s="370">
        <f t="shared" si="200"/>
        <v>-15.10541899971078</v>
      </c>
      <c r="R495" s="371">
        <f t="shared" si="201"/>
        <v>-132.37064781025688</v>
      </c>
      <c r="S495" s="373">
        <f t="shared" si="202"/>
        <v>47.629352189743116</v>
      </c>
      <c r="U495" s="346">
        <f t="shared" si="208"/>
        <v>62378</v>
      </c>
      <c r="V495" s="346">
        <f t="shared" si="209"/>
        <v>3891014884</v>
      </c>
      <c r="X495" s="372">
        <f t="shared" si="203"/>
        <v>23.63312985329117</v>
      </c>
      <c r="Y495" s="373">
        <f t="shared" si="204"/>
        <v>-13.957426045060082</v>
      </c>
      <c r="AA495" s="372">
        <f t="shared" si="205"/>
        <v>12.742076501552424</v>
      </c>
      <c r="AB495" s="373">
        <f t="shared" si="206"/>
        <v>-118.41322176519682</v>
      </c>
      <c r="AD495">
        <f t="shared" si="210"/>
        <v>0</v>
      </c>
      <c r="AE495">
        <f t="shared" si="213"/>
        <v>0</v>
      </c>
    </row>
    <row r="496" spans="1:31" x14ac:dyDescent="0.2">
      <c r="A496" s="374">
        <v>62737</v>
      </c>
      <c r="B496" s="391">
        <f t="shared" si="207"/>
        <v>62.737000000000002</v>
      </c>
      <c r="C496" s="364">
        <f t="shared" si="188"/>
        <v>80.278754780904691</v>
      </c>
      <c r="D496" s="365">
        <f t="shared" si="189"/>
        <v>1.5583394088261886</v>
      </c>
      <c r="E496" s="365">
        <f t="shared" si="190"/>
        <v>1.2503206683703674</v>
      </c>
      <c r="F496" s="366">
        <f t="shared" si="191"/>
        <v>0.64384298941586726</v>
      </c>
      <c r="G496" s="365">
        <f t="shared" si="192"/>
        <v>1</v>
      </c>
      <c r="H496" s="366">
        <f t="shared" si="193"/>
        <v>0</v>
      </c>
      <c r="I496" s="364">
        <f t="shared" si="194"/>
        <v>21299.040744813388</v>
      </c>
      <c r="J496" s="367">
        <f t="shared" si="195"/>
        <v>1.570749376323636</v>
      </c>
      <c r="K496" s="375">
        <f t="shared" si="211"/>
        <v>12.91689553576683</v>
      </c>
      <c r="L496" s="376">
        <f t="shared" si="212"/>
        <v>1.4933007997087258</v>
      </c>
      <c r="M496" s="364">
        <f t="shared" si="196"/>
        <v>1.0140480738845432</v>
      </c>
      <c r="N496" s="367">
        <f t="shared" si="197"/>
        <v>0.16664671942164727</v>
      </c>
      <c r="O496" s="368">
        <f t="shared" si="198"/>
        <v>1.6935317639034133</v>
      </c>
      <c r="P496" s="369">
        <f t="shared" si="199"/>
        <v>1.1535916988553181</v>
      </c>
      <c r="Q496" s="370">
        <f t="shared" si="200"/>
        <v>-15.1731225539835</v>
      </c>
      <c r="R496" s="371">
        <f t="shared" si="201"/>
        <v>-132.47835125104314</v>
      </c>
      <c r="S496" s="373">
        <f t="shared" si="202"/>
        <v>47.521648748956864</v>
      </c>
      <c r="U496" s="346">
        <f t="shared" si="208"/>
        <v>62737</v>
      </c>
      <c r="V496" s="346">
        <f t="shared" si="209"/>
        <v>3935931169</v>
      </c>
      <c r="X496" s="372">
        <f t="shared" si="203"/>
        <v>23.631465501454766</v>
      </c>
      <c r="Y496" s="373">
        <f t="shared" si="204"/>
        <v>-13.985630277872064</v>
      </c>
      <c r="AA496" s="372">
        <f t="shared" si="205"/>
        <v>12.676037299116107</v>
      </c>
      <c r="AB496" s="373">
        <f t="shared" si="206"/>
        <v>-118.49272097317106</v>
      </c>
      <c r="AD496">
        <f t="shared" si="210"/>
        <v>0</v>
      </c>
      <c r="AE496">
        <f t="shared" si="213"/>
        <v>0</v>
      </c>
    </row>
    <row r="497" spans="1:31" x14ac:dyDescent="0.2">
      <c r="A497" s="374">
        <v>63096</v>
      </c>
      <c r="B497" s="391">
        <f t="shared" si="207"/>
        <v>63.095999999999997</v>
      </c>
      <c r="C497" s="364">
        <f t="shared" si="188"/>
        <v>80.738062904795214</v>
      </c>
      <c r="D497" s="365">
        <f t="shared" si="189"/>
        <v>1.5584102782136953</v>
      </c>
      <c r="E497" s="365">
        <f t="shared" si="190"/>
        <v>1.2529034214828667</v>
      </c>
      <c r="F497" s="366">
        <f t="shared" si="191"/>
        <v>0.64658458125703566</v>
      </c>
      <c r="G497" s="365">
        <f t="shared" si="192"/>
        <v>1</v>
      </c>
      <c r="H497" s="366">
        <f t="shared" si="193"/>
        <v>0</v>
      </c>
      <c r="I497" s="364">
        <f t="shared" si="194"/>
        <v>21420.920267432906</v>
      </c>
      <c r="J497" s="367">
        <f t="shared" si="195"/>
        <v>1.5707496434597328</v>
      </c>
      <c r="K497" s="375">
        <f t="shared" si="211"/>
        <v>12.990368144241314</v>
      </c>
      <c r="L497" s="376">
        <f t="shared" si="212"/>
        <v>1.4937399810275658</v>
      </c>
      <c r="M497" s="364">
        <f t="shared" si="196"/>
        <v>1.0142081790324824</v>
      </c>
      <c r="N497" s="367">
        <f t="shared" si="197"/>
        <v>0.16758261720600498</v>
      </c>
      <c r="O497" s="368">
        <f t="shared" si="198"/>
        <v>1.700186173217173</v>
      </c>
      <c r="P497" s="369">
        <f t="shared" si="199"/>
        <v>1.1576397042330877</v>
      </c>
      <c r="Q497" s="370">
        <f t="shared" si="200"/>
        <v>-15.240482134460754</v>
      </c>
      <c r="R497" s="371">
        <f t="shared" si="201"/>
        <v>-132.58573881277232</v>
      </c>
      <c r="S497" s="373">
        <f t="shared" si="202"/>
        <v>47.41426118722768</v>
      </c>
      <c r="U497" s="346">
        <f t="shared" si="208"/>
        <v>63096</v>
      </c>
      <c r="V497" s="346">
        <f t="shared" si="209"/>
        <v>3981105216</v>
      </c>
      <c r="X497" s="372">
        <f t="shared" si="203"/>
        <v>23.629798848373113</v>
      </c>
      <c r="Y497" s="373">
        <f t="shared" si="204"/>
        <v>-14.014105340764319</v>
      </c>
      <c r="AA497" s="372">
        <f t="shared" si="205"/>
        <v>12.61034437172051</v>
      </c>
      <c r="AB497" s="373">
        <f t="shared" si="206"/>
        <v>-118.57163347200805</v>
      </c>
      <c r="AD497">
        <f t="shared" si="210"/>
        <v>0</v>
      </c>
      <c r="AE497">
        <f t="shared" si="213"/>
        <v>0</v>
      </c>
    </row>
    <row r="498" spans="1:31" x14ac:dyDescent="0.2">
      <c r="A498" s="374">
        <v>63463.25</v>
      </c>
      <c r="B498" s="391">
        <f t="shared" si="207"/>
        <v>63.463250000000002</v>
      </c>
      <c r="C498" s="364">
        <f t="shared" si="188"/>
        <v>81.207926574455215</v>
      </c>
      <c r="D498" s="365">
        <f t="shared" si="189"/>
        <v>1.5584819467014321</v>
      </c>
      <c r="E498" s="365">
        <f t="shared" si="190"/>
        <v>1.2555552312989495</v>
      </c>
      <c r="F498" s="366">
        <f t="shared" si="191"/>
        <v>0.64937748368683423</v>
      </c>
      <c r="G498" s="365">
        <f t="shared" si="192"/>
        <v>1</v>
      </c>
      <c r="H498" s="366">
        <f t="shared" si="193"/>
        <v>0</v>
      </c>
      <c r="I498" s="364">
        <f t="shared" si="194"/>
        <v>21545.600642593294</v>
      </c>
      <c r="J498" s="367">
        <f t="shared" si="195"/>
        <v>1.5707499136074925</v>
      </c>
      <c r="K498" s="375">
        <f t="shared" si="211"/>
        <v>13.065531753219462</v>
      </c>
      <c r="L498" s="376">
        <f t="shared" si="212"/>
        <v>1.4941841439196479</v>
      </c>
      <c r="M498" s="364">
        <f t="shared" si="196"/>
        <v>1.014372882389335</v>
      </c>
      <c r="N498" s="367">
        <f t="shared" si="197"/>
        <v>0.16853971583000774</v>
      </c>
      <c r="O498" s="368">
        <f t="shared" si="198"/>
        <v>1.7070136474115274</v>
      </c>
      <c r="P498" s="369">
        <f t="shared" si="199"/>
        <v>1.1617594374758926</v>
      </c>
      <c r="Q498" s="370">
        <f t="shared" si="200"/>
        <v>-15.309037247050753</v>
      </c>
      <c r="R498" s="371">
        <f t="shared" si="201"/>
        <v>-132.69527145140907</v>
      </c>
      <c r="S498" s="373">
        <f t="shared" si="202"/>
        <v>47.30472854859093</v>
      </c>
      <c r="U498" s="346">
        <f t="shared" si="208"/>
        <v>63463.25</v>
      </c>
      <c r="V498" s="346">
        <f t="shared" si="209"/>
        <v>4027584100.5625</v>
      </c>
      <c r="X498" s="372">
        <f t="shared" si="203"/>
        <v>23.628091401788055</v>
      </c>
      <c r="Y498" s="373">
        <f t="shared" si="204"/>
        <v>-14.043509871724904</v>
      </c>
      <c r="AA498" s="372">
        <f t="shared" si="205"/>
        <v>12.543496705715569</v>
      </c>
      <c r="AB498" s="373">
        <f t="shared" si="206"/>
        <v>-118.65176157968418</v>
      </c>
      <c r="AD498">
        <f t="shared" si="210"/>
        <v>0</v>
      </c>
      <c r="AE498">
        <f t="shared" si="213"/>
        <v>0</v>
      </c>
    </row>
    <row r="499" spans="1:31" x14ac:dyDescent="0.2">
      <c r="A499" s="374">
        <v>63830.5</v>
      </c>
      <c r="B499" s="391">
        <f t="shared" si="207"/>
        <v>63.830500000000001</v>
      </c>
      <c r="C499" s="364">
        <f t="shared" si="188"/>
        <v>81.677790656430346</v>
      </c>
      <c r="D499" s="365">
        <f t="shared" si="189"/>
        <v>1.5585527906214816</v>
      </c>
      <c r="E499" s="365">
        <f t="shared" si="190"/>
        <v>1.2582167935007145</v>
      </c>
      <c r="F499" s="366">
        <f t="shared" si="191"/>
        <v>0.65215859183123104</v>
      </c>
      <c r="G499" s="365">
        <f t="shared" si="192"/>
        <v>1</v>
      </c>
      <c r="H499" s="366">
        <f t="shared" si="193"/>
        <v>0</v>
      </c>
      <c r="I499" s="364">
        <f t="shared" si="194"/>
        <v>21670.281017755238</v>
      </c>
      <c r="J499" s="367">
        <f t="shared" si="195"/>
        <v>1.5707501806466517</v>
      </c>
      <c r="K499" s="375">
        <f t="shared" si="211"/>
        <v>13.140697910287217</v>
      </c>
      <c r="L499" s="376">
        <f t="shared" si="212"/>
        <v>1.4946232255817662</v>
      </c>
      <c r="M499" s="364">
        <f t="shared" si="196"/>
        <v>1.0145385146478707</v>
      </c>
      <c r="N499" s="367">
        <f t="shared" si="197"/>
        <v>0.16949650282083459</v>
      </c>
      <c r="O499" s="368">
        <f t="shared" si="198"/>
        <v>1.7138613904281983</v>
      </c>
      <c r="P499" s="369">
        <f t="shared" si="199"/>
        <v>1.1658578104959871</v>
      </c>
      <c r="Q499" s="370">
        <f t="shared" si="200"/>
        <v>-15.37723944628234</v>
      </c>
      <c r="R499" s="371">
        <f t="shared" si="201"/>
        <v>-132.80448185761844</v>
      </c>
      <c r="S499" s="373">
        <f t="shared" si="202"/>
        <v>47.195518142381559</v>
      </c>
      <c r="U499" s="346">
        <f t="shared" si="208"/>
        <v>63830.5</v>
      </c>
      <c r="V499" s="346">
        <f t="shared" si="209"/>
        <v>4074332730.25</v>
      </c>
      <c r="X499" s="372">
        <f t="shared" si="203"/>
        <v>23.626381323434565</v>
      </c>
      <c r="Y499" s="373">
        <f t="shared" si="204"/>
        <v>-14.073187502342044</v>
      </c>
      <c r="AA499" s="372">
        <f t="shared" si="205"/>
        <v>12.477004584837474</v>
      </c>
      <c r="AB499" s="373">
        <f t="shared" si="206"/>
        <v>-118.73129435527635</v>
      </c>
      <c r="AD499">
        <f t="shared" si="210"/>
        <v>0</v>
      </c>
      <c r="AE499">
        <f t="shared" si="213"/>
        <v>0</v>
      </c>
    </row>
    <row r="500" spans="1:31" x14ac:dyDescent="0.2">
      <c r="A500" s="374">
        <v>64197.75</v>
      </c>
      <c r="B500" s="391">
        <f t="shared" si="207"/>
        <v>64.197749999999999</v>
      </c>
      <c r="C500" s="364">
        <f t="shared" si="188"/>
        <v>82.147655143645551</v>
      </c>
      <c r="D500" s="365">
        <f t="shared" si="189"/>
        <v>1.5586228241221027</v>
      </c>
      <c r="E500" s="365">
        <f t="shared" si="190"/>
        <v>1.2608880463303065</v>
      </c>
      <c r="F500" s="366">
        <f t="shared" si="191"/>
        <v>0.65492793749334033</v>
      </c>
      <c r="G500" s="365">
        <f t="shared" si="192"/>
        <v>1</v>
      </c>
      <c r="H500" s="366">
        <f t="shared" si="193"/>
        <v>0</v>
      </c>
      <c r="I500" s="364">
        <f t="shared" si="194"/>
        <v>21794.961392918707</v>
      </c>
      <c r="J500" s="367">
        <f t="shared" si="195"/>
        <v>1.5707504446305596</v>
      </c>
      <c r="K500" s="375">
        <f t="shared" si="211"/>
        <v>13.215866571967274</v>
      </c>
      <c r="L500" s="376">
        <f t="shared" si="212"/>
        <v>1.4950573125455875</v>
      </c>
      <c r="M500" s="364">
        <f t="shared" si="196"/>
        <v>1.0147050753532101</v>
      </c>
      <c r="N500" s="367">
        <f t="shared" si="197"/>
        <v>0.17045297657975697</v>
      </c>
      <c r="O500" s="368">
        <f t="shared" si="198"/>
        <v>1.7207293000044608</v>
      </c>
      <c r="P500" s="369">
        <f t="shared" si="199"/>
        <v>1.1699350022728487</v>
      </c>
      <c r="Q500" s="370">
        <f t="shared" si="200"/>
        <v>-15.445092225451273</v>
      </c>
      <c r="R500" s="371">
        <f t="shared" si="201"/>
        <v>-132.91337422817728</v>
      </c>
      <c r="S500" s="373">
        <f t="shared" si="202"/>
        <v>47.086625771822725</v>
      </c>
      <c r="U500" s="346">
        <f t="shared" si="208"/>
        <v>64197.75</v>
      </c>
      <c r="V500" s="346">
        <f t="shared" si="209"/>
        <v>4121351105.0625</v>
      </c>
      <c r="X500" s="372">
        <f t="shared" si="203"/>
        <v>23.624668505401164</v>
      </c>
      <c r="Y500" s="373">
        <f t="shared" si="204"/>
        <v>-14.103133186172691</v>
      </c>
      <c r="AA500" s="372">
        <f t="shared" si="205"/>
        <v>12.41086462370194</v>
      </c>
      <c r="AB500" s="373">
        <f t="shared" si="206"/>
        <v>-118.81024104200461</v>
      </c>
      <c r="AD500">
        <f t="shared" si="210"/>
        <v>0</v>
      </c>
      <c r="AE500">
        <f t="shared" si="213"/>
        <v>0</v>
      </c>
    </row>
    <row r="501" spans="1:31" x14ac:dyDescent="0.2">
      <c r="A501" s="374">
        <v>64565</v>
      </c>
      <c r="B501" s="391">
        <f t="shared" si="207"/>
        <v>64.564999999999998</v>
      </c>
      <c r="C501" s="364">
        <f t="shared" si="188"/>
        <v>82.617520029186764</v>
      </c>
      <c r="D501" s="365">
        <f t="shared" si="189"/>
        <v>1.5586920610297288</v>
      </c>
      <c r="E501" s="365">
        <f t="shared" si="190"/>
        <v>1.2635689283281979</v>
      </c>
      <c r="F501" s="366">
        <f t="shared" si="191"/>
        <v>0.65768555292951092</v>
      </c>
      <c r="G501" s="365">
        <f t="shared" si="192"/>
        <v>1</v>
      </c>
      <c r="H501" s="366">
        <f t="shared" si="193"/>
        <v>0</v>
      </c>
      <c r="I501" s="364">
        <f t="shared" si="194"/>
        <v>21919.641768083682</v>
      </c>
      <c r="J501" s="367">
        <f t="shared" si="195"/>
        <v>1.5707507056113514</v>
      </c>
      <c r="K501" s="375">
        <f t="shared" si="211"/>
        <v>13.291037695764448</v>
      </c>
      <c r="L501" s="376">
        <f t="shared" si="212"/>
        <v>1.4954864893927917</v>
      </c>
      <c r="M501" s="364">
        <f t="shared" si="196"/>
        <v>1.0148725640482241</v>
      </c>
      <c r="N501" s="367">
        <f t="shared" si="197"/>
        <v>0.17140913551138545</v>
      </c>
      <c r="O501" s="368">
        <f t="shared" si="198"/>
        <v>1.727617275598095</v>
      </c>
      <c r="P501" s="369">
        <f t="shared" si="199"/>
        <v>1.1739911903652003</v>
      </c>
      <c r="Q501" s="370">
        <f t="shared" si="200"/>
        <v>-15.512599030469399</v>
      </c>
      <c r="R501" s="371">
        <f t="shared" si="201"/>
        <v>-133.02195274589957</v>
      </c>
      <c r="S501" s="373">
        <f t="shared" si="202"/>
        <v>46.978047254100431</v>
      </c>
      <c r="U501" s="346">
        <f t="shared" si="208"/>
        <v>64565</v>
      </c>
      <c r="V501" s="346">
        <f t="shared" si="209"/>
        <v>4168639225</v>
      </c>
      <c r="X501" s="372">
        <f t="shared" si="203"/>
        <v>23.622952843072706</v>
      </c>
      <c r="Y501" s="373">
        <f t="shared" si="204"/>
        <v>-14.133341988621634</v>
      </c>
      <c r="AA501" s="372">
        <f t="shared" si="205"/>
        <v>12.345073481012269</v>
      </c>
      <c r="AB501" s="373">
        <f t="shared" si="206"/>
        <v>-118.88861075727792</v>
      </c>
      <c r="AD501">
        <f t="shared" si="210"/>
        <v>0</v>
      </c>
      <c r="AE501">
        <f t="shared" si="213"/>
        <v>0</v>
      </c>
    </row>
    <row r="502" spans="1:31" x14ac:dyDescent="0.2">
      <c r="A502" s="374">
        <v>64941</v>
      </c>
      <c r="B502" s="391">
        <f t="shared" si="207"/>
        <v>64.941000000000003</v>
      </c>
      <c r="C502" s="364">
        <f t="shared" si="188"/>
        <v>83.098580195087507</v>
      </c>
      <c r="D502" s="365">
        <f t="shared" si="189"/>
        <v>1.5587621363789281</v>
      </c>
      <c r="E502" s="365">
        <f t="shared" si="190"/>
        <v>1.2663235964717514</v>
      </c>
      <c r="F502" s="366">
        <f t="shared" si="191"/>
        <v>0.66049675194109825</v>
      </c>
      <c r="G502" s="365">
        <f t="shared" si="192"/>
        <v>1</v>
      </c>
      <c r="H502" s="366">
        <f t="shared" si="193"/>
        <v>0</v>
      </c>
      <c r="I502" s="364">
        <f t="shared" si="194"/>
        <v>22047.292744428378</v>
      </c>
      <c r="J502" s="367">
        <f t="shared" si="195"/>
        <v>1.5707509697521098</v>
      </c>
      <c r="K502" s="375">
        <f t="shared" si="211"/>
        <v>13.368002334031177</v>
      </c>
      <c r="L502" s="376">
        <f t="shared" si="212"/>
        <v>1.4959208910350816</v>
      </c>
      <c r="M502" s="364">
        <f t="shared" si="196"/>
        <v>1.0150450042223658</v>
      </c>
      <c r="N502" s="367">
        <f t="shared" si="197"/>
        <v>0.17238774779866547</v>
      </c>
      <c r="O502" s="368">
        <f t="shared" si="198"/>
        <v>1.7346900478873291</v>
      </c>
      <c r="P502" s="369">
        <f t="shared" si="199"/>
        <v>1.1781224437384512</v>
      </c>
      <c r="Q502" s="370">
        <f t="shared" si="200"/>
        <v>-15.581359347204394</v>
      </c>
      <c r="R502" s="371">
        <f t="shared" si="201"/>
        <v>-133.13279741870903</v>
      </c>
      <c r="S502" s="373">
        <f t="shared" si="202"/>
        <v>46.867202581290968</v>
      </c>
      <c r="U502" s="346">
        <f t="shared" si="208"/>
        <v>64941</v>
      </c>
      <c r="V502" s="346">
        <f t="shared" si="209"/>
        <v>4217333481</v>
      </c>
      <c r="X502" s="372">
        <f t="shared" si="203"/>
        <v>23.621193251182842</v>
      </c>
      <c r="Y502" s="373">
        <f t="shared" si="204"/>
        <v>-14.164538095931965</v>
      </c>
      <c r="AA502" s="372">
        <f t="shared" si="205"/>
        <v>12.278072756167145</v>
      </c>
      <c r="AB502" s="373">
        <f t="shared" si="206"/>
        <v>-118.9682593227771</v>
      </c>
      <c r="AD502">
        <f t="shared" si="210"/>
        <v>0</v>
      </c>
      <c r="AE502">
        <f t="shared" si="213"/>
        <v>0</v>
      </c>
    </row>
    <row r="503" spans="1:31" x14ac:dyDescent="0.2">
      <c r="A503" s="374">
        <v>65317</v>
      </c>
      <c r="B503" s="391">
        <f t="shared" si="207"/>
        <v>65.316999999999993</v>
      </c>
      <c r="C503" s="364">
        <f t="shared" si="188"/>
        <v>83.579640764351012</v>
      </c>
      <c r="D503" s="365">
        <f t="shared" si="189"/>
        <v>1.5588314050610255</v>
      </c>
      <c r="E503" s="365">
        <f t="shared" si="190"/>
        <v>1.2690882286773542</v>
      </c>
      <c r="F503" s="366">
        <f t="shared" si="191"/>
        <v>0.66329572493723399</v>
      </c>
      <c r="G503" s="365">
        <f t="shared" si="192"/>
        <v>1</v>
      </c>
      <c r="H503" s="366">
        <f t="shared" si="193"/>
        <v>0</v>
      </c>
      <c r="I503" s="364">
        <f t="shared" si="194"/>
        <v>22174.943720774598</v>
      </c>
      <c r="J503" s="367">
        <f t="shared" si="195"/>
        <v>1.5707512308517939</v>
      </c>
      <c r="K503" s="375">
        <f t="shared" si="211"/>
        <v>13.44496946602275</v>
      </c>
      <c r="L503" s="376">
        <f t="shared" si="212"/>
        <v>1.4963503192024892</v>
      </c>
      <c r="M503" s="364">
        <f t="shared" si="196"/>
        <v>1.015218416156074</v>
      </c>
      <c r="N503" s="367">
        <f t="shared" si="197"/>
        <v>0.17336602670425647</v>
      </c>
      <c r="O503" s="368">
        <f t="shared" si="198"/>
        <v>1.7417836458973872</v>
      </c>
      <c r="P503" s="369">
        <f t="shared" si="199"/>
        <v>1.1822320527458683</v>
      </c>
      <c r="Q503" s="370">
        <f t="shared" si="200"/>
        <v>-15.649764169486978</v>
      </c>
      <c r="R503" s="371">
        <f t="shared" si="201"/>
        <v>-133.24332192468671</v>
      </c>
      <c r="S503" s="373">
        <f t="shared" si="202"/>
        <v>46.756678075313289</v>
      </c>
      <c r="U503" s="346">
        <f t="shared" si="208"/>
        <v>65317</v>
      </c>
      <c r="V503" s="346">
        <f t="shared" si="209"/>
        <v>4266310489</v>
      </c>
      <c r="X503" s="372">
        <f t="shared" si="203"/>
        <v>23.619430466034494</v>
      </c>
      <c r="Y503" s="373">
        <f t="shared" si="204"/>
        <v>-14.195999886758399</v>
      </c>
      <c r="AA503" s="372">
        <f t="shared" si="205"/>
        <v>12.211430719032904</v>
      </c>
      <c r="AB503" s="373">
        <f t="shared" si="206"/>
        <v>-119.04732203792834</v>
      </c>
      <c r="AD503">
        <f t="shared" si="210"/>
        <v>0</v>
      </c>
      <c r="AE503">
        <f t="shared" si="213"/>
        <v>0</v>
      </c>
    </row>
    <row r="504" spans="1:31" x14ac:dyDescent="0.2">
      <c r="A504" s="374">
        <v>65693</v>
      </c>
      <c r="B504" s="391">
        <f t="shared" si="207"/>
        <v>65.692999999999998</v>
      </c>
      <c r="C504" s="364">
        <f t="shared" si="188"/>
        <v>84.06070173005223</v>
      </c>
      <c r="D504" s="365">
        <f t="shared" si="189"/>
        <v>1.5588998809244872</v>
      </c>
      <c r="E504" s="365">
        <f t="shared" si="190"/>
        <v>1.2718627599687353</v>
      </c>
      <c r="F504" s="366">
        <f t="shared" si="191"/>
        <v>0.6660825079316175</v>
      </c>
      <c r="G504" s="365">
        <f t="shared" si="192"/>
        <v>1</v>
      </c>
      <c r="H504" s="366">
        <f t="shared" si="193"/>
        <v>0</v>
      </c>
      <c r="I504" s="364">
        <f t="shared" si="194"/>
        <v>22302.594697122317</v>
      </c>
      <c r="J504" s="367">
        <f t="shared" si="195"/>
        <v>1.5707514889626213</v>
      </c>
      <c r="K504" s="375">
        <f t="shared" si="211"/>
        <v>13.521939049156186</v>
      </c>
      <c r="L504" s="376">
        <f t="shared" si="212"/>
        <v>1.4967748586653087</v>
      </c>
      <c r="M504" s="364">
        <f t="shared" si="196"/>
        <v>1.0153927993514682</v>
      </c>
      <c r="N504" s="367">
        <f t="shared" si="197"/>
        <v>0.17434397052696429</v>
      </c>
      <c r="O504" s="368">
        <f t="shared" si="198"/>
        <v>1.7488979671856861</v>
      </c>
      <c r="P504" s="369">
        <f t="shared" si="199"/>
        <v>1.1863202032936364</v>
      </c>
      <c r="Q504" s="370">
        <f t="shared" si="200"/>
        <v>-15.717817047464591</v>
      </c>
      <c r="R504" s="371">
        <f t="shared" si="201"/>
        <v>-133.35353069403854</v>
      </c>
      <c r="S504" s="373">
        <f t="shared" si="202"/>
        <v>46.64646930596146</v>
      </c>
      <c r="U504" s="346">
        <f t="shared" si="208"/>
        <v>65693</v>
      </c>
      <c r="V504" s="346">
        <f t="shared" si="209"/>
        <v>4315570249</v>
      </c>
      <c r="X504" s="372">
        <f t="shared" si="203"/>
        <v>23.617664385391492</v>
      </c>
      <c r="Y504" s="373">
        <f t="shared" si="204"/>
        <v>-14.227722409641439</v>
      </c>
      <c r="AA504" s="372">
        <f t="shared" si="205"/>
        <v>12.145143921698292</v>
      </c>
      <c r="AB504" s="373">
        <f t="shared" si="206"/>
        <v>-119.12580828439711</v>
      </c>
      <c r="AD504">
        <f t="shared" si="210"/>
        <v>0</v>
      </c>
      <c r="AE504">
        <f t="shared" si="213"/>
        <v>0</v>
      </c>
    </row>
    <row r="505" spans="1:31" x14ac:dyDescent="0.2">
      <c r="A505" s="374">
        <v>66069</v>
      </c>
      <c r="B505" s="391">
        <f t="shared" si="207"/>
        <v>66.069000000000003</v>
      </c>
      <c r="C505" s="364">
        <f t="shared" si="188"/>
        <v>84.541763085423668</v>
      </c>
      <c r="D505" s="365">
        <f t="shared" si="189"/>
        <v>1.5589675775026066</v>
      </c>
      <c r="E505" s="365">
        <f t="shared" si="190"/>
        <v>1.2746471257037162</v>
      </c>
      <c r="F505" s="366">
        <f t="shared" si="191"/>
        <v>0.66885713738230312</v>
      </c>
      <c r="G505" s="365">
        <f t="shared" si="192"/>
        <v>1</v>
      </c>
      <c r="H505" s="366">
        <f t="shared" si="193"/>
        <v>0</v>
      </c>
      <c r="I505" s="364">
        <f t="shared" si="194"/>
        <v>22430.245673471498</v>
      </c>
      <c r="J505" s="367">
        <f t="shared" si="195"/>
        <v>1.5707517441356209</v>
      </c>
      <c r="K505" s="375">
        <f t="shared" si="211"/>
        <v>13.598911041811231</v>
      </c>
      <c r="L505" s="376">
        <f t="shared" si="212"/>
        <v>1.4971945922817227</v>
      </c>
      <c r="M505" s="364">
        <f t="shared" si="196"/>
        <v>1.0155681533082226</v>
      </c>
      <c r="N505" s="367">
        <f t="shared" si="197"/>
        <v>0.17532157756932373</v>
      </c>
      <c r="O505" s="368">
        <f t="shared" si="198"/>
        <v>1.7560329111016855</v>
      </c>
      <c r="P505" s="369">
        <f t="shared" si="199"/>
        <v>1.1903870797159564</v>
      </c>
      <c r="Q505" s="370">
        <f t="shared" si="200"/>
        <v>-15.785521483424386</v>
      </c>
      <c r="R505" s="371">
        <f t="shared" si="201"/>
        <v>-133.46342813308618</v>
      </c>
      <c r="S505" s="373">
        <f t="shared" si="202"/>
        <v>46.536571866913818</v>
      </c>
      <c r="U505" s="346">
        <f t="shared" si="208"/>
        <v>66069</v>
      </c>
      <c r="V505" s="346">
        <f t="shared" si="209"/>
        <v>4365112761</v>
      </c>
      <c r="X505" s="372">
        <f t="shared" si="203"/>
        <v>23.615894910179669</v>
      </c>
      <c r="Y505" s="373">
        <f t="shared" si="204"/>
        <v>-14.259700822823083</v>
      </c>
      <c r="AA505" s="372">
        <f t="shared" si="205"/>
        <v>12.079208960950318</v>
      </c>
      <c r="AB505" s="373">
        <f t="shared" si="206"/>
        <v>-119.20372731026306</v>
      </c>
      <c r="AD505">
        <f t="shared" si="210"/>
        <v>0</v>
      </c>
      <c r="AE505">
        <f t="shared" si="213"/>
        <v>0</v>
      </c>
    </row>
    <row r="506" spans="1:31" x14ac:dyDescent="0.2">
      <c r="A506" s="374">
        <v>66453.75</v>
      </c>
      <c r="B506" s="391">
        <f t="shared" si="207"/>
        <v>66.453749999999999</v>
      </c>
      <c r="C506" s="364">
        <f t="shared" si="188"/>
        <v>85.034019749134259</v>
      </c>
      <c r="D506" s="365">
        <f t="shared" si="189"/>
        <v>1.5590360565644465</v>
      </c>
      <c r="E506" s="365">
        <f t="shared" si="190"/>
        <v>1.2775064004972541</v>
      </c>
      <c r="F506" s="366">
        <f t="shared" si="191"/>
        <v>0.67168379341081297</v>
      </c>
      <c r="G506" s="365">
        <f t="shared" si="192"/>
        <v>1</v>
      </c>
      <c r="H506" s="366">
        <f t="shared" si="193"/>
        <v>0</v>
      </c>
      <c r="I506" s="364">
        <f t="shared" si="194"/>
        <v>22560.867251000516</v>
      </c>
      <c r="J506" s="367">
        <f t="shared" si="195"/>
        <v>1.5707520022576702</v>
      </c>
      <c r="K506" s="375">
        <f t="shared" si="211"/>
        <v>13.677676722843625</v>
      </c>
      <c r="L506" s="376">
        <f t="shared" si="212"/>
        <v>1.4976192032185944</v>
      </c>
      <c r="M506" s="364">
        <f t="shared" si="196"/>
        <v>1.0157485923614071</v>
      </c>
      <c r="N506" s="367">
        <f t="shared" si="197"/>
        <v>0.17632158438118409</v>
      </c>
      <c r="O506" s="368">
        <f t="shared" si="198"/>
        <v>1.763355139210437</v>
      </c>
      <c r="P506" s="369">
        <f t="shared" si="199"/>
        <v>1.194526765692812</v>
      </c>
      <c r="Q506" s="370">
        <f t="shared" si="200"/>
        <v>-15.854444393063041</v>
      </c>
      <c r="R506" s="371">
        <f t="shared" si="201"/>
        <v>-133.57556531334731</v>
      </c>
      <c r="S506" s="373">
        <f t="shared" si="202"/>
        <v>46.424434686652688</v>
      </c>
      <c r="U506" s="346">
        <f t="shared" si="208"/>
        <v>66453.75</v>
      </c>
      <c r="V506" s="346">
        <f t="shared" si="209"/>
        <v>4416100889.0625</v>
      </c>
      <c r="X506" s="372">
        <f t="shared" si="203"/>
        <v>23.614080642890805</v>
      </c>
      <c r="Y506" s="373">
        <f t="shared" si="204"/>
        <v>-14.292683367350877</v>
      </c>
      <c r="AA506" s="372">
        <f t="shared" si="205"/>
        <v>12.012100318600531</v>
      </c>
      <c r="AB506" s="373">
        <f t="shared" si="206"/>
        <v>-119.28288194599645</v>
      </c>
      <c r="AD506">
        <f t="shared" si="210"/>
        <v>0</v>
      </c>
      <c r="AE506">
        <f t="shared" si="213"/>
        <v>0</v>
      </c>
    </row>
    <row r="507" spans="1:31" x14ac:dyDescent="0.2">
      <c r="A507" s="374">
        <v>66838.5</v>
      </c>
      <c r="B507" s="391">
        <f t="shared" si="207"/>
        <v>66.838499999999996</v>
      </c>
      <c r="C507" s="364">
        <f t="shared" si="188"/>
        <v>85.526276807011655</v>
      </c>
      <c r="D507" s="365">
        <f t="shared" si="189"/>
        <v>1.5591037473471907</v>
      </c>
      <c r="E507" s="365">
        <f t="shared" si="190"/>
        <v>1.2803758369107046</v>
      </c>
      <c r="F507" s="366">
        <f t="shared" si="191"/>
        <v>0.67449780226304823</v>
      </c>
      <c r="G507" s="365">
        <f t="shared" si="192"/>
        <v>1</v>
      </c>
      <c r="H507" s="366">
        <f t="shared" si="193"/>
        <v>0</v>
      </c>
      <c r="I507" s="364">
        <f t="shared" si="194"/>
        <v>22691.488828531019</v>
      </c>
      <c r="J507" s="367">
        <f t="shared" si="195"/>
        <v>1.5707522574080053</v>
      </c>
      <c r="K507" s="375">
        <f t="shared" si="211"/>
        <v>13.75644484164553</v>
      </c>
      <c r="L507" s="376">
        <f t="shared" si="212"/>
        <v>1.4980389516652621</v>
      </c>
      <c r="M507" s="364">
        <f t="shared" si="196"/>
        <v>1.0159300468156116</v>
      </c>
      <c r="N507" s="367">
        <f t="shared" si="197"/>
        <v>0.17732123497157601</v>
      </c>
      <c r="O507" s="368">
        <f t="shared" si="198"/>
        <v>1.7706987533548024</v>
      </c>
      <c r="P507" s="369">
        <f t="shared" si="199"/>
        <v>1.19864456134592</v>
      </c>
      <c r="Q507" s="370">
        <f t="shared" si="200"/>
        <v>-15.923009725038362</v>
      </c>
      <c r="R507" s="371">
        <f t="shared" si="201"/>
        <v>-133.68738575511645</v>
      </c>
      <c r="S507" s="373">
        <f t="shared" si="202"/>
        <v>46.312614244883548</v>
      </c>
      <c r="U507" s="346">
        <f t="shared" si="208"/>
        <v>66838.5</v>
      </c>
      <c r="V507" s="346">
        <f t="shared" si="209"/>
        <v>4467385082.25</v>
      </c>
      <c r="X507" s="372">
        <f t="shared" si="203"/>
        <v>23.6122626210012</v>
      </c>
      <c r="Y507" s="373">
        <f t="shared" si="204"/>
        <v>-14.325923931792191</v>
      </c>
      <c r="AA507" s="372">
        <f t="shared" si="205"/>
        <v>11.945353008514811</v>
      </c>
      <c r="AB507" s="373">
        <f t="shared" si="206"/>
        <v>-119.36146182332429</v>
      </c>
      <c r="AD507">
        <f t="shared" si="210"/>
        <v>0</v>
      </c>
      <c r="AE507">
        <f t="shared" si="213"/>
        <v>0</v>
      </c>
    </row>
    <row r="508" spans="1:31" x14ac:dyDescent="0.2">
      <c r="A508" s="374">
        <v>67223.25</v>
      </c>
      <c r="B508" s="391">
        <f t="shared" si="207"/>
        <v>67.223249999999993</v>
      </c>
      <c r="C508" s="364">
        <f t="shared" si="188"/>
        <v>86.018534252288774</v>
      </c>
      <c r="D508" s="365">
        <f t="shared" si="189"/>
        <v>1.5591706633834455</v>
      </c>
      <c r="E508" s="365">
        <f t="shared" si="190"/>
        <v>1.2832553667780837</v>
      </c>
      <c r="F508" s="366">
        <f t="shared" si="191"/>
        <v>0.6772992043615228</v>
      </c>
      <c r="G508" s="365">
        <f t="shared" si="192"/>
        <v>1</v>
      </c>
      <c r="H508" s="366">
        <f t="shared" si="193"/>
        <v>0</v>
      </c>
      <c r="I508" s="364">
        <f t="shared" si="194"/>
        <v>22822.11040606298</v>
      </c>
      <c r="J508" s="367">
        <f t="shared" si="195"/>
        <v>1.5707525096376518</v>
      </c>
      <c r="K508" s="375">
        <f t="shared" si="211"/>
        <v>13.835215356580038</v>
      </c>
      <c r="L508" s="376">
        <f t="shared" si="212"/>
        <v>1.4984539205260026</v>
      </c>
      <c r="M508" s="364">
        <f t="shared" si="196"/>
        <v>1.0161125161268534</v>
      </c>
      <c r="N508" s="367">
        <f t="shared" si="197"/>
        <v>0.17832052753397165</v>
      </c>
      <c r="O508" s="368">
        <f t="shared" si="198"/>
        <v>1.7780636513610184</v>
      </c>
      <c r="P508" s="369">
        <f t="shared" si="199"/>
        <v>1.2027406590660483</v>
      </c>
      <c r="Q508" s="370">
        <f t="shared" si="200"/>
        <v>-15.991221082542914</v>
      </c>
      <c r="R508" s="371">
        <f t="shared" si="201"/>
        <v>-133.79889409024639</v>
      </c>
      <c r="S508" s="373">
        <f t="shared" si="202"/>
        <v>46.201105909753608</v>
      </c>
      <c r="U508" s="346">
        <f t="shared" si="208"/>
        <v>67223.25</v>
      </c>
      <c r="V508" s="346">
        <f t="shared" si="209"/>
        <v>4518965340.5625</v>
      </c>
      <c r="X508" s="372">
        <f t="shared" si="203"/>
        <v>23.610440747966905</v>
      </c>
      <c r="Y508" s="373">
        <f t="shared" si="204"/>
        <v>-14.359417665498979</v>
      </c>
      <c r="AA508" s="372">
        <f t="shared" si="205"/>
        <v>11.878963524044559</v>
      </c>
      <c r="AB508" s="373">
        <f t="shared" si="206"/>
        <v>-119.4394764247474</v>
      </c>
      <c r="AD508">
        <f t="shared" si="210"/>
        <v>0</v>
      </c>
      <c r="AE508">
        <f t="shared" si="213"/>
        <v>0</v>
      </c>
    </row>
    <row r="509" spans="1:31" x14ac:dyDescent="0.2">
      <c r="A509" s="374">
        <v>67608</v>
      </c>
      <c r="B509" s="391">
        <f t="shared" si="207"/>
        <v>67.608000000000004</v>
      </c>
      <c r="C509" s="364">
        <f t="shared" si="188"/>
        <v>86.51079207835258</v>
      </c>
      <c r="D509" s="365">
        <f t="shared" si="189"/>
        <v>1.5592368178978357</v>
      </c>
      <c r="E509" s="365">
        <f t="shared" si="190"/>
        <v>1.2861449223051624</v>
      </c>
      <c r="F509" s="366">
        <f t="shared" si="191"/>
        <v>0.68008804055887395</v>
      </c>
      <c r="G509" s="365">
        <f t="shared" si="192"/>
        <v>1</v>
      </c>
      <c r="H509" s="366">
        <f t="shared" si="193"/>
        <v>0</v>
      </c>
      <c r="I509" s="364">
        <f t="shared" si="194"/>
        <v>22952.731983596383</v>
      </c>
      <c r="J509" s="367">
        <f t="shared" si="195"/>
        <v>1.5707527589964738</v>
      </c>
      <c r="K509" s="375">
        <f t="shared" si="211"/>
        <v>13.913988226951862</v>
      </c>
      <c r="L509" s="376">
        <f t="shared" si="212"/>
        <v>1.4988641908343407</v>
      </c>
      <c r="M509" s="364">
        <f t="shared" si="196"/>
        <v>1.0162959997484999</v>
      </c>
      <c r="N509" s="367">
        <f t="shared" si="197"/>
        <v>0.17931946026599727</v>
      </c>
      <c r="O509" s="368">
        <f t="shared" si="198"/>
        <v>1.7854497329135703</v>
      </c>
      <c r="P509" s="369">
        <f t="shared" si="199"/>
        <v>1.206815249521213</v>
      </c>
      <c r="Q509" s="370">
        <f t="shared" si="200"/>
        <v>-16.059082020435838</v>
      </c>
      <c r="R509" s="371">
        <f t="shared" si="201"/>
        <v>-133.91009491695078</v>
      </c>
      <c r="S509" s="373">
        <f t="shared" si="202"/>
        <v>46.089905083049217</v>
      </c>
      <c r="U509" s="346">
        <f t="shared" si="208"/>
        <v>67608</v>
      </c>
      <c r="V509" s="346">
        <f t="shared" si="209"/>
        <v>4570841664</v>
      </c>
      <c r="X509" s="372">
        <f t="shared" si="203"/>
        <v>23.608614930270772</v>
      </c>
      <c r="Y509" s="373">
        <f t="shared" si="204"/>
        <v>-14.393159825180858</v>
      </c>
      <c r="AA509" s="372">
        <f t="shared" si="205"/>
        <v>11.812928403847764</v>
      </c>
      <c r="AB509" s="373">
        <f t="shared" si="206"/>
        <v>-119.51693509176989</v>
      </c>
      <c r="AD509">
        <f t="shared" si="210"/>
        <v>0</v>
      </c>
      <c r="AE509">
        <f t="shared" si="213"/>
        <v>0</v>
      </c>
    </row>
    <row r="510" spans="1:31" x14ac:dyDescent="0.2">
      <c r="A510" s="374">
        <v>68001.75</v>
      </c>
      <c r="B510" s="391">
        <f t="shared" si="207"/>
        <v>68.001750000000001</v>
      </c>
      <c r="C510" s="364">
        <f t="shared" si="188"/>
        <v>87.01456509487376</v>
      </c>
      <c r="D510" s="365">
        <f t="shared" si="189"/>
        <v>1.5593037449209477</v>
      </c>
      <c r="E510" s="365">
        <f t="shared" si="190"/>
        <v>1.2891123796070778</v>
      </c>
      <c r="F510" s="366">
        <f t="shared" si="191"/>
        <v>0.68292914550663497</v>
      </c>
      <c r="G510" s="365">
        <f t="shared" si="192"/>
        <v>1</v>
      </c>
      <c r="H510" s="366">
        <f t="shared" si="193"/>
        <v>0</v>
      </c>
      <c r="I510" s="364">
        <f t="shared" si="194"/>
        <v>23086.409036629098</v>
      </c>
      <c r="J510" s="367">
        <f t="shared" si="195"/>
        <v>1.5707530112667552</v>
      </c>
      <c r="K510" s="375">
        <f t="shared" si="211"/>
        <v>13.994606134792487</v>
      </c>
      <c r="L510" s="376">
        <f t="shared" si="212"/>
        <v>1.499279276054559</v>
      </c>
      <c r="M510" s="364">
        <f t="shared" si="196"/>
        <v>1.0164848249892857</v>
      </c>
      <c r="N510" s="367">
        <f t="shared" si="197"/>
        <v>0.18034138541483138</v>
      </c>
      <c r="O510" s="368">
        <f t="shared" si="198"/>
        <v>1.793030418177781</v>
      </c>
      <c r="P510" s="369">
        <f t="shared" si="199"/>
        <v>1.2109630813874042</v>
      </c>
      <c r="Q510" s="370">
        <f t="shared" si="200"/>
        <v>-16.128171197333714</v>
      </c>
      <c r="R510" s="371">
        <f t="shared" si="201"/>
        <v>-134.02358331121442</v>
      </c>
      <c r="S510" s="373">
        <f t="shared" si="202"/>
        <v>45.976416688785577</v>
      </c>
      <c r="U510" s="346">
        <f t="shared" si="208"/>
        <v>68001.75</v>
      </c>
      <c r="V510" s="346">
        <f t="shared" si="209"/>
        <v>4624238003.0625</v>
      </c>
      <c r="X510" s="372">
        <f t="shared" si="203"/>
        <v>23.606742224730247</v>
      </c>
      <c r="Y510" s="373">
        <f t="shared" si="204"/>
        <v>-14.42794364599273</v>
      </c>
      <c r="AA510" s="372">
        <f t="shared" si="205"/>
        <v>11.745711932490416</v>
      </c>
      <c r="AB510" s="373">
        <f t="shared" si="206"/>
        <v>-119.59563966522173</v>
      </c>
      <c r="AD510">
        <f t="shared" si="210"/>
        <v>0</v>
      </c>
      <c r="AE510">
        <f t="shared" si="213"/>
        <v>0</v>
      </c>
    </row>
    <row r="511" spans="1:31" x14ac:dyDescent="0.2">
      <c r="A511" s="374">
        <v>68395.5</v>
      </c>
      <c r="B511" s="391">
        <f t="shared" si="207"/>
        <v>68.395499999999998</v>
      </c>
      <c r="C511" s="364">
        <f t="shared" si="188"/>
        <v>87.518338496665848</v>
      </c>
      <c r="D511" s="365">
        <f t="shared" si="189"/>
        <v>1.5593699014531694</v>
      </c>
      <c r="E511" s="365">
        <f t="shared" si="190"/>
        <v>1.2920901946216166</v>
      </c>
      <c r="F511" s="366">
        <f t="shared" si="191"/>
        <v>0.68575717769229383</v>
      </c>
      <c r="G511" s="365">
        <f t="shared" si="192"/>
        <v>1</v>
      </c>
      <c r="H511" s="366">
        <f t="shared" si="193"/>
        <v>0</v>
      </c>
      <c r="I511" s="364">
        <f t="shared" si="194"/>
        <v>23220.086089663266</v>
      </c>
      <c r="J511" s="367">
        <f t="shared" si="195"/>
        <v>1.5707532606324177</v>
      </c>
      <c r="K511" s="375">
        <f t="shared" si="211"/>
        <v>14.075226426222766</v>
      </c>
      <c r="L511" s="376">
        <f t="shared" si="212"/>
        <v>1.4996896062821965</v>
      </c>
      <c r="M511" s="364">
        <f t="shared" si="196"/>
        <v>1.0166747113817303</v>
      </c>
      <c r="N511" s="367">
        <f t="shared" si="197"/>
        <v>0.1813629298961103</v>
      </c>
      <c r="O511" s="368">
        <f t="shared" si="198"/>
        <v>1.8006330828855581</v>
      </c>
      <c r="P511" s="369">
        <f t="shared" si="199"/>
        <v>1.215088786572047</v>
      </c>
      <c r="Q511" s="370">
        <f t="shared" si="200"/>
        <v>-16.19690075138552</v>
      </c>
      <c r="R511" s="371">
        <f t="shared" si="201"/>
        <v>-134.13675927216906</v>
      </c>
      <c r="S511" s="373">
        <f t="shared" si="202"/>
        <v>45.863240727830942</v>
      </c>
      <c r="U511" s="346">
        <f t="shared" si="208"/>
        <v>68395.5</v>
      </c>
      <c r="V511" s="346">
        <f t="shared" si="209"/>
        <v>4677944420.25</v>
      </c>
      <c r="X511" s="372">
        <f t="shared" si="203"/>
        <v>23.604865198925896</v>
      </c>
      <c r="Y511" s="373">
        <f t="shared" si="204"/>
        <v>-14.462977930744675</v>
      </c>
      <c r="AA511" s="372">
        <f t="shared" si="205"/>
        <v>11.678859404242958</v>
      </c>
      <c r="AB511" s="373">
        <f t="shared" si="206"/>
        <v>-119.67378134142439</v>
      </c>
      <c r="AD511">
        <f t="shared" si="210"/>
        <v>0</v>
      </c>
      <c r="AE511">
        <f t="shared" si="213"/>
        <v>0</v>
      </c>
    </row>
    <row r="512" spans="1:31" x14ac:dyDescent="0.2">
      <c r="A512" s="374">
        <v>68789.25</v>
      </c>
      <c r="B512" s="391">
        <f t="shared" si="207"/>
        <v>68.789249999999996</v>
      </c>
      <c r="C512" s="364">
        <f t="shared" si="188"/>
        <v>88.022112277113806</v>
      </c>
      <c r="D512" s="365">
        <f t="shared" si="189"/>
        <v>1.5594353007230854</v>
      </c>
      <c r="E512" s="365">
        <f t="shared" si="190"/>
        <v>1.2950782959013194</v>
      </c>
      <c r="F512" s="366">
        <f t="shared" si="191"/>
        <v>0.68857218221157979</v>
      </c>
      <c r="G512" s="365">
        <f t="shared" si="192"/>
        <v>1</v>
      </c>
      <c r="H512" s="366">
        <f t="shared" si="193"/>
        <v>0</v>
      </c>
      <c r="I512" s="364">
        <f t="shared" si="194"/>
        <v>23353.763142698863</v>
      </c>
      <c r="J512" s="367">
        <f t="shared" si="195"/>
        <v>1.5707535071433401</v>
      </c>
      <c r="K512" s="375">
        <f t="shared" si="211"/>
        <v>14.155849060517692</v>
      </c>
      <c r="L512" s="376">
        <f t="shared" si="212"/>
        <v>1.500095262622045</v>
      </c>
      <c r="M512" s="364">
        <f t="shared" si="196"/>
        <v>1.0168656583313647</v>
      </c>
      <c r="N512" s="367">
        <f t="shared" si="197"/>
        <v>0.18238409179161599</v>
      </c>
      <c r="O512" s="368">
        <f t="shared" si="198"/>
        <v>1.8082576253893232</v>
      </c>
      <c r="P512" s="369">
        <f t="shared" si="199"/>
        <v>1.2191925638506453</v>
      </c>
      <c r="Q512" s="370">
        <f t="shared" si="200"/>
        <v>-16.26527434177143</v>
      </c>
      <c r="R512" s="371">
        <f t="shared" si="201"/>
        <v>-134.24962760894894</v>
      </c>
      <c r="S512" s="373">
        <f t="shared" si="202"/>
        <v>45.750372391051059</v>
      </c>
      <c r="U512" s="346">
        <f t="shared" si="208"/>
        <v>68789.25</v>
      </c>
      <c r="V512" s="346">
        <f t="shared" si="209"/>
        <v>4731960915.5625</v>
      </c>
      <c r="X512" s="372">
        <f t="shared" si="203"/>
        <v>23.602983761826142</v>
      </c>
      <c r="Y512" s="373">
        <f t="shared" si="204"/>
        <v>-14.498257925426451</v>
      </c>
      <c r="AA512" s="372">
        <f t="shared" si="205"/>
        <v>11.612367250956801</v>
      </c>
      <c r="AB512" s="373">
        <f t="shared" si="206"/>
        <v>-119.75136968352253</v>
      </c>
      <c r="AD512">
        <f t="shared" si="210"/>
        <v>0</v>
      </c>
      <c r="AE512">
        <f t="shared" si="213"/>
        <v>0</v>
      </c>
    </row>
    <row r="513" spans="1:31" x14ac:dyDescent="0.2">
      <c r="A513" s="374">
        <v>69183</v>
      </c>
      <c r="B513" s="391">
        <f t="shared" si="207"/>
        <v>69.183000000000007</v>
      </c>
      <c r="C513" s="364">
        <f t="shared" si="188"/>
        <v>88.525886429753186</v>
      </c>
      <c r="D513" s="365">
        <f t="shared" si="189"/>
        <v>1.5594999556581861</v>
      </c>
      <c r="E513" s="365">
        <f t="shared" si="190"/>
        <v>1.2980766124109304</v>
      </c>
      <c r="F513" s="366">
        <f t="shared" si="191"/>
        <v>0.69137420457158838</v>
      </c>
      <c r="G513" s="365">
        <f t="shared" si="192"/>
        <v>1</v>
      </c>
      <c r="H513" s="366">
        <f t="shared" si="193"/>
        <v>0</v>
      </c>
      <c r="I513" s="364">
        <f t="shared" si="194"/>
        <v>23487.44019573586</v>
      </c>
      <c r="J513" s="367">
        <f t="shared" si="195"/>
        <v>1.5707537508482643</v>
      </c>
      <c r="K513" s="375">
        <f t="shared" si="211"/>
        <v>14.236473997873608</v>
      </c>
      <c r="L513" s="376">
        <f t="shared" si="212"/>
        <v>1.5004963243478575</v>
      </c>
      <c r="M513" s="364">
        <f t="shared" si="196"/>
        <v>1.0170576652408483</v>
      </c>
      <c r="N513" s="367">
        <f t="shared" si="197"/>
        <v>0.18340486918775861</v>
      </c>
      <c r="O513" s="368">
        <f t="shared" si="198"/>
        <v>1.8159039459649573</v>
      </c>
      <c r="P513" s="369">
        <f t="shared" si="199"/>
        <v>1.2232746101222978</v>
      </c>
      <c r="Q513" s="370">
        <f t="shared" si="200"/>
        <v>-16.333295578741915</v>
      </c>
      <c r="R513" s="371">
        <f t="shared" si="201"/>
        <v>-134.3621930874682</v>
      </c>
      <c r="S513" s="373">
        <f t="shared" si="202"/>
        <v>45.637806912531801</v>
      </c>
      <c r="U513" s="346">
        <f t="shared" si="208"/>
        <v>69183</v>
      </c>
      <c r="V513" s="346">
        <f t="shared" si="209"/>
        <v>4786287489</v>
      </c>
      <c r="X513" s="372">
        <f t="shared" si="203"/>
        <v>23.601097825298616</v>
      </c>
      <c r="Y513" s="373">
        <f t="shared" si="204"/>
        <v>-14.533778981138676</v>
      </c>
      <c r="AA513" s="372">
        <f t="shared" si="205"/>
        <v>11.546231950513841</v>
      </c>
      <c r="AB513" s="373">
        <f t="shared" si="206"/>
        <v>-119.82841410632952</v>
      </c>
      <c r="AD513">
        <f t="shared" si="210"/>
        <v>0</v>
      </c>
      <c r="AE513">
        <f t="shared" si="213"/>
        <v>0</v>
      </c>
    </row>
    <row r="514" spans="1:31" x14ac:dyDescent="0.2">
      <c r="A514" s="374">
        <v>69586</v>
      </c>
      <c r="B514" s="391">
        <f t="shared" si="207"/>
        <v>69.585999999999999</v>
      </c>
      <c r="C514" s="364">
        <f t="shared" si="188"/>
        <v>89.041495655588605</v>
      </c>
      <c r="D514" s="365">
        <f t="shared" si="189"/>
        <v>1.5595653718863134</v>
      </c>
      <c r="E514" s="365">
        <f t="shared" si="190"/>
        <v>1.3011558698758914</v>
      </c>
      <c r="F514" s="366">
        <f t="shared" si="191"/>
        <v>0.69422865691923075</v>
      </c>
      <c r="G514" s="365">
        <f t="shared" si="192"/>
        <v>1</v>
      </c>
      <c r="H514" s="366">
        <f t="shared" si="193"/>
        <v>0</v>
      </c>
      <c r="I514" s="364">
        <f t="shared" si="194"/>
        <v>23624.25759859167</v>
      </c>
      <c r="J514" s="367">
        <f t="shared" si="195"/>
        <v>1.570753997422381</v>
      </c>
      <c r="K514" s="375">
        <f t="shared" si="211"/>
        <v>14.3189953256288</v>
      </c>
      <c r="L514" s="376">
        <f t="shared" si="212"/>
        <v>1.5009021309177399</v>
      </c>
      <c r="M514" s="364">
        <f t="shared" si="196"/>
        <v>1.0172552797657339</v>
      </c>
      <c r="N514" s="367">
        <f t="shared" si="197"/>
        <v>0.18444922660462729</v>
      </c>
      <c r="O514" s="368">
        <f t="shared" si="198"/>
        <v>1.8237523438030514</v>
      </c>
      <c r="P514" s="369">
        <f t="shared" si="199"/>
        <v>1.227430252845475</v>
      </c>
      <c r="Q514" s="370">
        <f t="shared" si="200"/>
        <v>-16.402553625406149</v>
      </c>
      <c r="R514" s="371">
        <f t="shared" si="201"/>
        <v>-134.47709427443709</v>
      </c>
      <c r="S514" s="373">
        <f t="shared" si="202"/>
        <v>45.522905725562907</v>
      </c>
      <c r="U514" s="346">
        <f t="shared" si="208"/>
        <v>69586</v>
      </c>
      <c r="V514" s="346">
        <f t="shared" si="209"/>
        <v>4842211396</v>
      </c>
      <c r="X514" s="372">
        <f t="shared" si="203"/>
        <v>23.599162835974859</v>
      </c>
      <c r="Y514" s="373">
        <f t="shared" si="204"/>
        <v>-14.570379377373545</v>
      </c>
      <c r="AA514" s="372">
        <f t="shared" si="205"/>
        <v>11.478908893173367</v>
      </c>
      <c r="AB514" s="373">
        <f t="shared" si="206"/>
        <v>-119.90671489706352</v>
      </c>
      <c r="AD514">
        <f t="shared" si="210"/>
        <v>0</v>
      </c>
      <c r="AE514">
        <f t="shared" si="213"/>
        <v>0</v>
      </c>
    </row>
    <row r="515" spans="1:31" x14ac:dyDescent="0.2">
      <c r="A515" s="374">
        <v>69989</v>
      </c>
      <c r="B515" s="391">
        <f t="shared" si="207"/>
        <v>69.989000000000004</v>
      </c>
      <c r="C515" s="364">
        <f t="shared" si="188"/>
        <v>89.557105258070308</v>
      </c>
      <c r="D515" s="365">
        <f t="shared" si="189"/>
        <v>1.5596300348693908</v>
      </c>
      <c r="E515" s="365">
        <f t="shared" si="190"/>
        <v>1.3042456789160999</v>
      </c>
      <c r="F515" s="366">
        <f t="shared" si="191"/>
        <v>0.69706960770490456</v>
      </c>
      <c r="G515" s="365">
        <f t="shared" si="192"/>
        <v>1</v>
      </c>
      <c r="H515" s="366">
        <f t="shared" si="193"/>
        <v>0</v>
      </c>
      <c r="I515" s="364">
        <f t="shared" si="194"/>
        <v>23761.075001448891</v>
      </c>
      <c r="J515" s="367">
        <f t="shared" si="195"/>
        <v>1.5707542411569264</v>
      </c>
      <c r="K515" s="375">
        <f t="shared" si="211"/>
        <v>14.401518984397882</v>
      </c>
      <c r="L515" s="376">
        <f t="shared" si="212"/>
        <v>1.5013032868432326</v>
      </c>
      <c r="M515" s="364">
        <f t="shared" si="196"/>
        <v>1.0174540033613728</v>
      </c>
      <c r="N515" s="367">
        <f t="shared" si="197"/>
        <v>0.18549317720329603</v>
      </c>
      <c r="O515" s="368">
        <f t="shared" si="198"/>
        <v>1.8316233496222603</v>
      </c>
      <c r="P515" s="369">
        <f t="shared" si="199"/>
        <v>1.2315635429217333</v>
      </c>
      <c r="Q515" s="370">
        <f t="shared" si="200"/>
        <v>-16.471450068848561</v>
      </c>
      <c r="R515" s="371">
        <f t="shared" si="201"/>
        <v>-134.59168816446575</v>
      </c>
      <c r="S515" s="373">
        <f t="shared" si="202"/>
        <v>45.408311835534249</v>
      </c>
      <c r="U515" s="346">
        <f t="shared" si="208"/>
        <v>69989</v>
      </c>
      <c r="V515" s="346">
        <f t="shared" si="209"/>
        <v>4898460121</v>
      </c>
      <c r="X515" s="372">
        <f t="shared" si="203"/>
        <v>23.597222955417632</v>
      </c>
      <c r="Y515" s="373">
        <f t="shared" si="204"/>
        <v>-14.607222764242895</v>
      </c>
      <c r="AA515" s="372">
        <f t="shared" si="205"/>
        <v>11.41195233028818</v>
      </c>
      <c r="AB515" s="373">
        <f t="shared" si="206"/>
        <v>-119.98446540022287</v>
      </c>
      <c r="AD515">
        <f t="shared" si="210"/>
        <v>0</v>
      </c>
      <c r="AE515">
        <f t="shared" si="213"/>
        <v>0</v>
      </c>
    </row>
    <row r="516" spans="1:31" x14ac:dyDescent="0.2">
      <c r="A516" s="374">
        <v>70392</v>
      </c>
      <c r="B516" s="391">
        <f t="shared" si="207"/>
        <v>70.391999999999996</v>
      </c>
      <c r="C516" s="364">
        <f t="shared" si="188"/>
        <v>90.072715230730097</v>
      </c>
      <c r="D516" s="365">
        <f t="shared" si="189"/>
        <v>1.5596939575424438</v>
      </c>
      <c r="E516" s="365">
        <f t="shared" si="190"/>
        <v>1.3073459647181118</v>
      </c>
      <c r="F516" s="366">
        <f t="shared" si="191"/>
        <v>0.6998971069618658</v>
      </c>
      <c r="G516" s="365">
        <f t="shared" si="192"/>
        <v>1</v>
      </c>
      <c r="H516" s="366">
        <f t="shared" si="193"/>
        <v>0</v>
      </c>
      <c r="I516" s="364">
        <f t="shared" si="194"/>
        <v>23897.892404307513</v>
      </c>
      <c r="J516" s="367">
        <f t="shared" si="195"/>
        <v>1.5707544821006711</v>
      </c>
      <c r="K516" s="375">
        <f t="shared" si="211"/>
        <v>14.484044934337614</v>
      </c>
      <c r="L516" s="376">
        <f t="shared" si="212"/>
        <v>1.501699871488235</v>
      </c>
      <c r="M516" s="364">
        <f t="shared" si="196"/>
        <v>1.01765383537804</v>
      </c>
      <c r="N516" s="367">
        <f t="shared" si="197"/>
        <v>0.18653671894729665</v>
      </c>
      <c r="O516" s="368">
        <f t="shared" si="198"/>
        <v>1.839516862578833</v>
      </c>
      <c r="P516" s="369">
        <f t="shared" si="199"/>
        <v>1.2356746853853564</v>
      </c>
      <c r="Q516" s="370">
        <f t="shared" si="200"/>
        <v>-16.539988626698143</v>
      </c>
      <c r="R516" s="371">
        <f t="shared" si="201"/>
        <v>-134.70597971847815</v>
      </c>
      <c r="S516" s="373">
        <f t="shared" si="202"/>
        <v>45.294020281521853</v>
      </c>
      <c r="U516" s="346">
        <f t="shared" si="208"/>
        <v>70392</v>
      </c>
      <c r="V516" s="346">
        <f t="shared" si="209"/>
        <v>4955033664</v>
      </c>
      <c r="X516" s="372">
        <f t="shared" si="203"/>
        <v>23.595278097954846</v>
      </c>
      <c r="Y516" s="373">
        <f t="shared" si="204"/>
        <v>-14.644304480643564</v>
      </c>
      <c r="AA516" s="372">
        <f t="shared" si="205"/>
        <v>11.345358629901387</v>
      </c>
      <c r="AB516" s="373">
        <f t="shared" si="206"/>
        <v>-120.06167523783461</v>
      </c>
      <c r="AD516">
        <f t="shared" si="210"/>
        <v>0</v>
      </c>
      <c r="AE516">
        <f t="shared" si="213"/>
        <v>0</v>
      </c>
    </row>
    <row r="517" spans="1:31" x14ac:dyDescent="0.2">
      <c r="A517" s="374">
        <v>70795</v>
      </c>
      <c r="B517" s="391">
        <f t="shared" si="207"/>
        <v>70.795000000000002</v>
      </c>
      <c r="C517" s="364">
        <f t="shared" si="188"/>
        <v>90.588325567247054</v>
      </c>
      <c r="D517" s="365">
        <f t="shared" si="189"/>
        <v>1.5597571525460276</v>
      </c>
      <c r="E517" s="365">
        <f t="shared" si="190"/>
        <v>1.3104566529239812</v>
      </c>
      <c r="F517" s="366">
        <f t="shared" si="191"/>
        <v>0.70271120511103691</v>
      </c>
      <c r="G517" s="365">
        <f t="shared" si="192"/>
        <v>1</v>
      </c>
      <c r="H517" s="366">
        <f t="shared" si="193"/>
        <v>0</v>
      </c>
      <c r="I517" s="364">
        <f t="shared" si="194"/>
        <v>24034.709807167503</v>
      </c>
      <c r="J517" s="367">
        <f t="shared" si="195"/>
        <v>1.5707547203012751</v>
      </c>
      <c r="K517" s="375">
        <f t="shared" si="211"/>
        <v>14.56657313650657</v>
      </c>
      <c r="L517" s="376">
        <f t="shared" si="212"/>
        <v>1.5020919624239017</v>
      </c>
      <c r="M517" s="364">
        <f t="shared" si="196"/>
        <v>1.0178547751628972</v>
      </c>
      <c r="N517" s="367">
        <f t="shared" si="197"/>
        <v>0.18757984980531761</v>
      </c>
      <c r="O517" s="368">
        <f t="shared" si="198"/>
        <v>1.8474327838162756</v>
      </c>
      <c r="P517" s="369">
        <f t="shared" si="199"/>
        <v>1.2397638832382631</v>
      </c>
      <c r="Q517" s="370">
        <f t="shared" si="200"/>
        <v>-16.608172966939264</v>
      </c>
      <c r="R517" s="371">
        <f t="shared" si="201"/>
        <v>-134.81997384481724</v>
      </c>
      <c r="S517" s="373">
        <f t="shared" si="202"/>
        <v>45.180026155182759</v>
      </c>
      <c r="U517" s="346">
        <f t="shared" si="208"/>
        <v>70795</v>
      </c>
      <c r="V517" s="346">
        <f t="shared" si="209"/>
        <v>5011932025</v>
      </c>
      <c r="X517" s="372">
        <f t="shared" si="203"/>
        <v>23.593328180692943</v>
      </c>
      <c r="Y517" s="373">
        <f t="shared" si="204"/>
        <v>-14.681619968420909</v>
      </c>
      <c r="AA517" s="372">
        <f t="shared" si="205"/>
        <v>11.279124206922171</v>
      </c>
      <c r="AB517" s="373">
        <f t="shared" si="206"/>
        <v>-120.13835387639629</v>
      </c>
      <c r="AD517">
        <f t="shared" si="210"/>
        <v>0</v>
      </c>
      <c r="AE517">
        <f t="shared" si="213"/>
        <v>0</v>
      </c>
    </row>
    <row r="518" spans="1:31" x14ac:dyDescent="0.2">
      <c r="A518" s="374">
        <v>71207.25</v>
      </c>
      <c r="B518" s="391">
        <f t="shared" si="207"/>
        <v>71.207250000000002</v>
      </c>
      <c r="C518" s="364">
        <f t="shared" si="188"/>
        <v>91.115771002371815</v>
      </c>
      <c r="D518" s="365">
        <f t="shared" si="189"/>
        <v>1.5598210580201468</v>
      </c>
      <c r="E518" s="365">
        <f t="shared" si="190"/>
        <v>1.3136494265440581</v>
      </c>
      <c r="F518" s="366">
        <f t="shared" si="191"/>
        <v>0.70557608177419895</v>
      </c>
      <c r="G518" s="365">
        <f t="shared" si="192"/>
        <v>1</v>
      </c>
      <c r="H518" s="366">
        <f t="shared" si="193"/>
        <v>0</v>
      </c>
      <c r="I518" s="364">
        <f t="shared" si="194"/>
        <v>24174.667559846395</v>
      </c>
      <c r="J518" s="367">
        <f t="shared" si="195"/>
        <v>1.570754961179514</v>
      </c>
      <c r="K518" s="375">
        <f t="shared" si="211"/>
        <v>14.650997887101015</v>
      </c>
      <c r="L518" s="376">
        <f t="shared" si="212"/>
        <v>1.5024884824066442</v>
      </c>
      <c r="M518" s="364">
        <f t="shared" si="196"/>
        <v>1.0180614726049675</v>
      </c>
      <c r="N518" s="367">
        <f t="shared" si="197"/>
        <v>0.18864649624004765</v>
      </c>
      <c r="O518" s="368">
        <f t="shared" si="198"/>
        <v>1.855553482702768</v>
      </c>
      <c r="P518" s="369">
        <f t="shared" si="199"/>
        <v>1.2439244434516945</v>
      </c>
      <c r="Q518" s="370">
        <f t="shared" si="200"/>
        <v>-16.677559599201498</v>
      </c>
      <c r="R518" s="371">
        <f t="shared" si="201"/>
        <v>-134.93628177666534</v>
      </c>
      <c r="S518" s="373">
        <f t="shared" si="202"/>
        <v>45.063718223334661</v>
      </c>
      <c r="U518" s="346">
        <f t="shared" si="208"/>
        <v>71207.25</v>
      </c>
      <c r="V518" s="346">
        <f t="shared" si="209"/>
        <v>5070472452.5625</v>
      </c>
      <c r="X518" s="372">
        <f t="shared" si="203"/>
        <v>23.591328188319267</v>
      </c>
      <c r="Y518" s="373">
        <f t="shared" si="204"/>
        <v>-14.720029187210223</v>
      </c>
      <c r="AA518" s="372">
        <f t="shared" si="205"/>
        <v>11.211737567033611</v>
      </c>
      <c r="AB518" s="373">
        <f t="shared" si="206"/>
        <v>-120.2162525894551</v>
      </c>
      <c r="AD518">
        <f t="shared" si="210"/>
        <v>0</v>
      </c>
      <c r="AE518">
        <f t="shared" si="213"/>
        <v>0</v>
      </c>
    </row>
    <row r="519" spans="1:31" x14ac:dyDescent="0.2">
      <c r="A519" s="374">
        <v>71619.5</v>
      </c>
      <c r="B519" s="391">
        <f t="shared" si="207"/>
        <v>71.619500000000002</v>
      </c>
      <c r="C519" s="364">
        <f t="shared" si="188"/>
        <v>91.643216805321856</v>
      </c>
      <c r="D519" s="365">
        <f t="shared" si="189"/>
        <v>1.559884227887997</v>
      </c>
      <c r="E519" s="365">
        <f t="shared" si="190"/>
        <v>1.3168529296323614</v>
      </c>
      <c r="F519" s="366">
        <f t="shared" si="191"/>
        <v>0.70842704299302472</v>
      </c>
      <c r="G519" s="365">
        <f t="shared" si="192"/>
        <v>1</v>
      </c>
      <c r="H519" s="366">
        <f t="shared" si="193"/>
        <v>0</v>
      </c>
      <c r="I519" s="364">
        <f t="shared" si="194"/>
        <v>24314.625312526674</v>
      </c>
      <c r="J519" s="367">
        <f t="shared" si="195"/>
        <v>1.5707551992847077</v>
      </c>
      <c r="K519" s="375">
        <f t="shared" si="211"/>
        <v>14.735424914847984</v>
      </c>
      <c r="L519" s="376">
        <f t="shared" si="212"/>
        <v>1.5028804587058437</v>
      </c>
      <c r="M519" s="364">
        <f t="shared" si="196"/>
        <v>1.0182693278598109</v>
      </c>
      <c r="N519" s="367">
        <f t="shared" si="197"/>
        <v>0.18971270842687127</v>
      </c>
      <c r="O519" s="368">
        <f t="shared" si="198"/>
        <v>1.8636974273123625</v>
      </c>
      <c r="P519" s="369">
        <f t="shared" si="199"/>
        <v>1.2480624633673882</v>
      </c>
      <c r="Q519" s="370">
        <f t="shared" si="200"/>
        <v>-16.74658317632737</v>
      </c>
      <c r="R519" s="371">
        <f t="shared" si="201"/>
        <v>-135.052288688114</v>
      </c>
      <c r="S519" s="373">
        <f t="shared" si="202"/>
        <v>44.947711311885996</v>
      </c>
      <c r="U519" s="346">
        <f t="shared" si="208"/>
        <v>71619.5</v>
      </c>
      <c r="V519" s="346">
        <f t="shared" si="209"/>
        <v>5129352780.25</v>
      </c>
      <c r="X519" s="372">
        <f t="shared" si="203"/>
        <v>23.589322734239943</v>
      </c>
      <c r="Y519" s="373">
        <f t="shared" si="204"/>
        <v>-14.758673700434187</v>
      </c>
      <c r="AA519" s="372">
        <f t="shared" si="205"/>
        <v>11.144719443987061</v>
      </c>
      <c r="AB519" s="373">
        <f t="shared" si="206"/>
        <v>-120.29361498767985</v>
      </c>
      <c r="AD519">
        <f t="shared" si="210"/>
        <v>0</v>
      </c>
      <c r="AE519">
        <f t="shared" si="213"/>
        <v>0</v>
      </c>
    </row>
    <row r="520" spans="1:31" x14ac:dyDescent="0.2">
      <c r="A520" s="374">
        <v>72031.75</v>
      </c>
      <c r="B520" s="391">
        <f t="shared" si="207"/>
        <v>72.031750000000002</v>
      </c>
      <c r="C520" s="364">
        <f t="shared" si="188"/>
        <v>92.170662969782583</v>
      </c>
      <c r="D520" s="365">
        <f t="shared" si="189"/>
        <v>1.5599466747775792</v>
      </c>
      <c r="E520" s="365">
        <f t="shared" si="190"/>
        <v>1.320067084074944</v>
      </c>
      <c r="F520" s="366">
        <f t="shared" si="191"/>
        <v>0.71126414389962289</v>
      </c>
      <c r="G520" s="365">
        <f t="shared" si="192"/>
        <v>1</v>
      </c>
      <c r="H520" s="366">
        <f t="shared" si="193"/>
        <v>0</v>
      </c>
      <c r="I520" s="364">
        <f t="shared" si="194"/>
        <v>24454.583065208317</v>
      </c>
      <c r="J520" s="367">
        <f t="shared" si="195"/>
        <v>1.5707554346644681</v>
      </c>
      <c r="K520" s="375">
        <f t="shared" si="211"/>
        <v>14.81985418082944</v>
      </c>
      <c r="L520" s="376">
        <f t="shared" si="212"/>
        <v>1.503267968856616</v>
      </c>
      <c r="M520" s="364">
        <f t="shared" si="196"/>
        <v>1.018478340218554</v>
      </c>
      <c r="N520" s="367">
        <f t="shared" si="197"/>
        <v>0.19077848420824506</v>
      </c>
      <c r="O520" s="368">
        <f t="shared" si="198"/>
        <v>1.8718645180819093</v>
      </c>
      <c r="P520" s="369">
        <f t="shared" si="199"/>
        <v>1.252178153744766</v>
      </c>
      <c r="Q520" s="370">
        <f t="shared" si="200"/>
        <v>-16.815247469545859</v>
      </c>
      <c r="R520" s="371">
        <f t="shared" si="201"/>
        <v>-135.16799965615763</v>
      </c>
      <c r="S520" s="373">
        <f t="shared" si="202"/>
        <v>44.832000343842367</v>
      </c>
      <c r="U520" s="346">
        <f t="shared" si="208"/>
        <v>72031.75</v>
      </c>
      <c r="V520" s="346">
        <f t="shared" si="209"/>
        <v>5188573008.0625</v>
      </c>
      <c r="X520" s="372">
        <f t="shared" si="203"/>
        <v>23.58731173815805</v>
      </c>
      <c r="Y520" s="373">
        <f t="shared" si="204"/>
        <v>-14.797548944767703</v>
      </c>
      <c r="AA520" s="372">
        <f t="shared" si="205"/>
        <v>11.078066146850464</v>
      </c>
      <c r="AB520" s="373">
        <f t="shared" si="206"/>
        <v>-120.37045071138996</v>
      </c>
      <c r="AD520">
        <f t="shared" si="210"/>
        <v>0</v>
      </c>
      <c r="AE520">
        <f t="shared" si="213"/>
        <v>0</v>
      </c>
    </row>
    <row r="521" spans="1:31" x14ac:dyDescent="0.2">
      <c r="A521" s="374">
        <v>72444</v>
      </c>
      <c r="B521" s="391">
        <f t="shared" si="207"/>
        <v>72.444000000000003</v>
      </c>
      <c r="C521" s="364">
        <f t="shared" si="188"/>
        <v>92.698109489583032</v>
      </c>
      <c r="D521" s="365">
        <f t="shared" si="189"/>
        <v>1.5600084110295074</v>
      </c>
      <c r="E521" s="365">
        <f t="shared" si="190"/>
        <v>1.3232918122583202</v>
      </c>
      <c r="F521" s="366">
        <f t="shared" si="191"/>
        <v>0.71408743998386615</v>
      </c>
      <c r="G521" s="365">
        <f t="shared" si="192"/>
        <v>1</v>
      </c>
      <c r="H521" s="366">
        <f t="shared" si="193"/>
        <v>0</v>
      </c>
      <c r="I521" s="364">
        <f t="shared" si="194"/>
        <v>24594.540817891295</v>
      </c>
      <c r="J521" s="367">
        <f t="shared" si="195"/>
        <v>1.5707556673653231</v>
      </c>
      <c r="K521" s="375">
        <f t="shared" si="211"/>
        <v>14.904285647008168</v>
      </c>
      <c r="L521" s="376">
        <f t="shared" si="212"/>
        <v>1.5036510886425931</v>
      </c>
      <c r="M521" s="364">
        <f t="shared" si="196"/>
        <v>1.0186885089689599</v>
      </c>
      <c r="N521" s="367">
        <f t="shared" si="197"/>
        <v>0.19184382143235695</v>
      </c>
      <c r="O521" s="368">
        <f t="shared" si="198"/>
        <v>1.8800546574925578</v>
      </c>
      <c r="P521" s="369">
        <f t="shared" si="199"/>
        <v>1.2562717231585399</v>
      </c>
      <c r="Q521" s="370">
        <f t="shared" si="200"/>
        <v>-16.883556199734066</v>
      </c>
      <c r="R521" s="371">
        <f t="shared" si="201"/>
        <v>-135.28341969627039</v>
      </c>
      <c r="S521" s="373">
        <f t="shared" si="202"/>
        <v>44.716580303729614</v>
      </c>
      <c r="U521" s="346">
        <f t="shared" si="208"/>
        <v>72444</v>
      </c>
      <c r="V521" s="346">
        <f t="shared" si="209"/>
        <v>5248133136</v>
      </c>
      <c r="X521" s="372">
        <f t="shared" si="203"/>
        <v>23.585295122434417</v>
      </c>
      <c r="Y521" s="373">
        <f t="shared" si="204"/>
        <v>-14.836650457504621</v>
      </c>
      <c r="AA521" s="372">
        <f t="shared" si="205"/>
        <v>11.011774032385894</v>
      </c>
      <c r="AB521" s="373">
        <f t="shared" si="206"/>
        <v>-120.44676923876573</v>
      </c>
      <c r="AD521">
        <f t="shared" si="210"/>
        <v>0</v>
      </c>
      <c r="AE521">
        <f t="shared" si="213"/>
        <v>0</v>
      </c>
    </row>
    <row r="522" spans="1:31" x14ac:dyDescent="0.2">
      <c r="A522" s="374">
        <v>72865.75</v>
      </c>
      <c r="B522" s="391">
        <f t="shared" si="207"/>
        <v>72.865750000000006</v>
      </c>
      <c r="C522" s="364">
        <f t="shared" si="188"/>
        <v>93.237710990431339</v>
      </c>
      <c r="D522" s="365">
        <f t="shared" si="189"/>
        <v>1.5600708471334293</v>
      </c>
      <c r="E522" s="365">
        <f t="shared" si="190"/>
        <v>1.3266017135819164</v>
      </c>
      <c r="F522" s="366">
        <f t="shared" si="191"/>
        <v>0.71696156941439226</v>
      </c>
      <c r="G522" s="365">
        <f t="shared" si="192"/>
        <v>1</v>
      </c>
      <c r="H522" s="366">
        <f t="shared" si="193"/>
        <v>0</v>
      </c>
      <c r="I522" s="364">
        <f t="shared" si="194"/>
        <v>24737.723794712667</v>
      </c>
      <c r="J522" s="367">
        <f t="shared" si="195"/>
        <v>1.5707559027037972</v>
      </c>
      <c r="K522" s="375">
        <f t="shared" si="211"/>
        <v>14.990665012694656</v>
      </c>
      <c r="L522" s="376">
        <f t="shared" si="212"/>
        <v>1.504038571094952</v>
      </c>
      <c r="M522" s="364">
        <f t="shared" si="196"/>
        <v>1.0189047168294265</v>
      </c>
      <c r="N522" s="367">
        <f t="shared" si="197"/>
        <v>0.19293325250341772</v>
      </c>
      <c r="O522" s="368">
        <f t="shared" si="198"/>
        <v>1.8884572845698402</v>
      </c>
      <c r="P522" s="369">
        <f t="shared" si="199"/>
        <v>1.2604369496276238</v>
      </c>
      <c r="Q522" s="370">
        <f t="shared" si="200"/>
        <v>-16.953074934960075</v>
      </c>
      <c r="R522" s="371">
        <f t="shared" si="201"/>
        <v>-135.40120361008806</v>
      </c>
      <c r="S522" s="373">
        <f t="shared" si="202"/>
        <v>44.598796389911939</v>
      </c>
      <c r="U522" s="346">
        <f t="shared" si="208"/>
        <v>72865.75</v>
      </c>
      <c r="V522" s="346">
        <f t="shared" si="209"/>
        <v>5309417523.0625</v>
      </c>
      <c r="X522" s="372">
        <f t="shared" si="203"/>
        <v>23.583226141624458</v>
      </c>
      <c r="Y522" s="373">
        <f t="shared" si="204"/>
        <v>-14.876882634738569</v>
      </c>
      <c r="AA522" s="372">
        <f t="shared" si="205"/>
        <v>10.944324277969846</v>
      </c>
      <c r="AB522" s="373">
        <f t="shared" si="206"/>
        <v>-120.5243209753495</v>
      </c>
      <c r="AD522">
        <f t="shared" si="210"/>
        <v>0</v>
      </c>
      <c r="AE522">
        <f t="shared" si="213"/>
        <v>0</v>
      </c>
    </row>
    <row r="523" spans="1:31" x14ac:dyDescent="0.2">
      <c r="A523" s="374">
        <v>73287.5</v>
      </c>
      <c r="B523" s="391">
        <f t="shared" si="207"/>
        <v>73.287499999999994</v>
      </c>
      <c r="C523" s="364">
        <f t="shared" si="188"/>
        <v>93.777312850562325</v>
      </c>
      <c r="D523" s="365">
        <f t="shared" si="189"/>
        <v>1.5601325647133155</v>
      </c>
      <c r="E523" s="365">
        <f t="shared" si="190"/>
        <v>1.3299225188583541</v>
      </c>
      <c r="F523" s="366">
        <f t="shared" si="191"/>
        <v>0.71982136901682847</v>
      </c>
      <c r="G523" s="365">
        <f t="shared" si="192"/>
        <v>1</v>
      </c>
      <c r="H523" s="366">
        <f t="shared" si="193"/>
        <v>0</v>
      </c>
      <c r="I523" s="364">
        <f t="shared" si="194"/>
        <v>24880.906771535385</v>
      </c>
      <c r="J523" s="367">
        <f t="shared" si="195"/>
        <v>1.5707561353336508</v>
      </c>
      <c r="K523" s="375">
        <f t="shared" si="211"/>
        <v>15.077046603329288</v>
      </c>
      <c r="L523" s="376">
        <f t="shared" si="212"/>
        <v>1.5044216135635342</v>
      </c>
      <c r="M523" s="364">
        <f t="shared" si="196"/>
        <v>1.0191221334732605</v>
      </c>
      <c r="N523" s="367">
        <f t="shared" si="197"/>
        <v>0.19402222003416336</v>
      </c>
      <c r="O523" s="368">
        <f t="shared" si="198"/>
        <v>1.8968838347363062</v>
      </c>
      <c r="P523" s="369">
        <f t="shared" si="199"/>
        <v>1.2645794585407706</v>
      </c>
      <c r="Q523" s="370">
        <f t="shared" si="200"/>
        <v>-17.022229252048241</v>
      </c>
      <c r="R523" s="371">
        <f t="shared" si="201"/>
        <v>-135.51869345234073</v>
      </c>
      <c r="S523" s="373">
        <f t="shared" si="202"/>
        <v>44.481306547659273</v>
      </c>
      <c r="U523" s="346">
        <f t="shared" si="208"/>
        <v>73287.5</v>
      </c>
      <c r="V523" s="346">
        <f t="shared" si="209"/>
        <v>5371057656.25</v>
      </c>
      <c r="X523" s="372">
        <f t="shared" si="203"/>
        <v>23.581151122939353</v>
      </c>
      <c r="Y523" s="373">
        <f t="shared" si="204"/>
        <v>-14.917342490208068</v>
      </c>
      <c r="AA523" s="372">
        <f t="shared" si="205"/>
        <v>10.877244979566786</v>
      </c>
      <c r="AB523" s="373">
        <f t="shared" si="206"/>
        <v>-120.60135096213263</v>
      </c>
      <c r="AD523">
        <f t="shared" si="210"/>
        <v>0</v>
      </c>
      <c r="AE523">
        <f t="shared" si="213"/>
        <v>0</v>
      </c>
    </row>
    <row r="524" spans="1:31" x14ac:dyDescent="0.2">
      <c r="A524" s="374">
        <v>73709.25</v>
      </c>
      <c r="B524" s="391">
        <f t="shared" si="207"/>
        <v>73.709249999999997</v>
      </c>
      <c r="C524" s="364">
        <f t="shared" si="188"/>
        <v>94.316915063809461</v>
      </c>
      <c r="D524" s="365">
        <f t="shared" si="189"/>
        <v>1.5601935761010659</v>
      </c>
      <c r="E524" s="365">
        <f t="shared" si="190"/>
        <v>1.3332541466105128</v>
      </c>
      <c r="F524" s="366">
        <f t="shared" si="191"/>
        <v>0.72266689926420158</v>
      </c>
      <c r="G524" s="365">
        <f t="shared" si="192"/>
        <v>1</v>
      </c>
      <c r="H524" s="366">
        <f t="shared" si="193"/>
        <v>0</v>
      </c>
      <c r="I524" s="364">
        <f t="shared" si="194"/>
        <v>25024.089748359442</v>
      </c>
      <c r="J524" s="367">
        <f t="shared" si="195"/>
        <v>1.570756365301379</v>
      </c>
      <c r="K524" s="375">
        <f t="shared" si="211"/>
        <v>15.163430380887446</v>
      </c>
      <c r="L524" s="376">
        <f t="shared" si="212"/>
        <v>1.504800291816722</v>
      </c>
      <c r="M524" s="364">
        <f t="shared" si="196"/>
        <v>1.0193407581269924</v>
      </c>
      <c r="N524" s="367">
        <f t="shared" si="197"/>
        <v>0.19511072173932623</v>
      </c>
      <c r="O524" s="368">
        <f t="shared" si="198"/>
        <v>1.9053342100072728</v>
      </c>
      <c r="P524" s="369">
        <f t="shared" si="199"/>
        <v>1.2686994662077995</v>
      </c>
      <c r="Q524" s="370">
        <f t="shared" si="200"/>
        <v>-17.09102297752445</v>
      </c>
      <c r="R524" s="371">
        <f t="shared" si="201"/>
        <v>-135.63589438890384</v>
      </c>
      <c r="S524" s="373">
        <f t="shared" si="202"/>
        <v>44.364105611096164</v>
      </c>
      <c r="U524" s="346">
        <f t="shared" si="208"/>
        <v>73709.25</v>
      </c>
      <c r="V524" s="346">
        <f t="shared" si="209"/>
        <v>5433053535.5625</v>
      </c>
      <c r="X524" s="372">
        <f t="shared" si="203"/>
        <v>23.579069991321337</v>
      </c>
      <c r="Y524" s="373">
        <f t="shared" si="204"/>
        <v>-14.958025554432385</v>
      </c>
      <c r="AA524" s="372">
        <f t="shared" si="205"/>
        <v>10.810532385708591</v>
      </c>
      <c r="AB524" s="373">
        <f t="shared" si="206"/>
        <v>-120.67786883447143</v>
      </c>
      <c r="AD524">
        <f t="shared" si="210"/>
        <v>0</v>
      </c>
      <c r="AE524">
        <f t="shared" si="213"/>
        <v>0</v>
      </c>
    </row>
    <row r="525" spans="1:31" x14ac:dyDescent="0.2">
      <c r="A525" s="374">
        <v>74131</v>
      </c>
      <c r="B525" s="391">
        <f t="shared" si="207"/>
        <v>74.131</v>
      </c>
      <c r="C525" s="364">
        <f t="shared" ref="C525:C588" si="214">SQRT(1+(A525/pole1)^2)</f>
        <v>94.856517624146505</v>
      </c>
      <c r="D525" s="365">
        <f t="shared" ref="D525:D588" si="215">ATAN(A525/pole1)</f>
        <v>1.5602538933479957</v>
      </c>
      <c r="E525" s="365">
        <f t="shared" ref="E525:E588" si="216">SQRT(1+(A525/Zero1)^2)</f>
        <v>1.3365965159094235</v>
      </c>
      <c r="F525" s="366">
        <f t="shared" ref="F525:F588" si="217">ATAN(A525/Zero1)</f>
        <v>0.72549822095190286</v>
      </c>
      <c r="G525" s="365">
        <f t="shared" ref="G525:G588" si="218">IF(VIN_nom&gt;Vout, 1, SQRT(1+(A525/z_RHP)^2))</f>
        <v>1</v>
      </c>
      <c r="H525" s="366">
        <f t="shared" ref="H525:H588" si="219">IF(VIN_nom&gt;Vout, 0, -ATAN(A525/z_RHP))</f>
        <v>0</v>
      </c>
      <c r="I525" s="364">
        <f t="shared" ref="I525:I588" si="220">SQRT(1+(A525/Pole2)^2)</f>
        <v>25167.272725184801</v>
      </c>
      <c r="J525" s="367">
        <f t="shared" ref="J525:J588" si="221">ATAN(A525/Pole2)</f>
        <v>1.5707565926524178</v>
      </c>
      <c r="K525" s="375">
        <f t="shared" si="211"/>
        <v>15.24981630820513</v>
      </c>
      <c r="L525" s="376">
        <f t="shared" si="212"/>
        <v>1.5051746799111434</v>
      </c>
      <c r="M525" s="364">
        <f t="shared" ref="M525:M588" si="222">SQRT(1+(A525/pole4)^2)</f>
        <v>1.0195605900135207</v>
      </c>
      <c r="N525" s="367">
        <f t="shared" ref="N525:N588" si="223">ATAN(A525/pole4)</f>
        <v>0.19619875534000883</v>
      </c>
      <c r="O525" s="368">
        <f t="shared" ref="O525:O588" si="224">SQRT((1-(V525/pterm2))^2+(A525/pterm1)^2)</f>
        <v>1.9138083144971647</v>
      </c>
      <c r="P525" s="369">
        <f t="shared" ref="P525:P588" si="225">IF((ATAN((A525/pterm1)/(1-A525^2/pterm2))&gt;0),ATAN((A525/pterm1)/(1-A525^2/pterm2)),PI()+ATAN((A525/pterm1)/(1-A525^2/pterm2)))</f>
        <v>1.2727971866009282</v>
      </c>
      <c r="Q525" s="370">
        <f t="shared" ref="Q525:Q588" si="226">20*LOG10(((E525*K525*G525)/(C525*I525*O525*M525))*Adc)</f>
        <v>-17.159459886743992</v>
      </c>
      <c r="R525" s="371">
        <f t="shared" ref="R525:R588" si="227">((F525+L525+H525)-(D525+J525+P525+N525))*radconv</f>
        <v>-135.75281151555242</v>
      </c>
      <c r="S525" s="373">
        <f t="shared" ref="S525:S588" si="228">IF(R525&gt;0,R525,R525+180)</f>
        <v>44.247188484447577</v>
      </c>
      <c r="U525" s="346">
        <f t="shared" si="208"/>
        <v>74131</v>
      </c>
      <c r="V525" s="346">
        <f t="shared" si="209"/>
        <v>5495405161</v>
      </c>
      <c r="X525" s="372">
        <f t="shared" ref="X525:X588" si="229">20*LOG10((K525/(I525*M525))*AEA)</f>
        <v>23.576982674256431</v>
      </c>
      <c r="Y525" s="373">
        <f t="shared" ref="Y525:Y588" si="230">(L525-(J525+N525))*radconv</f>
        <v>-14.998927456311367</v>
      </c>
      <c r="AA525" s="372">
        <f t="shared" ref="AA525:AA588" si="231">20*LOG10((E525*G525/(C525*O525))*Acs*Am)</f>
        <v>10.744182793553954</v>
      </c>
      <c r="AB525" s="373">
        <f t="shared" ref="AB525:AB588" si="232">(F525+H525-(D525+P525))*radconv</f>
        <v>-120.75388405924102</v>
      </c>
      <c r="AD525">
        <f t="shared" si="210"/>
        <v>0</v>
      </c>
      <c r="AE525">
        <f t="shared" si="213"/>
        <v>0</v>
      </c>
    </row>
    <row r="526" spans="1:31" x14ac:dyDescent="0.2">
      <c r="A526" s="374">
        <v>74562.75</v>
      </c>
      <c r="B526" s="391">
        <f t="shared" ref="B526:B589" si="233">A526/1000</f>
        <v>74.562749999999994</v>
      </c>
      <c r="C526" s="364">
        <f t="shared" si="214"/>
        <v>95.408914907999758</v>
      </c>
      <c r="D526" s="365">
        <f t="shared" si="215"/>
        <v>1.5603149340326863</v>
      </c>
      <c r="E526" s="365">
        <f t="shared" si="216"/>
        <v>1.3400291779051599</v>
      </c>
      <c r="F526" s="366">
        <f t="shared" si="217"/>
        <v>0.72838202123783002</v>
      </c>
      <c r="G526" s="365">
        <f t="shared" si="218"/>
        <v>1</v>
      </c>
      <c r="H526" s="366">
        <f t="shared" si="219"/>
        <v>0</v>
      </c>
      <c r="I526" s="364">
        <f t="shared" si="220"/>
        <v>25313.850674787434</v>
      </c>
      <c r="J526" s="367">
        <f t="shared" si="221"/>
        <v>1.5707568227299835</v>
      </c>
      <c r="K526" s="375">
        <f t="shared" si="211"/>
        <v>15.338252697744135</v>
      </c>
      <c r="L526" s="376">
        <f t="shared" si="212"/>
        <v>1.5055535766418988</v>
      </c>
      <c r="M526" s="364">
        <f t="shared" si="222"/>
        <v>1.0197868839679409</v>
      </c>
      <c r="N526" s="367">
        <f t="shared" si="223"/>
        <v>0.19731209975340966</v>
      </c>
      <c r="O526" s="368">
        <f t="shared" si="224"/>
        <v>1.9225078280883932</v>
      </c>
      <c r="P526" s="369">
        <f t="shared" si="225"/>
        <v>1.2769692016776222</v>
      </c>
      <c r="Q526" s="370">
        <f t="shared" si="226"/>
        <v>-17.229153766707679</v>
      </c>
      <c r="R526" s="371">
        <f t="shared" si="227"/>
        <v>-135.87221209487967</v>
      </c>
      <c r="S526" s="373">
        <f t="shared" si="228"/>
        <v>44.127787905120329</v>
      </c>
      <c r="U526" s="346">
        <f t="shared" ref="U526:U589" si="234">IF(Q526&lt;0,A526,1000000000)</f>
        <v>74562.75</v>
      </c>
      <c r="V526" s="346">
        <f t="shared" ref="V526:V589" si="235">A526^2</f>
        <v>5559603687.5625</v>
      </c>
      <c r="X526" s="372">
        <f t="shared" si="229"/>
        <v>23.574839385080047</v>
      </c>
      <c r="Y526" s="373">
        <f t="shared" si="230"/>
        <v>-15.041021391321687</v>
      </c>
      <c r="AA526" s="372">
        <f t="shared" si="231"/>
        <v>10.676632202766649</v>
      </c>
      <c r="AB526" s="373">
        <f t="shared" si="232"/>
        <v>-120.83119070355797</v>
      </c>
      <c r="AD526">
        <f t="shared" ref="AD526:AD589" si="236">SUM((Q527&lt;0)*(Q526&gt;0))*A526</f>
        <v>0</v>
      </c>
      <c r="AE526">
        <f t="shared" si="213"/>
        <v>0</v>
      </c>
    </row>
    <row r="527" spans="1:31" x14ac:dyDescent="0.2">
      <c r="A527" s="374">
        <v>74994.5</v>
      </c>
      <c r="B527" s="391">
        <f t="shared" si="233"/>
        <v>74.994500000000002</v>
      </c>
      <c r="C527" s="364">
        <f t="shared" si="214"/>
        <v>95.961312543250557</v>
      </c>
      <c r="D527" s="365">
        <f t="shared" si="215"/>
        <v>1.5603752719608535</v>
      </c>
      <c r="E527" s="365">
        <f t="shared" si="216"/>
        <v>1.3434729269893539</v>
      </c>
      <c r="F527" s="366">
        <f t="shared" si="217"/>
        <v>0.73125106108430937</v>
      </c>
      <c r="G527" s="365">
        <f t="shared" si="218"/>
        <v>1</v>
      </c>
      <c r="H527" s="366">
        <f t="shared" si="219"/>
        <v>0</v>
      </c>
      <c r="I527" s="364">
        <f t="shared" si="220"/>
        <v>25460.428624391399</v>
      </c>
      <c r="J527" s="367">
        <f t="shared" si="221"/>
        <v>1.570757050158395</v>
      </c>
      <c r="K527" s="375">
        <f t="shared" si="211"/>
        <v>15.426691264037659</v>
      </c>
      <c r="L527" s="376">
        <f t="shared" si="212"/>
        <v>1.5059281291264046</v>
      </c>
      <c r="M527" s="364">
        <f t="shared" si="222"/>
        <v>1.0200144414229073</v>
      </c>
      <c r="N527" s="367">
        <f t="shared" si="223"/>
        <v>0.19842494878839304</v>
      </c>
      <c r="O527" s="368">
        <f t="shared" si="224"/>
        <v>1.9312320127495948</v>
      </c>
      <c r="P527" s="369">
        <f t="shared" si="225"/>
        <v>1.2811183064128699</v>
      </c>
      <c r="Q527" s="370">
        <f t="shared" si="226"/>
        <v>-17.298481555620629</v>
      </c>
      <c r="R527" s="371">
        <f t="shared" si="227"/>
        <v>-135.9913258263332</v>
      </c>
      <c r="S527" s="373">
        <f t="shared" si="228"/>
        <v>44.008674173666805</v>
      </c>
      <c r="U527" s="346">
        <f t="shared" si="234"/>
        <v>74994.5</v>
      </c>
      <c r="V527" s="346">
        <f t="shared" si="235"/>
        <v>5624175030.25</v>
      </c>
      <c r="X527" s="372">
        <f t="shared" si="229"/>
        <v>23.572689467675723</v>
      </c>
      <c r="Y527" s="373">
        <f t="shared" si="230"/>
        <v>-15.08333569842959</v>
      </c>
      <c r="AA527" s="372">
        <f t="shared" si="231"/>
        <v>10.609454331258023</v>
      </c>
      <c r="AB527" s="373">
        <f t="shared" si="232"/>
        <v>-120.90799012790359</v>
      </c>
      <c r="AD527">
        <f t="shared" si="236"/>
        <v>0</v>
      </c>
      <c r="AE527">
        <f t="shared" si="213"/>
        <v>0</v>
      </c>
    </row>
    <row r="528" spans="1:31" x14ac:dyDescent="0.2">
      <c r="A528" s="374">
        <v>75426.25</v>
      </c>
      <c r="B528" s="391">
        <f t="shared" si="233"/>
        <v>75.426249999999996</v>
      </c>
      <c r="C528" s="364">
        <f t="shared" si="214"/>
        <v>96.513710523865242</v>
      </c>
      <c r="D528" s="365">
        <f t="shared" si="215"/>
        <v>1.5604349191987734</v>
      </c>
      <c r="E528" s="365">
        <f t="shared" si="216"/>
        <v>1.3469276781214721</v>
      </c>
      <c r="F528" s="366">
        <f t="shared" si="217"/>
        <v>0.7341054066556526</v>
      </c>
      <c r="G528" s="365">
        <f t="shared" si="218"/>
        <v>1</v>
      </c>
      <c r="H528" s="366">
        <f t="shared" si="219"/>
        <v>0</v>
      </c>
      <c r="I528" s="364">
        <f t="shared" si="220"/>
        <v>25607.006573996659</v>
      </c>
      <c r="J528" s="367">
        <f t="shared" si="221"/>
        <v>1.5707572749831449</v>
      </c>
      <c r="K528" s="375">
        <f t="shared" si="211"/>
        <v>15.515131969862226</v>
      </c>
      <c r="L528" s="376">
        <f t="shared" si="212"/>
        <v>1.5062984115490121</v>
      </c>
      <c r="M528" s="364">
        <f t="shared" si="222"/>
        <v>1.0202432615329775</v>
      </c>
      <c r="N528" s="367">
        <f t="shared" si="223"/>
        <v>0.19953730002097819</v>
      </c>
      <c r="O528" s="368">
        <f t="shared" si="224"/>
        <v>1.9399807722243663</v>
      </c>
      <c r="P528" s="369">
        <f t="shared" si="225"/>
        <v>1.2852447228531414</v>
      </c>
      <c r="Q528" s="370">
        <f t="shared" si="226"/>
        <v>-17.367447143199733</v>
      </c>
      <c r="R528" s="371">
        <f t="shared" si="227"/>
        <v>-136.11015794592183</v>
      </c>
      <c r="S528" s="373">
        <f t="shared" si="228"/>
        <v>43.889842054078173</v>
      </c>
      <c r="U528" s="346">
        <f t="shared" si="234"/>
        <v>75426.25</v>
      </c>
      <c r="V528" s="346">
        <f t="shared" si="235"/>
        <v>5689119189.0625</v>
      </c>
      <c r="X528" s="372">
        <f t="shared" si="229"/>
        <v>23.570532851993985</v>
      </c>
      <c r="Y528" s="373">
        <f t="shared" si="230"/>
        <v>-15.125865990907496</v>
      </c>
      <c r="AA528" s="372">
        <f t="shared" si="231"/>
        <v>10.542645359360662</v>
      </c>
      <c r="AB528" s="373">
        <f t="shared" si="232"/>
        <v>-120.98429195501433</v>
      </c>
      <c r="AD528">
        <f t="shared" si="236"/>
        <v>0</v>
      </c>
      <c r="AE528">
        <f t="shared" si="213"/>
        <v>0</v>
      </c>
    </row>
    <row r="529" spans="1:31" x14ac:dyDescent="0.2">
      <c r="A529" s="374">
        <v>75858</v>
      </c>
      <c r="B529" s="391">
        <f t="shared" si="233"/>
        <v>75.858000000000004</v>
      </c>
      <c r="C529" s="364">
        <f t="shared" si="214"/>
        <v>97.066108843947447</v>
      </c>
      <c r="D529" s="365">
        <f t="shared" si="215"/>
        <v>1.5604938875380678</v>
      </c>
      <c r="E529" s="365">
        <f t="shared" si="216"/>
        <v>1.3503933468609259</v>
      </c>
      <c r="F529" s="366">
        <f t="shared" si="217"/>
        <v>0.7369451243979328</v>
      </c>
      <c r="G529" s="365">
        <f t="shared" si="218"/>
        <v>1</v>
      </c>
      <c r="H529" s="366">
        <f t="shared" si="219"/>
        <v>0</v>
      </c>
      <c r="I529" s="364">
        <f t="shared" si="220"/>
        <v>25753.5845236032</v>
      </c>
      <c r="J529" s="367">
        <f t="shared" si="221"/>
        <v>1.5707574972486897</v>
      </c>
      <c r="K529" s="375">
        <f t="shared" si="211"/>
        <v>15.603574778837393</v>
      </c>
      <c r="L529" s="376">
        <f t="shared" si="212"/>
        <v>1.5066644964168763</v>
      </c>
      <c r="M529" s="364">
        <f t="shared" si="222"/>
        <v>1.020473343448778</v>
      </c>
      <c r="N529" s="367">
        <f t="shared" si="223"/>
        <v>0.20064915103428002</v>
      </c>
      <c r="O529" s="368">
        <f t="shared" si="224"/>
        <v>1.9487540124125267</v>
      </c>
      <c r="P529" s="369">
        <f t="shared" si="225"/>
        <v>1.2893486705487598</v>
      </c>
      <c r="Q529" s="370">
        <f t="shared" si="226"/>
        <v>-17.436054366948383</v>
      </c>
      <c r="R529" s="371">
        <f t="shared" si="227"/>
        <v>-136.22871361119903</v>
      </c>
      <c r="S529" s="373">
        <f t="shared" si="228"/>
        <v>43.771286388800974</v>
      </c>
      <c r="U529" s="346">
        <f t="shared" si="234"/>
        <v>75858</v>
      </c>
      <c r="V529" s="346">
        <f t="shared" si="235"/>
        <v>5754436164</v>
      </c>
      <c r="X529" s="372">
        <f t="shared" si="229"/>
        <v>23.56836947042698</v>
      </c>
      <c r="Y529" s="373">
        <f t="shared" si="230"/>
        <v>-15.168607978471311</v>
      </c>
      <c r="AA529" s="372">
        <f t="shared" si="231"/>
        <v>10.476201517179014</v>
      </c>
      <c r="AB529" s="373">
        <f t="shared" si="232"/>
        <v>-121.06010563272773</v>
      </c>
      <c r="AD529">
        <f t="shared" si="236"/>
        <v>0</v>
      </c>
      <c r="AE529">
        <f t="shared" si="213"/>
        <v>0</v>
      </c>
    </row>
    <row r="530" spans="1:31" x14ac:dyDescent="0.2">
      <c r="A530" s="374">
        <v>76299.75</v>
      </c>
      <c r="B530" s="391">
        <f t="shared" si="233"/>
        <v>76.299750000000003</v>
      </c>
      <c r="C530" s="364">
        <f t="shared" si="214"/>
        <v>97.631301911690301</v>
      </c>
      <c r="D530" s="365">
        <f t="shared" si="215"/>
        <v>1.5605535310271066</v>
      </c>
      <c r="E530" s="365">
        <f t="shared" si="216"/>
        <v>1.3539504982621906</v>
      </c>
      <c r="F530" s="366">
        <f t="shared" si="217"/>
        <v>0.73983554403299212</v>
      </c>
      <c r="G530" s="365">
        <f t="shared" si="218"/>
        <v>1</v>
      </c>
      <c r="H530" s="366">
        <f t="shared" si="219"/>
        <v>0</v>
      </c>
      <c r="I530" s="364">
        <f t="shared" si="220"/>
        <v>25903.557445987106</v>
      </c>
      <c r="J530" s="367">
        <f t="shared" si="221"/>
        <v>1.5707577220587583</v>
      </c>
      <c r="K530" s="375">
        <f t="shared" si="211"/>
        <v>15.694068200213723</v>
      </c>
      <c r="L530" s="376">
        <f t="shared" si="212"/>
        <v>1.5070347897801228</v>
      </c>
      <c r="M530" s="364">
        <f t="shared" si="222"/>
        <v>1.0207100595110412</v>
      </c>
      <c r="N530" s="367">
        <f t="shared" si="223"/>
        <v>0.20178623399686324</v>
      </c>
      <c r="O530" s="368">
        <f t="shared" si="224"/>
        <v>1.9577556963317522</v>
      </c>
      <c r="P530" s="369">
        <f t="shared" si="225"/>
        <v>1.2935246430465894</v>
      </c>
      <c r="Q530" s="370">
        <f t="shared" si="226"/>
        <v>-17.505883678853877</v>
      </c>
      <c r="R530" s="371">
        <f t="shared" si="227"/>
        <v>-136.34973437339701</v>
      </c>
      <c r="S530" s="373">
        <f t="shared" si="228"/>
        <v>43.650265626602987</v>
      </c>
      <c r="U530" s="346">
        <f t="shared" si="234"/>
        <v>76299.75</v>
      </c>
      <c r="V530" s="346">
        <f t="shared" si="235"/>
        <v>5821651850.0625</v>
      </c>
      <c r="X530" s="372">
        <f t="shared" si="229"/>
        <v>23.566148910784456</v>
      </c>
      <c r="Y530" s="373">
        <f t="shared" si="230"/>
        <v>-15.212554667006163</v>
      </c>
      <c r="AA530" s="372">
        <f t="shared" si="231"/>
        <v>10.408592764916042</v>
      </c>
      <c r="AB530" s="373">
        <f t="shared" si="232"/>
        <v>-121.13717970639085</v>
      </c>
      <c r="AD530">
        <f t="shared" si="236"/>
        <v>0</v>
      </c>
      <c r="AE530">
        <f t="shared" si="213"/>
        <v>0</v>
      </c>
    </row>
    <row r="531" spans="1:31" x14ac:dyDescent="0.2">
      <c r="A531" s="374">
        <v>76741.5</v>
      </c>
      <c r="B531" s="391">
        <f t="shared" si="233"/>
        <v>76.741500000000002</v>
      </c>
      <c r="C531" s="364">
        <f t="shared" si="214"/>
        <v>98.196495322743431</v>
      </c>
      <c r="D531" s="365">
        <f t="shared" si="215"/>
        <v>1.5606124879316252</v>
      </c>
      <c r="E531" s="365">
        <f t="shared" si="216"/>
        <v>1.3575189019422955</v>
      </c>
      <c r="F531" s="366">
        <f t="shared" si="217"/>
        <v>0.7427107919447008</v>
      </c>
      <c r="G531" s="365">
        <f t="shared" si="218"/>
        <v>1</v>
      </c>
      <c r="H531" s="366">
        <f t="shared" si="219"/>
        <v>0</v>
      </c>
      <c r="I531" s="364">
        <f t="shared" si="220"/>
        <v>26053.53036837231</v>
      </c>
      <c r="J531" s="367">
        <f t="shared" si="221"/>
        <v>1.5707579442806612</v>
      </c>
      <c r="K531" s="375">
        <f t="shared" si="211"/>
        <v>15.784563748842045</v>
      </c>
      <c r="L531" s="376">
        <f t="shared" si="212"/>
        <v>1.5074008372852963</v>
      </c>
      <c r="M531" s="364">
        <f t="shared" si="222"/>
        <v>1.0209480946952183</v>
      </c>
      <c r="N531" s="367">
        <f t="shared" si="223"/>
        <v>0.20292278820407772</v>
      </c>
      <c r="O531" s="368">
        <f t="shared" si="224"/>
        <v>1.9667828155746745</v>
      </c>
      <c r="P531" s="369">
        <f t="shared" si="225"/>
        <v>1.2976775510055725</v>
      </c>
      <c r="Q531" s="370">
        <f t="shared" si="226"/>
        <v>-17.575345798496755</v>
      </c>
      <c r="R531" s="371">
        <f t="shared" si="227"/>
        <v>-136.47047639818902</v>
      </c>
      <c r="S531" s="373">
        <f t="shared" si="228"/>
        <v>43.529523601810979</v>
      </c>
      <c r="U531" s="346">
        <f t="shared" si="234"/>
        <v>76741.5</v>
      </c>
      <c r="V531" s="346">
        <f t="shared" si="235"/>
        <v>5889257822.25</v>
      </c>
      <c r="X531" s="372">
        <f t="shared" si="229"/>
        <v>23.563921132502582</v>
      </c>
      <c r="Y531" s="373">
        <f t="shared" si="230"/>
        <v>-15.256714181547263</v>
      </c>
      <c r="AA531" s="372">
        <f t="shared" si="231"/>
        <v>10.341358423555038</v>
      </c>
      <c r="AB531" s="373">
        <f t="shared" si="232"/>
        <v>-121.21376221664174</v>
      </c>
      <c r="AD531">
        <f t="shared" si="236"/>
        <v>0</v>
      </c>
      <c r="AE531">
        <f t="shared" si="213"/>
        <v>0</v>
      </c>
    </row>
    <row r="532" spans="1:31" x14ac:dyDescent="0.2">
      <c r="A532" s="374">
        <v>77183.25</v>
      </c>
      <c r="B532" s="391">
        <f t="shared" si="233"/>
        <v>77.183250000000001</v>
      </c>
      <c r="C532" s="364">
        <f t="shared" si="214"/>
        <v>98.761689071212729</v>
      </c>
      <c r="D532" s="365">
        <f t="shared" si="215"/>
        <v>1.560670770038775</v>
      </c>
      <c r="E532" s="365">
        <f t="shared" si="216"/>
        <v>1.361098469400652</v>
      </c>
      <c r="F532" s="366">
        <f t="shared" si="217"/>
        <v>0.74557094010738989</v>
      </c>
      <c r="G532" s="365">
        <f t="shared" si="218"/>
        <v>1</v>
      </c>
      <c r="H532" s="366">
        <f t="shared" si="219"/>
        <v>0</v>
      </c>
      <c r="I532" s="364">
        <f t="shared" si="220"/>
        <v>26203.503290758781</v>
      </c>
      <c r="J532" s="367">
        <f t="shared" si="221"/>
        <v>1.5707581639588382</v>
      </c>
      <c r="K532" s="375">
        <f t="shared" si="211"/>
        <v>15.875061388343259</v>
      </c>
      <c r="L532" s="376">
        <f t="shared" si="212"/>
        <v>1.5077627114454819</v>
      </c>
      <c r="M532" s="364">
        <f t="shared" si="222"/>
        <v>1.0211874480788614</v>
      </c>
      <c r="N532" s="367">
        <f t="shared" si="223"/>
        <v>0.20405881109040716</v>
      </c>
      <c r="O532" s="368">
        <f t="shared" si="224"/>
        <v>1.9758352761223572</v>
      </c>
      <c r="P532" s="369">
        <f t="shared" si="225"/>
        <v>1.3018076216008567</v>
      </c>
      <c r="Q532" s="370">
        <f t="shared" si="226"/>
        <v>-17.644444672574831</v>
      </c>
      <c r="R532" s="371">
        <f t="shared" si="227"/>
        <v>-136.59094495414001</v>
      </c>
      <c r="S532" s="373">
        <f t="shared" si="228"/>
        <v>43.409055045859986</v>
      </c>
      <c r="U532" s="346">
        <f t="shared" si="234"/>
        <v>77183.25</v>
      </c>
      <c r="V532" s="346">
        <f t="shared" si="235"/>
        <v>5957254080.5625</v>
      </c>
      <c r="X532" s="372">
        <f t="shared" si="229"/>
        <v>23.561686070587825</v>
      </c>
      <c r="Y532" s="373">
        <f t="shared" si="230"/>
        <v>-15.301082222953827</v>
      </c>
      <c r="AA532" s="372">
        <f t="shared" si="231"/>
        <v>10.27449461139172</v>
      </c>
      <c r="AB532" s="373">
        <f t="shared" si="232"/>
        <v>-121.28986273118619</v>
      </c>
      <c r="AD532">
        <f t="shared" si="236"/>
        <v>0</v>
      </c>
      <c r="AE532">
        <f t="shared" si="213"/>
        <v>0</v>
      </c>
    </row>
    <row r="533" spans="1:31" x14ac:dyDescent="0.2">
      <c r="A533" s="374">
        <v>77625</v>
      </c>
      <c r="B533" s="391">
        <f t="shared" si="233"/>
        <v>77.625</v>
      </c>
      <c r="C533" s="364">
        <f t="shared" si="214"/>
        <v>99.326883151338293</v>
      </c>
      <c r="D533" s="365">
        <f t="shared" si="215"/>
        <v>1.5607283888674395</v>
      </c>
      <c r="E533" s="365">
        <f t="shared" si="216"/>
        <v>1.3646891127897884</v>
      </c>
      <c r="F533" s="366">
        <f t="shared" si="217"/>
        <v>0.7484160607296152</v>
      </c>
      <c r="G533" s="365">
        <f t="shared" si="218"/>
        <v>1</v>
      </c>
      <c r="H533" s="366">
        <f t="shared" si="219"/>
        <v>0</v>
      </c>
      <c r="I533" s="364">
        <f t="shared" si="220"/>
        <v>26353.476213146503</v>
      </c>
      <c r="J533" s="367">
        <f t="shared" si="221"/>
        <v>1.5707583811367165</v>
      </c>
      <c r="K533" s="375">
        <f t="shared" si="211"/>
        <v>15.965561083162259</v>
      </c>
      <c r="L533" s="376">
        <f t="shared" si="212"/>
        <v>1.5081204831340522</v>
      </c>
      <c r="M533" s="364">
        <f t="shared" si="222"/>
        <v>1.0214281187352812</v>
      </c>
      <c r="N533" s="367">
        <f t="shared" si="223"/>
        <v>0.20519430009821893</v>
      </c>
      <c r="O533" s="368">
        <f t="shared" si="224"/>
        <v>1.9849129861611079</v>
      </c>
      <c r="P533" s="369">
        <f t="shared" si="225"/>
        <v>1.3059150793592695</v>
      </c>
      <c r="Q533" s="370">
        <f t="shared" si="226"/>
        <v>-17.713184194555062</v>
      </c>
      <c r="R533" s="371">
        <f t="shared" si="227"/>
        <v>-136.71114522362907</v>
      </c>
      <c r="S533" s="373">
        <f t="shared" si="228"/>
        <v>43.288854776370925</v>
      </c>
      <c r="U533" s="346">
        <f t="shared" si="234"/>
        <v>77625</v>
      </c>
      <c r="V533" s="346">
        <f t="shared" si="235"/>
        <v>6025640625</v>
      </c>
      <c r="X533" s="372">
        <f t="shared" si="229"/>
        <v>23.559443662385789</v>
      </c>
      <c r="Y533" s="373">
        <f t="shared" si="230"/>
        <v>-15.345654586427349</v>
      </c>
      <c r="AA533" s="372">
        <f t="shared" si="231"/>
        <v>10.207997497613526</v>
      </c>
      <c r="AB533" s="373">
        <f t="shared" si="232"/>
        <v>-121.36549063720173</v>
      </c>
      <c r="AD533">
        <f t="shared" si="236"/>
        <v>0</v>
      </c>
      <c r="AE533">
        <f t="shared" si="213"/>
        <v>0</v>
      </c>
    </row>
    <row r="534" spans="1:31" x14ac:dyDescent="0.2">
      <c r="A534" s="374">
        <v>78077</v>
      </c>
      <c r="B534" s="391">
        <f t="shared" si="233"/>
        <v>78.076999999999998</v>
      </c>
      <c r="C534" s="364">
        <f t="shared" si="214"/>
        <v>99.905191862760773</v>
      </c>
      <c r="D534" s="365">
        <f t="shared" si="215"/>
        <v>1.560786669834916</v>
      </c>
      <c r="E534" s="365">
        <f t="shared" si="216"/>
        <v>1.3683744439442791</v>
      </c>
      <c r="F534" s="366">
        <f t="shared" si="217"/>
        <v>0.75131171809764397</v>
      </c>
      <c r="G534" s="365">
        <f t="shared" si="218"/>
        <v>1</v>
      </c>
      <c r="H534" s="366">
        <f t="shared" si="219"/>
        <v>0</v>
      </c>
      <c r="I534" s="364">
        <f t="shared" si="220"/>
        <v>26506.928982631085</v>
      </c>
      <c r="J534" s="367">
        <f t="shared" si="221"/>
        <v>1.5707586008100836</v>
      </c>
      <c r="K534" s="375">
        <f t="shared" si="211"/>
        <v>16.058162748873052</v>
      </c>
      <c r="L534" s="376">
        <f t="shared" si="212"/>
        <v>1.5084823821529676</v>
      </c>
      <c r="M534" s="364">
        <f t="shared" si="222"/>
        <v>1.0216757362173563</v>
      </c>
      <c r="N534" s="367">
        <f t="shared" si="223"/>
        <v>0.20635558078635868</v>
      </c>
      <c r="O534" s="368">
        <f t="shared" si="224"/>
        <v>1.9942273694364621</v>
      </c>
      <c r="P534" s="369">
        <f t="shared" si="225"/>
        <v>1.310094668641905</v>
      </c>
      <c r="Q534" s="370">
        <f t="shared" si="226"/>
        <v>-17.783150741642977</v>
      </c>
      <c r="R534" s="371">
        <f t="shared" si="227"/>
        <v>-136.83386213934429</v>
      </c>
      <c r="S534" s="373">
        <f t="shared" si="228"/>
        <v>43.166137860655709</v>
      </c>
      <c r="U534" s="346">
        <f t="shared" si="234"/>
        <v>78077</v>
      </c>
      <c r="V534" s="346">
        <f t="shared" si="235"/>
        <v>6096017929</v>
      </c>
      <c r="X534" s="372">
        <f t="shared" si="229"/>
        <v>23.557141556275596</v>
      </c>
      <c r="Y534" s="373">
        <f t="shared" si="230"/>
        <v>-15.391468368703187</v>
      </c>
      <c r="AA534" s="372">
        <f t="shared" si="231"/>
        <v>10.1403330566358</v>
      </c>
      <c r="AB534" s="373">
        <f t="shared" si="232"/>
        <v>-121.44239377064109</v>
      </c>
      <c r="AD534">
        <f t="shared" si="236"/>
        <v>0</v>
      </c>
      <c r="AE534">
        <f t="shared" si="213"/>
        <v>0</v>
      </c>
    </row>
    <row r="535" spans="1:31" x14ac:dyDescent="0.2">
      <c r="A535" s="374">
        <v>78529</v>
      </c>
      <c r="B535" s="391">
        <f t="shared" si="233"/>
        <v>78.528999999999996</v>
      </c>
      <c r="C535" s="364">
        <f t="shared" si="214"/>
        <v>100.48350090962234</v>
      </c>
      <c r="D535" s="365">
        <f t="shared" si="215"/>
        <v>1.5608442799579116</v>
      </c>
      <c r="E535" s="365">
        <f t="shared" si="216"/>
        <v>1.3720711869968425</v>
      </c>
      <c r="F535" s="366">
        <f t="shared" si="217"/>
        <v>0.75419179608682185</v>
      </c>
      <c r="G535" s="365">
        <f t="shared" si="218"/>
        <v>1</v>
      </c>
      <c r="H535" s="366">
        <f t="shared" si="219"/>
        <v>0</v>
      </c>
      <c r="I535" s="364">
        <f t="shared" si="220"/>
        <v>26660.381752116929</v>
      </c>
      <c r="J535" s="367">
        <f t="shared" si="221"/>
        <v>1.5707588179546432</v>
      </c>
      <c r="K535" s="375">
        <f t="shared" ref="K535:K598" si="237">SQRT(1+(A535/Zero2)^2)</f>
        <v>16.150766493618544</v>
      </c>
      <c r="L535" s="376">
        <f t="shared" ref="L535:L598" si="238">ATAN(A535/Zero2)</f>
        <v>1.5088401311732285</v>
      </c>
      <c r="M535" s="364">
        <f t="shared" si="222"/>
        <v>1.0219247308347961</v>
      </c>
      <c r="N535" s="367">
        <f t="shared" si="223"/>
        <v>0.20751629714105746</v>
      </c>
      <c r="O535" s="368">
        <f t="shared" si="224"/>
        <v>2.0035679999603526</v>
      </c>
      <c r="P535" s="369">
        <f t="shared" si="225"/>
        <v>1.3142510507318144</v>
      </c>
      <c r="Q535" s="370">
        <f t="shared" si="226"/>
        <v>-17.852749147389165</v>
      </c>
      <c r="R535" s="371">
        <f t="shared" si="227"/>
        <v>-136.95630887555316</v>
      </c>
      <c r="S535" s="373">
        <f t="shared" si="228"/>
        <v>43.043691124446838</v>
      </c>
      <c r="U535" s="346">
        <f t="shared" si="234"/>
        <v>78529</v>
      </c>
      <c r="V535" s="346">
        <f t="shared" si="235"/>
        <v>6166803841</v>
      </c>
      <c r="X535" s="372">
        <f t="shared" si="229"/>
        <v>23.554831633466087</v>
      </c>
      <c r="Y535" s="373">
        <f t="shared" si="230"/>
        <v>-15.437487449572755</v>
      </c>
      <c r="AA535" s="372">
        <f t="shared" si="231"/>
        <v>10.073044573699125</v>
      </c>
      <c r="AB535" s="373">
        <f t="shared" si="232"/>
        <v>-121.51882142598046</v>
      </c>
      <c r="AD535">
        <f t="shared" si="236"/>
        <v>0</v>
      </c>
      <c r="AE535">
        <f t="shared" si="213"/>
        <v>0</v>
      </c>
    </row>
    <row r="536" spans="1:31" x14ac:dyDescent="0.2">
      <c r="A536" s="374">
        <v>78981</v>
      </c>
      <c r="B536" s="391">
        <f t="shared" si="233"/>
        <v>78.980999999999995</v>
      </c>
      <c r="C536" s="364">
        <f t="shared" si="214"/>
        <v>101.06181028616444</v>
      </c>
      <c r="D536" s="365">
        <f t="shared" si="215"/>
        <v>1.5609012307524277</v>
      </c>
      <c r="E536" s="365">
        <f t="shared" si="216"/>
        <v>1.375779249955569</v>
      </c>
      <c r="F536" s="366">
        <f t="shared" si="217"/>
        <v>0.75705637269574622</v>
      </c>
      <c r="G536" s="365">
        <f t="shared" si="218"/>
        <v>1</v>
      </c>
      <c r="H536" s="366">
        <f t="shared" si="219"/>
        <v>0</v>
      </c>
      <c r="I536" s="364">
        <f t="shared" si="220"/>
        <v>26813.834521604014</v>
      </c>
      <c r="J536" s="367">
        <f t="shared" si="221"/>
        <v>1.5707590326138117</v>
      </c>
      <c r="K536" s="375">
        <f t="shared" si="237"/>
        <v>16.243372281840895</v>
      </c>
      <c r="L536" s="376">
        <f t="shared" si="238"/>
        <v>1.5091938010816774</v>
      </c>
      <c r="M536" s="364">
        <f t="shared" si="222"/>
        <v>1.022175101581219</v>
      </c>
      <c r="N536" s="367">
        <f t="shared" si="223"/>
        <v>0.20867644644828659</v>
      </c>
      <c r="O536" s="368">
        <f t="shared" si="224"/>
        <v>2.0129347862982665</v>
      </c>
      <c r="P536" s="369">
        <f t="shared" si="225"/>
        <v>1.3183844576929438</v>
      </c>
      <c r="Q536" s="370">
        <f t="shared" si="226"/>
        <v>-17.921983415634973</v>
      </c>
      <c r="R536" s="371">
        <f t="shared" si="227"/>
        <v>-137.0784907048367</v>
      </c>
      <c r="S536" s="373">
        <f t="shared" si="228"/>
        <v>42.921509295163304</v>
      </c>
      <c r="U536" s="346">
        <f t="shared" si="234"/>
        <v>78981</v>
      </c>
      <c r="V536" s="346">
        <f t="shared" si="235"/>
        <v>6237998361</v>
      </c>
      <c r="X536" s="372">
        <f t="shared" si="229"/>
        <v>23.552513833951689</v>
      </c>
      <c r="Y536" s="373">
        <f t="shared" si="230"/>
        <v>-15.483707614504302</v>
      </c>
      <c r="AA536" s="372">
        <f t="shared" si="231"/>
        <v>10.00612810496772</v>
      </c>
      <c r="AB536" s="373">
        <f t="shared" si="232"/>
        <v>-121.59478309033237</v>
      </c>
      <c r="AD536">
        <f t="shared" si="236"/>
        <v>0</v>
      </c>
      <c r="AE536">
        <f t="shared" si="213"/>
        <v>0</v>
      </c>
    </row>
    <row r="537" spans="1:31" x14ac:dyDescent="0.2">
      <c r="A537" s="374">
        <v>79433</v>
      </c>
      <c r="B537" s="391">
        <f t="shared" si="233"/>
        <v>79.433000000000007</v>
      </c>
      <c r="C537" s="364">
        <f t="shared" si="214"/>
        <v>101.6401199867597</v>
      </c>
      <c r="D537" s="365">
        <f t="shared" si="215"/>
        <v>1.5609575334723895</v>
      </c>
      <c r="E537" s="365">
        <f t="shared" si="216"/>
        <v>1.379498541537455</v>
      </c>
      <c r="F537" s="366">
        <f t="shared" si="217"/>
        <v>0.75990552610328976</v>
      </c>
      <c r="G537" s="365">
        <f t="shared" si="218"/>
        <v>1</v>
      </c>
      <c r="H537" s="366">
        <f t="shared" si="219"/>
        <v>0</v>
      </c>
      <c r="I537" s="364">
        <f t="shared" si="220"/>
        <v>26967.287291092322</v>
      </c>
      <c r="J537" s="367">
        <f t="shared" si="221"/>
        <v>1.5707592448300169</v>
      </c>
      <c r="K537" s="375">
        <f t="shared" si="237"/>
        <v>16.335980078787774</v>
      </c>
      <c r="L537" s="376">
        <f t="shared" si="238"/>
        <v>1.5095434611618774</v>
      </c>
      <c r="M537" s="364">
        <f t="shared" si="222"/>
        <v>1.0224268474456704</v>
      </c>
      <c r="N537" s="367">
        <f t="shared" si="223"/>
        <v>0.2098360260027741</v>
      </c>
      <c r="O537" s="368">
        <f t="shared" si="224"/>
        <v>2.0223276392664684</v>
      </c>
      <c r="P537" s="369">
        <f t="shared" si="225"/>
        <v>1.322495118790241</v>
      </c>
      <c r="Q537" s="370">
        <f t="shared" si="226"/>
        <v>-17.990857495884761</v>
      </c>
      <c r="R537" s="371">
        <f t="shared" si="227"/>
        <v>-137.20041280636613</v>
      </c>
      <c r="S537" s="373">
        <f t="shared" si="228"/>
        <v>42.799587193633869</v>
      </c>
      <c r="U537" s="346">
        <f t="shared" si="234"/>
        <v>79433</v>
      </c>
      <c r="V537" s="346">
        <f t="shared" si="235"/>
        <v>6309601489</v>
      </c>
      <c r="X537" s="372">
        <f t="shared" si="229"/>
        <v>23.550188099968818</v>
      </c>
      <c r="Y537" s="373">
        <f t="shared" si="230"/>
        <v>-15.530124741272372</v>
      </c>
      <c r="AA537" s="372">
        <f t="shared" si="231"/>
        <v>9.9395797587007948</v>
      </c>
      <c r="AB537" s="373">
        <f t="shared" si="232"/>
        <v>-121.67028806509379</v>
      </c>
      <c r="AD537">
        <f t="shared" si="236"/>
        <v>0</v>
      </c>
      <c r="AE537">
        <f t="shared" si="213"/>
        <v>0</v>
      </c>
    </row>
    <row r="538" spans="1:31" x14ac:dyDescent="0.2">
      <c r="A538" s="374">
        <v>79895.5</v>
      </c>
      <c r="B538" s="391">
        <f t="shared" si="233"/>
        <v>79.895499999999998</v>
      </c>
      <c r="C538" s="364">
        <f t="shared" si="214"/>
        <v>102.23186420257335</v>
      </c>
      <c r="D538" s="365">
        <f t="shared" si="215"/>
        <v>1.561014484750012</v>
      </c>
      <c r="E538" s="365">
        <f t="shared" si="216"/>
        <v>1.3833157610291869</v>
      </c>
      <c r="F538" s="366">
        <f t="shared" si="217"/>
        <v>0.76280498253096185</v>
      </c>
      <c r="G538" s="365">
        <f t="shared" si="218"/>
        <v>1</v>
      </c>
      <c r="H538" s="366">
        <f t="shared" si="219"/>
        <v>0</v>
      </c>
      <c r="I538" s="364">
        <f t="shared" si="220"/>
        <v>27124.304781996976</v>
      </c>
      <c r="J538" s="367">
        <f t="shared" si="221"/>
        <v>1.5707594594905265</v>
      </c>
      <c r="K538" s="375">
        <f t="shared" si="237"/>
        <v>16.430741206883948</v>
      </c>
      <c r="L538" s="376">
        <f t="shared" si="238"/>
        <v>1.5098971638805914</v>
      </c>
      <c r="M538" s="364">
        <f t="shared" si="222"/>
        <v>1.0226858637347265</v>
      </c>
      <c r="N538" s="367">
        <f t="shared" si="223"/>
        <v>0.21102195012061534</v>
      </c>
      <c r="O538" s="368">
        <f t="shared" si="224"/>
        <v>2.0319655802877237</v>
      </c>
      <c r="P538" s="369">
        <f t="shared" si="225"/>
        <v>1.3266779625697889</v>
      </c>
      <c r="Q538" s="370">
        <f t="shared" si="226"/>
        <v>-18.060962754970337</v>
      </c>
      <c r="R538" s="371">
        <f t="shared" si="227"/>
        <v>-137.32490362602869</v>
      </c>
      <c r="S538" s="373">
        <f t="shared" si="228"/>
        <v>42.675096373971314</v>
      </c>
      <c r="U538" s="346">
        <f t="shared" si="234"/>
        <v>79895.5</v>
      </c>
      <c r="V538" s="346">
        <f t="shared" si="235"/>
        <v>6383290920.25</v>
      </c>
      <c r="X538" s="372">
        <f t="shared" si="229"/>
        <v>23.547800067912469</v>
      </c>
      <c r="Y538" s="373">
        <f t="shared" si="230"/>
        <v>-15.577819814258573</v>
      </c>
      <c r="AA538" s="372">
        <f t="shared" si="231"/>
        <v>9.8718625316715674</v>
      </c>
      <c r="AB538" s="373">
        <f t="shared" si="232"/>
        <v>-121.74708381177012</v>
      </c>
      <c r="AD538">
        <f t="shared" si="236"/>
        <v>0</v>
      </c>
      <c r="AE538">
        <f t="shared" ref="AE538:AE601" si="239">IF(AD538&gt;0,S538,0)</f>
        <v>0</v>
      </c>
    </row>
    <row r="539" spans="1:31" x14ac:dyDescent="0.2">
      <c r="A539" s="374">
        <v>80358</v>
      </c>
      <c r="B539" s="391">
        <f t="shared" si="233"/>
        <v>80.358000000000004</v>
      </c>
      <c r="C539" s="364">
        <f t="shared" si="214"/>
        <v>102.82360874615424</v>
      </c>
      <c r="D539" s="365">
        <f t="shared" si="215"/>
        <v>1.5610707805245085</v>
      </c>
      <c r="E539" s="365">
        <f t="shared" si="216"/>
        <v>1.3871445457844107</v>
      </c>
      <c r="F539" s="366">
        <f t="shared" si="217"/>
        <v>0.76568845697763621</v>
      </c>
      <c r="G539" s="365">
        <f t="shared" si="218"/>
        <v>1</v>
      </c>
      <c r="H539" s="366">
        <f t="shared" si="219"/>
        <v>0</v>
      </c>
      <c r="I539" s="364">
        <f t="shared" si="220"/>
        <v>27281.322272902868</v>
      </c>
      <c r="J539" s="367">
        <f t="shared" si="221"/>
        <v>1.5707596716800813</v>
      </c>
      <c r="K539" s="375">
        <f t="shared" si="237"/>
        <v>16.525504366983597</v>
      </c>
      <c r="L539" s="376">
        <f t="shared" si="238"/>
        <v>1.5102468101265192</v>
      </c>
      <c r="M539" s="364">
        <f t="shared" si="222"/>
        <v>1.0229463176159943</v>
      </c>
      <c r="N539" s="367">
        <f t="shared" si="223"/>
        <v>0.21220727200500458</v>
      </c>
      <c r="O539" s="368">
        <f t="shared" si="224"/>
        <v>2.0416306311892813</v>
      </c>
      <c r="P539" s="369">
        <f t="shared" si="225"/>
        <v>1.330837468233153</v>
      </c>
      <c r="Q539" s="370">
        <f t="shared" si="226"/>
        <v>-18.130699093450676</v>
      </c>
      <c r="R539" s="371">
        <f t="shared" si="227"/>
        <v>-137.4491331843887</v>
      </c>
      <c r="S539" s="373">
        <f t="shared" si="228"/>
        <v>42.5508668156113</v>
      </c>
      <c r="U539" s="346">
        <f t="shared" si="234"/>
        <v>80358</v>
      </c>
      <c r="V539" s="346">
        <f t="shared" si="235"/>
        <v>6457408164</v>
      </c>
      <c r="X539" s="372">
        <f t="shared" si="229"/>
        <v>23.545403612981502</v>
      </c>
      <c r="Y539" s="373">
        <f t="shared" si="230"/>
        <v>-15.62571265900498</v>
      </c>
      <c r="AA539" s="372">
        <f t="shared" si="231"/>
        <v>9.8045226481221999</v>
      </c>
      <c r="AB539" s="373">
        <f t="shared" si="232"/>
        <v>-121.82342052538368</v>
      </c>
      <c r="AD539">
        <f t="shared" si="236"/>
        <v>0</v>
      </c>
      <c r="AE539">
        <f t="shared" si="239"/>
        <v>0</v>
      </c>
    </row>
    <row r="540" spans="1:31" x14ac:dyDescent="0.2">
      <c r="A540" s="374">
        <v>80820.5</v>
      </c>
      <c r="B540" s="391">
        <f t="shared" si="233"/>
        <v>80.820499999999996</v>
      </c>
      <c r="C540" s="364">
        <f t="shared" si="214"/>
        <v>103.41535361187589</v>
      </c>
      <c r="D540" s="365">
        <f t="shared" si="215"/>
        <v>1.5611264320479277</v>
      </c>
      <c r="E540" s="365">
        <f t="shared" si="216"/>
        <v>1.390984800300495</v>
      </c>
      <c r="F540" s="366">
        <f t="shared" si="217"/>
        <v>0.76855603366644454</v>
      </c>
      <c r="G540" s="365">
        <f t="shared" si="218"/>
        <v>1</v>
      </c>
      <c r="H540" s="366">
        <f t="shared" si="219"/>
        <v>0</v>
      </c>
      <c r="I540" s="364">
        <f t="shared" si="220"/>
        <v>27438.33976380997</v>
      </c>
      <c r="J540" s="367">
        <f t="shared" si="221"/>
        <v>1.5707598814411023</v>
      </c>
      <c r="K540" s="375">
        <f t="shared" si="237"/>
        <v>16.620269524329323</v>
      </c>
      <c r="L540" s="376">
        <f t="shared" si="238"/>
        <v>1.5105924692008037</v>
      </c>
      <c r="M540" s="364">
        <f t="shared" si="222"/>
        <v>1.0232082079916729</v>
      </c>
      <c r="N540" s="367">
        <f t="shared" si="223"/>
        <v>0.21339198878638169</v>
      </c>
      <c r="O540" s="368">
        <f t="shared" si="224"/>
        <v>2.0513227034821404</v>
      </c>
      <c r="P540" s="369">
        <f t="shared" si="225"/>
        <v>1.3349738724742741</v>
      </c>
      <c r="Q540" s="370">
        <f t="shared" si="226"/>
        <v>-18.200070571963245</v>
      </c>
      <c r="R540" s="371">
        <f t="shared" si="227"/>
        <v>-137.57310672942864</v>
      </c>
      <c r="S540" s="373">
        <f t="shared" si="228"/>
        <v>42.426893270571355</v>
      </c>
      <c r="U540" s="346">
        <f t="shared" si="234"/>
        <v>80820.5</v>
      </c>
      <c r="V540" s="346">
        <f t="shared" si="235"/>
        <v>6531953220.25</v>
      </c>
      <c r="X540" s="372">
        <f t="shared" si="229"/>
        <v>23.542998680110998</v>
      </c>
      <c r="Y540" s="373">
        <f t="shared" si="230"/>
        <v>-15.673799142865473</v>
      </c>
      <c r="AA540" s="372">
        <f t="shared" si="231"/>
        <v>9.7375561024801378</v>
      </c>
      <c r="AB540" s="373">
        <f t="shared" si="232"/>
        <v>-121.89930758656322</v>
      </c>
      <c r="AD540">
        <f t="shared" si="236"/>
        <v>0</v>
      </c>
      <c r="AE540">
        <f t="shared" si="239"/>
        <v>0</v>
      </c>
    </row>
    <row r="541" spans="1:31" x14ac:dyDescent="0.2">
      <c r="A541" s="374">
        <v>81283</v>
      </c>
      <c r="B541" s="391">
        <f t="shared" si="233"/>
        <v>81.283000000000001</v>
      </c>
      <c r="C541" s="364">
        <f t="shared" si="214"/>
        <v>104.00709879423989</v>
      </c>
      <c r="D541" s="365">
        <f t="shared" si="215"/>
        <v>1.5611814503162618</v>
      </c>
      <c r="E541" s="365">
        <f t="shared" si="216"/>
        <v>1.3948364298420317</v>
      </c>
      <c r="F541" s="366">
        <f t="shared" si="217"/>
        <v>0.77140779694021411</v>
      </c>
      <c r="G541" s="365">
        <f t="shared" si="218"/>
        <v>1</v>
      </c>
      <c r="H541" s="366">
        <f t="shared" si="219"/>
        <v>0</v>
      </c>
      <c r="I541" s="364">
        <f t="shared" si="220"/>
        <v>27595.357254718267</v>
      </c>
      <c r="J541" s="367">
        <f t="shared" si="221"/>
        <v>1.5707600888150441</v>
      </c>
      <c r="K541" s="375">
        <f t="shared" si="237"/>
        <v>16.715036644951237</v>
      </c>
      <c r="L541" s="376">
        <f t="shared" si="238"/>
        <v>1.5109342088368183</v>
      </c>
      <c r="M541" s="364">
        <f t="shared" si="222"/>
        <v>1.0234715337590321</v>
      </c>
      <c r="N541" s="367">
        <f t="shared" si="223"/>
        <v>0.21457609760490992</v>
      </c>
      <c r="O541" s="368">
        <f t="shared" si="224"/>
        <v>2.0610417109697101</v>
      </c>
      <c r="P541" s="369">
        <f t="shared" si="225"/>
        <v>1.3390874090396192</v>
      </c>
      <c r="Q541" s="370">
        <f t="shared" si="226"/>
        <v>-18.269081195622494</v>
      </c>
      <c r="R541" s="371">
        <f t="shared" si="227"/>
        <v>-137.6968294090529</v>
      </c>
      <c r="S541" s="373">
        <f t="shared" si="228"/>
        <v>42.303170590947104</v>
      </c>
      <c r="U541" s="346">
        <f t="shared" si="234"/>
        <v>81283</v>
      </c>
      <c r="V541" s="346">
        <f t="shared" si="235"/>
        <v>6606926089</v>
      </c>
      <c r="X541" s="372">
        <f t="shared" si="229"/>
        <v>23.540585216385836</v>
      </c>
      <c r="Y541" s="373">
        <f t="shared" si="230"/>
        <v>-15.722075223522202</v>
      </c>
      <c r="AA541" s="372">
        <f t="shared" si="231"/>
        <v>9.6709589425460418</v>
      </c>
      <c r="AB541" s="373">
        <f t="shared" si="232"/>
        <v>-121.97475418553071</v>
      </c>
      <c r="AD541">
        <f t="shared" si="236"/>
        <v>0</v>
      </c>
      <c r="AE541">
        <f t="shared" si="239"/>
        <v>0</v>
      </c>
    </row>
    <row r="542" spans="1:31" x14ac:dyDescent="0.2">
      <c r="A542" s="374">
        <v>81756.25</v>
      </c>
      <c r="B542" s="391">
        <f t="shared" si="233"/>
        <v>81.756249999999994</v>
      </c>
      <c r="C542" s="364">
        <f t="shared" si="214"/>
        <v>104.61259837597801</v>
      </c>
      <c r="D542" s="365">
        <f t="shared" si="215"/>
        <v>1.561237103092592</v>
      </c>
      <c r="E542" s="365">
        <f t="shared" si="216"/>
        <v>1.3987892604110586</v>
      </c>
      <c r="F542" s="366">
        <f t="shared" si="217"/>
        <v>0.77430956351095181</v>
      </c>
      <c r="G542" s="365">
        <f t="shared" si="218"/>
        <v>1</v>
      </c>
      <c r="H542" s="366">
        <f t="shared" si="219"/>
        <v>0</v>
      </c>
      <c r="I542" s="364">
        <f t="shared" si="220"/>
        <v>27756.024341362405</v>
      </c>
      <c r="J542" s="367">
        <f t="shared" si="221"/>
        <v>1.5707602985803397</v>
      </c>
      <c r="K542" s="375">
        <f t="shared" si="237"/>
        <v>16.812008458432139</v>
      </c>
      <c r="L542" s="376">
        <f t="shared" si="238"/>
        <v>1.5112799035205078</v>
      </c>
      <c r="M542" s="364">
        <f t="shared" si="222"/>
        <v>1.0237424647399411</v>
      </c>
      <c r="N542" s="367">
        <f t="shared" si="223"/>
        <v>0.21578709665609799</v>
      </c>
      <c r="O542" s="368">
        <f t="shared" si="224"/>
        <v>2.0710144137190039</v>
      </c>
      <c r="P542" s="369">
        <f t="shared" si="225"/>
        <v>1.3432731271785474</v>
      </c>
      <c r="Q542" s="370">
        <f t="shared" si="226"/>
        <v>-18.339326437217682</v>
      </c>
      <c r="R542" s="371">
        <f t="shared" si="227"/>
        <v>-137.82317339127371</v>
      </c>
      <c r="S542" s="373">
        <f t="shared" si="228"/>
        <v>42.176826608726287</v>
      </c>
      <c r="U542" s="346">
        <f t="shared" si="234"/>
        <v>81756.25</v>
      </c>
      <c r="V542" s="346">
        <f t="shared" si="235"/>
        <v>6684084414.0625</v>
      </c>
      <c r="X542" s="372">
        <f t="shared" si="229"/>
        <v>23.538106772332807</v>
      </c>
      <c r="Y542" s="373">
        <f t="shared" si="230"/>
        <v>-15.771665530496888</v>
      </c>
      <c r="AA542" s="372">
        <f t="shared" si="231"/>
        <v>9.603192145003888</v>
      </c>
      <c r="AB542" s="373">
        <f t="shared" si="232"/>
        <v>-122.05150786077682</v>
      </c>
      <c r="AD542">
        <f t="shared" si="236"/>
        <v>0</v>
      </c>
      <c r="AE542">
        <f t="shared" si="239"/>
        <v>0</v>
      </c>
    </row>
    <row r="543" spans="1:31" x14ac:dyDescent="0.2">
      <c r="A543" s="374">
        <v>82229.5</v>
      </c>
      <c r="B543" s="391">
        <f t="shared" si="233"/>
        <v>82.229500000000002</v>
      </c>
      <c r="C543" s="364">
        <f t="shared" si="214"/>
        <v>105.21809827799639</v>
      </c>
      <c r="D543" s="365">
        <f t="shared" si="215"/>
        <v>1.5612921153376393</v>
      </c>
      <c r="E543" s="365">
        <f t="shared" si="216"/>
        <v>1.402753802697116</v>
      </c>
      <c r="F543" s="366">
        <f t="shared" si="217"/>
        <v>0.77719495198898825</v>
      </c>
      <c r="G543" s="365">
        <f t="shared" si="218"/>
        <v>1</v>
      </c>
      <c r="H543" s="366">
        <f t="shared" si="219"/>
        <v>0</v>
      </c>
      <c r="I543" s="364">
        <f t="shared" si="220"/>
        <v>27916.691428007751</v>
      </c>
      <c r="J543" s="367">
        <f t="shared" si="221"/>
        <v>1.5707605059311387</v>
      </c>
      <c r="K543" s="375">
        <f t="shared" si="237"/>
        <v>16.908982257984572</v>
      </c>
      <c r="L543" s="376">
        <f t="shared" si="238"/>
        <v>1.5116216330944732</v>
      </c>
      <c r="M543" s="364">
        <f t="shared" si="222"/>
        <v>1.0240148962625975</v>
      </c>
      <c r="N543" s="367">
        <f t="shared" si="223"/>
        <v>0.21699745312698757</v>
      </c>
      <c r="O543" s="368">
        <f t="shared" si="224"/>
        <v>2.0810151429075781</v>
      </c>
      <c r="P543" s="369">
        <f t="shared" si="225"/>
        <v>1.3474353880988117</v>
      </c>
      <c r="Q543" s="370">
        <f t="shared" si="226"/>
        <v>-18.4092021646006</v>
      </c>
      <c r="R543" s="371">
        <f t="shared" si="227"/>
        <v>-137.94926529828771</v>
      </c>
      <c r="S543" s="373">
        <f t="shared" si="228"/>
        <v>42.050734701712287</v>
      </c>
      <c r="U543" s="346">
        <f t="shared" si="234"/>
        <v>82229.5</v>
      </c>
      <c r="V543" s="346">
        <f t="shared" si="235"/>
        <v>6761690670.25</v>
      </c>
      <c r="X543" s="372">
        <f t="shared" si="229"/>
        <v>23.535619290744588</v>
      </c>
      <c r="Y543" s="373">
        <f t="shared" si="230"/>
        <v>-15.821446066044736</v>
      </c>
      <c r="AA543" s="372">
        <f t="shared" si="231"/>
        <v>9.5358038992091849</v>
      </c>
      <c r="AB543" s="373">
        <f t="shared" si="232"/>
        <v>-122.127819232243</v>
      </c>
      <c r="AD543">
        <f t="shared" si="236"/>
        <v>0</v>
      </c>
      <c r="AE543">
        <f t="shared" si="239"/>
        <v>0</v>
      </c>
    </row>
    <row r="544" spans="1:31" x14ac:dyDescent="0.2">
      <c r="A544" s="374">
        <v>82702.75</v>
      </c>
      <c r="B544" s="391">
        <f t="shared" si="233"/>
        <v>82.702749999999995</v>
      </c>
      <c r="C544" s="364">
        <f t="shared" si="214"/>
        <v>105.82359849479731</v>
      </c>
      <c r="D544" s="365">
        <f t="shared" si="215"/>
        <v>1.5613464980460208</v>
      </c>
      <c r="E544" s="365">
        <f t="shared" si="216"/>
        <v>1.4067299576799293</v>
      </c>
      <c r="F544" s="366">
        <f t="shared" si="217"/>
        <v>0.78006405300593151</v>
      </c>
      <c r="G544" s="365">
        <f t="shared" si="218"/>
        <v>1</v>
      </c>
      <c r="H544" s="366">
        <f t="shared" si="219"/>
        <v>0</v>
      </c>
      <c r="I544" s="364">
        <f t="shared" si="220"/>
        <v>28077.358514654283</v>
      </c>
      <c r="J544" s="367">
        <f t="shared" si="221"/>
        <v>1.5707607109088906</v>
      </c>
      <c r="K544" s="375">
        <f t="shared" si="237"/>
        <v>17.005958009632764</v>
      </c>
      <c r="L544" s="376">
        <f t="shared" si="238"/>
        <v>1.5119594653108184</v>
      </c>
      <c r="M544" s="364">
        <f t="shared" si="222"/>
        <v>1.0242888271296975</v>
      </c>
      <c r="N544" s="367">
        <f t="shared" si="223"/>
        <v>0.2182071639854688</v>
      </c>
      <c r="O544" s="368">
        <f t="shared" si="224"/>
        <v>2.0910438133659177</v>
      </c>
      <c r="P544" s="369">
        <f t="shared" si="225"/>
        <v>1.3515744328482002</v>
      </c>
      <c r="Q544" s="370">
        <f t="shared" si="226"/>
        <v>-18.478712494352976</v>
      </c>
      <c r="R544" s="371">
        <f t="shared" si="227"/>
        <v>-138.07511032499059</v>
      </c>
      <c r="S544" s="373">
        <f t="shared" si="228"/>
        <v>41.92488967500941</v>
      </c>
      <c r="U544" s="346">
        <f t="shared" si="234"/>
        <v>82702.75</v>
      </c>
      <c r="V544" s="346">
        <f t="shared" si="235"/>
        <v>6839744857.5625</v>
      </c>
      <c r="X544" s="372">
        <f t="shared" si="229"/>
        <v>23.533122721469397</v>
      </c>
      <c r="Y544" s="373">
        <f t="shared" si="230"/>
        <v>-15.871412776903897</v>
      </c>
      <c r="AA544" s="372">
        <f t="shared" si="231"/>
        <v>9.4687901387320021</v>
      </c>
      <c r="AB544" s="373">
        <f t="shared" si="232"/>
        <v>-122.20369754808665</v>
      </c>
      <c r="AD544">
        <f t="shared" si="236"/>
        <v>0</v>
      </c>
      <c r="AE544">
        <f t="shared" si="239"/>
        <v>0</v>
      </c>
    </row>
    <row r="545" spans="1:31" x14ac:dyDescent="0.2">
      <c r="A545" s="374">
        <v>83176</v>
      </c>
      <c r="B545" s="391">
        <f t="shared" si="233"/>
        <v>83.176000000000002</v>
      </c>
      <c r="C545" s="364">
        <f t="shared" si="214"/>
        <v>106.42909902100817</v>
      </c>
      <c r="D545" s="365">
        <f t="shared" si="215"/>
        <v>1.561400261962165</v>
      </c>
      <c r="E545" s="365">
        <f t="shared" si="216"/>
        <v>1.4107176271671749</v>
      </c>
      <c r="F545" s="366">
        <f t="shared" si="217"/>
        <v>0.78291695724570842</v>
      </c>
      <c r="G545" s="365">
        <f t="shared" si="218"/>
        <v>1</v>
      </c>
      <c r="H545" s="366">
        <f t="shared" si="219"/>
        <v>0</v>
      </c>
      <c r="I545" s="364">
        <f t="shared" si="220"/>
        <v>28238.025601301979</v>
      </c>
      <c r="J545" s="367">
        <f t="shared" si="221"/>
        <v>1.5707609135541012</v>
      </c>
      <c r="K545" s="375">
        <f t="shared" si="237"/>
        <v>17.102935680170841</v>
      </c>
      <c r="L545" s="376">
        <f t="shared" si="238"/>
        <v>1.5122934663885705</v>
      </c>
      <c r="M545" s="364">
        <f t="shared" si="222"/>
        <v>1.0245642561386323</v>
      </c>
      <c r="N545" s="367">
        <f t="shared" si="223"/>
        <v>0.2194162262102238</v>
      </c>
      <c r="O545" s="368">
        <f t="shared" si="224"/>
        <v>2.1011003422542331</v>
      </c>
      <c r="P545" s="369">
        <f t="shared" si="225"/>
        <v>1.3556904993814565</v>
      </c>
      <c r="Q545" s="370">
        <f t="shared" si="226"/>
        <v>-18.54786148627716</v>
      </c>
      <c r="R545" s="371">
        <f t="shared" si="227"/>
        <v>-138.20071356013011</v>
      </c>
      <c r="S545" s="373">
        <f t="shared" si="228"/>
        <v>41.799286439869888</v>
      </c>
      <c r="U545" s="346">
        <f t="shared" si="234"/>
        <v>83176</v>
      </c>
      <c r="V545" s="346">
        <f t="shared" si="235"/>
        <v>6918246976</v>
      </c>
      <c r="X545" s="372">
        <f t="shared" si="229"/>
        <v>23.530617016417644</v>
      </c>
      <c r="Y545" s="373">
        <f t="shared" si="230"/>
        <v>-15.921561698215642</v>
      </c>
      <c r="AA545" s="372">
        <f t="shared" si="231"/>
        <v>9.402146851859575</v>
      </c>
      <c r="AB545" s="373">
        <f t="shared" si="232"/>
        <v>-122.27915186191447</v>
      </c>
      <c r="AD545">
        <f t="shared" si="236"/>
        <v>0</v>
      </c>
      <c r="AE545">
        <f t="shared" si="239"/>
        <v>0</v>
      </c>
    </row>
    <row r="546" spans="1:31" x14ac:dyDescent="0.2">
      <c r="A546" s="374">
        <v>83660.5</v>
      </c>
      <c r="B546" s="391">
        <f t="shared" si="233"/>
        <v>83.660499999999999</v>
      </c>
      <c r="C546" s="364">
        <f t="shared" si="214"/>
        <v>107.04899369411046</v>
      </c>
      <c r="D546" s="365">
        <f t="shared" si="215"/>
        <v>1.5614546738745636</v>
      </c>
      <c r="E546" s="365">
        <f t="shared" si="216"/>
        <v>1.414811917376136</v>
      </c>
      <c r="F546" s="366">
        <f t="shared" si="217"/>
        <v>0.78582099595792343</v>
      </c>
      <c r="G546" s="365">
        <f t="shared" si="218"/>
        <v>1</v>
      </c>
      <c r="H546" s="366">
        <f t="shared" si="219"/>
        <v>0</v>
      </c>
      <c r="I546" s="364">
        <f t="shared" si="220"/>
        <v>28402.512032324423</v>
      </c>
      <c r="J546" s="367">
        <f t="shared" si="221"/>
        <v>1.5707611186415098</v>
      </c>
      <c r="K546" s="375">
        <f t="shared" si="237"/>
        <v>17.202220637575195</v>
      </c>
      <c r="L546" s="376">
        <f t="shared" si="238"/>
        <v>1.5126315060171598</v>
      </c>
      <c r="M546" s="364">
        <f t="shared" si="222"/>
        <v>1.0248477833125054</v>
      </c>
      <c r="N546" s="367">
        <f t="shared" si="223"/>
        <v>0.22065335492014904</v>
      </c>
      <c r="O546" s="368">
        <f t="shared" si="224"/>
        <v>2.1114247084151647</v>
      </c>
      <c r="P546" s="369">
        <f t="shared" si="225"/>
        <v>1.3598808533771392</v>
      </c>
      <c r="Q546" s="370">
        <f t="shared" si="226"/>
        <v>-18.61828412960131</v>
      </c>
      <c r="R546" s="371">
        <f t="shared" si="227"/>
        <v>-138.32905733048813</v>
      </c>
      <c r="S546" s="373">
        <f t="shared" si="228"/>
        <v>41.670942669511874</v>
      </c>
      <c r="U546" s="346">
        <f t="shared" si="234"/>
        <v>83660.5</v>
      </c>
      <c r="V546" s="346">
        <f t="shared" si="235"/>
        <v>6999079260.25</v>
      </c>
      <c r="X546" s="372">
        <f t="shared" si="229"/>
        <v>23.528042234033315</v>
      </c>
      <c r="Y546" s="373">
        <f t="shared" si="230"/>
        <v>-15.973087458684315</v>
      </c>
      <c r="AA546" s="372">
        <f t="shared" si="231"/>
        <v>9.334298990919752</v>
      </c>
      <c r="AB546" s="373">
        <f t="shared" si="232"/>
        <v>-122.35596987180379</v>
      </c>
      <c r="AD546">
        <f t="shared" si="236"/>
        <v>0</v>
      </c>
      <c r="AE546">
        <f t="shared" si="239"/>
        <v>0</v>
      </c>
    </row>
    <row r="547" spans="1:31" x14ac:dyDescent="0.2">
      <c r="A547" s="374">
        <v>84145</v>
      </c>
      <c r="B547" s="391">
        <f t="shared" si="233"/>
        <v>84.144999999999996</v>
      </c>
      <c r="C547" s="364">
        <f t="shared" si="214"/>
        <v>107.66888868049857</v>
      </c>
      <c r="D547" s="365">
        <f t="shared" si="215"/>
        <v>1.5615084592426818</v>
      </c>
      <c r="E547" s="365">
        <f t="shared" si="216"/>
        <v>1.4189180704011382</v>
      </c>
      <c r="F547" s="366">
        <f t="shared" si="217"/>
        <v>0.78870825112817644</v>
      </c>
      <c r="G547" s="365">
        <f t="shared" si="218"/>
        <v>1</v>
      </c>
      <c r="H547" s="366">
        <f t="shared" si="219"/>
        <v>0</v>
      </c>
      <c r="I547" s="364">
        <f t="shared" si="220"/>
        <v>28566.998463348049</v>
      </c>
      <c r="J547" s="367">
        <f t="shared" si="221"/>
        <v>1.5707613213671654</v>
      </c>
      <c r="K547" s="375">
        <f t="shared" si="237"/>
        <v>17.301507538130249</v>
      </c>
      <c r="L547" s="376">
        <f t="shared" si="238"/>
        <v>1.5129656659168018</v>
      </c>
      <c r="M547" s="364">
        <f t="shared" si="222"/>
        <v>1.0251328781340157</v>
      </c>
      <c r="N547" s="367">
        <f t="shared" si="223"/>
        <v>0.22188979741761422</v>
      </c>
      <c r="O547" s="368">
        <f t="shared" si="224"/>
        <v>2.1217781048145699</v>
      </c>
      <c r="P547" s="369">
        <f t="shared" si="225"/>
        <v>1.3640476186580766</v>
      </c>
      <c r="Q547" s="370">
        <f t="shared" si="226"/>
        <v>-18.688336484826905</v>
      </c>
      <c r="R547" s="371">
        <f t="shared" si="227"/>
        <v>-138.45715813452156</v>
      </c>
      <c r="S547" s="373">
        <f t="shared" si="228"/>
        <v>41.542841865478437</v>
      </c>
      <c r="U547" s="346">
        <f t="shared" si="234"/>
        <v>84145</v>
      </c>
      <c r="V547" s="346">
        <f t="shared" si="235"/>
        <v>7080381025</v>
      </c>
      <c r="X547" s="372">
        <f t="shared" si="229"/>
        <v>23.525457780692097</v>
      </c>
      <c r="Y547" s="373">
        <f t="shared" si="230"/>
        <v>-16.02479605885123</v>
      </c>
      <c r="AA547" s="372">
        <f t="shared" si="231"/>
        <v>9.266831089035378</v>
      </c>
      <c r="AB547" s="373">
        <f t="shared" si="232"/>
        <v>-122.43236207567031</v>
      </c>
      <c r="AD547">
        <f t="shared" si="236"/>
        <v>0</v>
      </c>
      <c r="AE547">
        <f t="shared" si="239"/>
        <v>0</v>
      </c>
    </row>
    <row r="548" spans="1:31" x14ac:dyDescent="0.2">
      <c r="A548" s="374">
        <v>84629.5</v>
      </c>
      <c r="B548" s="391">
        <f t="shared" si="233"/>
        <v>84.629499999999993</v>
      </c>
      <c r="C548" s="364">
        <f t="shared" si="214"/>
        <v>108.2887839747923</v>
      </c>
      <c r="D548" s="365">
        <f t="shared" si="215"/>
        <v>1.5615616288260965</v>
      </c>
      <c r="E548" s="365">
        <f t="shared" si="216"/>
        <v>1.4230359835521502</v>
      </c>
      <c r="F548" s="366">
        <f t="shared" si="217"/>
        <v>0.79157882011250547</v>
      </c>
      <c r="G548" s="365">
        <f t="shared" si="218"/>
        <v>1</v>
      </c>
      <c r="H548" s="366">
        <f t="shared" si="219"/>
        <v>0</v>
      </c>
      <c r="I548" s="364">
        <f t="shared" si="220"/>
        <v>28731.484894372832</v>
      </c>
      <c r="J548" s="367">
        <f t="shared" si="221"/>
        <v>1.5707615217716311</v>
      </c>
      <c r="K548" s="375">
        <f t="shared" si="237"/>
        <v>17.400796348573824</v>
      </c>
      <c r="L548" s="376">
        <f t="shared" si="238"/>
        <v>1.5132960124253347</v>
      </c>
      <c r="M548" s="364">
        <f t="shared" si="222"/>
        <v>1.0254195392956158</v>
      </c>
      <c r="N548" s="367">
        <f t="shared" si="223"/>
        <v>0.22312555049603819</v>
      </c>
      <c r="O548" s="368">
        <f t="shared" si="224"/>
        <v>2.1321604498635143</v>
      </c>
      <c r="P548" s="369">
        <f t="shared" si="225"/>
        <v>1.3681910407114799</v>
      </c>
      <c r="Q548" s="370">
        <f t="shared" si="226"/>
        <v>-18.758022729550778</v>
      </c>
      <c r="R548" s="371">
        <f t="shared" si="227"/>
        <v>-138.5850210937223</v>
      </c>
      <c r="S548" s="373">
        <f t="shared" si="228"/>
        <v>41.414978906277696</v>
      </c>
      <c r="U548" s="346">
        <f t="shared" si="234"/>
        <v>84629.5</v>
      </c>
      <c r="V548" s="346">
        <f t="shared" si="235"/>
        <v>7162152270.25</v>
      </c>
      <c r="X548" s="372">
        <f t="shared" si="229"/>
        <v>23.52286361107824</v>
      </c>
      <c r="Y548" s="373">
        <f t="shared" si="230"/>
        <v>-16.07668351643877</v>
      </c>
      <c r="AA548" s="372">
        <f t="shared" si="231"/>
        <v>9.1997390139253561</v>
      </c>
      <c r="AB548" s="373">
        <f t="shared" si="232"/>
        <v>-122.50833757728351</v>
      </c>
      <c r="AD548">
        <f t="shared" si="236"/>
        <v>0</v>
      </c>
      <c r="AE548">
        <f t="shared" si="239"/>
        <v>0</v>
      </c>
    </row>
    <row r="549" spans="1:31" x14ac:dyDescent="0.2">
      <c r="A549" s="374">
        <v>85114</v>
      </c>
      <c r="B549" s="391">
        <f t="shared" si="233"/>
        <v>85.114000000000004</v>
      </c>
      <c r="C549" s="364">
        <f t="shared" si="214"/>
        <v>108.90867957173397</v>
      </c>
      <c r="D549" s="365">
        <f t="shared" si="215"/>
        <v>1.5616141931394307</v>
      </c>
      <c r="E549" s="365">
        <f t="shared" si="216"/>
        <v>1.4271655550319238</v>
      </c>
      <c r="F549" s="366">
        <f t="shared" si="217"/>
        <v>0.79443280024492258</v>
      </c>
      <c r="G549" s="365">
        <f t="shared" si="218"/>
        <v>1</v>
      </c>
      <c r="H549" s="366">
        <f t="shared" si="219"/>
        <v>0</v>
      </c>
      <c r="I549" s="364">
        <f t="shared" si="220"/>
        <v>28895.971325398757</v>
      </c>
      <c r="J549" s="367">
        <f t="shared" si="221"/>
        <v>1.5707617198945458</v>
      </c>
      <c r="K549" s="375">
        <f t="shared" si="237"/>
        <v>17.500087036397986</v>
      </c>
      <c r="L549" s="376">
        <f t="shared" si="238"/>
        <v>1.5136226103784389</v>
      </c>
      <c r="M549" s="364">
        <f t="shared" si="222"/>
        <v>1.0257077654840401</v>
      </c>
      <c r="N549" s="367">
        <f t="shared" si="223"/>
        <v>0.22436061096083693</v>
      </c>
      <c r="O549" s="368">
        <f t="shared" si="224"/>
        <v>2.14257166434022</v>
      </c>
      <c r="P549" s="369">
        <f t="shared" si="225"/>
        <v>1.3723113617829064</v>
      </c>
      <c r="Q549" s="370">
        <f t="shared" si="226"/>
        <v>-18.827346983154676</v>
      </c>
      <c r="R549" s="371">
        <f t="shared" si="227"/>
        <v>-138.71265121777782</v>
      </c>
      <c r="S549" s="373">
        <f t="shared" si="228"/>
        <v>41.287348782222182</v>
      </c>
      <c r="U549" s="346">
        <f t="shared" si="234"/>
        <v>85114</v>
      </c>
      <c r="V549" s="346">
        <f t="shared" si="235"/>
        <v>7244392996</v>
      </c>
      <c r="X549" s="372">
        <f t="shared" si="229"/>
        <v>23.520259681858974</v>
      </c>
      <c r="Y549" s="373">
        <f t="shared" si="230"/>
        <v>-16.128745935871056</v>
      </c>
      <c r="AA549" s="372">
        <f t="shared" si="231"/>
        <v>9.133018689540723</v>
      </c>
      <c r="AB549" s="373">
        <f t="shared" si="232"/>
        <v>-122.58390528190679</v>
      </c>
      <c r="AD549">
        <f t="shared" si="236"/>
        <v>0</v>
      </c>
      <c r="AE549">
        <f t="shared" si="239"/>
        <v>0</v>
      </c>
    </row>
    <row r="550" spans="1:31" x14ac:dyDescent="0.2">
      <c r="A550" s="374">
        <v>85609.5</v>
      </c>
      <c r="B550" s="391">
        <f t="shared" si="233"/>
        <v>85.609499999999997</v>
      </c>
      <c r="C550" s="364">
        <f t="shared" si="214"/>
        <v>109.54264947339496</v>
      </c>
      <c r="D550" s="365">
        <f t="shared" si="215"/>
        <v>1.5616673355326867</v>
      </c>
      <c r="E550" s="365">
        <f t="shared" si="216"/>
        <v>1.431400836762704</v>
      </c>
      <c r="F550" s="366">
        <f t="shared" si="217"/>
        <v>0.79733451994408755</v>
      </c>
      <c r="G550" s="365">
        <f t="shared" si="218"/>
        <v>1</v>
      </c>
      <c r="H550" s="366">
        <f t="shared" si="219"/>
        <v>0</v>
      </c>
      <c r="I550" s="364">
        <f t="shared" si="220"/>
        <v>29064.192226480096</v>
      </c>
      <c r="J550" s="367">
        <f t="shared" si="221"/>
        <v>1.5707619201961374</v>
      </c>
      <c r="K550" s="375">
        <f t="shared" si="237"/>
        <v>17.601633910654567</v>
      </c>
      <c r="L550" s="376">
        <f t="shared" si="238"/>
        <v>1.5139528122088557</v>
      </c>
      <c r="M550" s="364">
        <f t="shared" si="222"/>
        <v>1.0260041528612331</v>
      </c>
      <c r="N550" s="367">
        <f t="shared" si="223"/>
        <v>0.22562299231791222</v>
      </c>
      <c r="O550" s="368">
        <f t="shared" si="224"/>
        <v>2.1532490330488683</v>
      </c>
      <c r="P550" s="369">
        <f t="shared" si="225"/>
        <v>1.376501585317073</v>
      </c>
      <c r="Q550" s="370">
        <f t="shared" si="226"/>
        <v>-18.897874982739371</v>
      </c>
      <c r="R550" s="371">
        <f t="shared" si="227"/>
        <v>-138.84294331346737</v>
      </c>
      <c r="S550" s="373">
        <f t="shared" si="228"/>
        <v>41.157056686532627</v>
      </c>
      <c r="U550" s="346">
        <f t="shared" si="234"/>
        <v>85609.5</v>
      </c>
      <c r="V550" s="346">
        <f t="shared" si="235"/>
        <v>7328986490.25</v>
      </c>
      <c r="X550" s="372">
        <f t="shared" si="229"/>
        <v>23.517586495863778</v>
      </c>
      <c r="Y550" s="373">
        <f t="shared" si="230"/>
        <v>-16.182167364993965</v>
      </c>
      <c r="AA550" s="372">
        <f t="shared" si="231"/>
        <v>9.0651638759512281</v>
      </c>
      <c r="AB550" s="373">
        <f t="shared" si="232"/>
        <v>-122.66077594847344</v>
      </c>
      <c r="AD550">
        <f t="shared" si="236"/>
        <v>0</v>
      </c>
      <c r="AE550">
        <f t="shared" si="239"/>
        <v>0</v>
      </c>
    </row>
    <row r="551" spans="1:31" x14ac:dyDescent="0.2">
      <c r="A551" s="374">
        <v>86105</v>
      </c>
      <c r="B551" s="391">
        <f t="shared" si="233"/>
        <v>86.105000000000004</v>
      </c>
      <c r="C551" s="364">
        <f t="shared" si="214"/>
        <v>110.17661968085667</v>
      </c>
      <c r="D551" s="365">
        <f t="shared" si="215"/>
        <v>1.5617198663499823</v>
      </c>
      <c r="E551" s="365">
        <f t="shared" si="216"/>
        <v>1.4356480996859664</v>
      </c>
      <c r="F551" s="366">
        <f t="shared" si="217"/>
        <v>0.80021909474862318</v>
      </c>
      <c r="G551" s="365">
        <f t="shared" si="218"/>
        <v>1</v>
      </c>
      <c r="H551" s="366">
        <f t="shared" si="219"/>
        <v>0</v>
      </c>
      <c r="I551" s="364">
        <f t="shared" si="220"/>
        <v>29232.413127562584</v>
      </c>
      <c r="J551" s="367">
        <f t="shared" si="221"/>
        <v>1.5707621181924172</v>
      </c>
      <c r="K551" s="375">
        <f t="shared" si="237"/>
        <v>17.703182682057403</v>
      </c>
      <c r="L551" s="376">
        <f t="shared" si="238"/>
        <v>1.5142792258754407</v>
      </c>
      <c r="M551" s="364">
        <f t="shared" si="222"/>
        <v>1.0263021743396137</v>
      </c>
      <c r="N551" s="367">
        <f t="shared" si="223"/>
        <v>0.22688464253451565</v>
      </c>
      <c r="O551" s="368">
        <f t="shared" si="224"/>
        <v>2.1639564367374127</v>
      </c>
      <c r="P551" s="369">
        <f t="shared" si="225"/>
        <v>1.3806681492849138</v>
      </c>
      <c r="Q551" s="370">
        <f t="shared" si="226"/>
        <v>-18.968032900241273</v>
      </c>
      <c r="R551" s="371">
        <f t="shared" si="227"/>
        <v>-138.97300212769395</v>
      </c>
      <c r="S551" s="373">
        <f t="shared" si="228"/>
        <v>41.026997872306055</v>
      </c>
      <c r="U551" s="346">
        <f t="shared" si="234"/>
        <v>86105</v>
      </c>
      <c r="V551" s="346">
        <f t="shared" si="235"/>
        <v>7414071025</v>
      </c>
      <c r="X551" s="372">
        <f t="shared" si="229"/>
        <v>23.514903016470463</v>
      </c>
      <c r="Y551" s="373">
        <f t="shared" si="230"/>
        <v>-16.235763816568827</v>
      </c>
      <c r="AA551" s="372">
        <f t="shared" si="231"/>
        <v>8.9976894378426415</v>
      </c>
      <c r="AB551" s="373">
        <f t="shared" si="232"/>
        <v>-122.73723831112511</v>
      </c>
      <c r="AD551">
        <f t="shared" si="236"/>
        <v>0</v>
      </c>
      <c r="AE551">
        <f t="shared" si="239"/>
        <v>0</v>
      </c>
    </row>
    <row r="552" spans="1:31" x14ac:dyDescent="0.2">
      <c r="A552" s="374">
        <v>86600.5</v>
      </c>
      <c r="B552" s="391">
        <f t="shared" si="233"/>
        <v>86.600499999999997</v>
      </c>
      <c r="C552" s="364">
        <f t="shared" si="214"/>
        <v>110.81059018887046</v>
      </c>
      <c r="D552" s="365">
        <f t="shared" si="215"/>
        <v>1.5617717960878863</v>
      </c>
      <c r="E552" s="365">
        <f t="shared" si="216"/>
        <v>1.4399072377797291</v>
      </c>
      <c r="F552" s="366">
        <f t="shared" si="217"/>
        <v>0.80308662858214197</v>
      </c>
      <c r="G552" s="365">
        <f t="shared" si="218"/>
        <v>1</v>
      </c>
      <c r="H552" s="366">
        <f t="shared" si="219"/>
        <v>0</v>
      </c>
      <c r="I552" s="364">
        <f t="shared" si="220"/>
        <v>29400.634028646211</v>
      </c>
      <c r="J552" s="367">
        <f t="shared" si="221"/>
        <v>1.5707623139229558</v>
      </c>
      <c r="K552" s="375">
        <f t="shared" si="237"/>
        <v>17.804733318145551</v>
      </c>
      <c r="L552" s="376">
        <f t="shared" si="238"/>
        <v>1.5146019161262685</v>
      </c>
      <c r="M552" s="364">
        <f t="shared" si="222"/>
        <v>1.0266018284960483</v>
      </c>
      <c r="N552" s="367">
        <f t="shared" si="223"/>
        <v>0.22814555823265931</v>
      </c>
      <c r="O552" s="368">
        <f t="shared" si="224"/>
        <v>2.1746937980466843</v>
      </c>
      <c r="P552" s="369">
        <f t="shared" si="225"/>
        <v>1.384811302546255</v>
      </c>
      <c r="Q552" s="370">
        <f t="shared" si="226"/>
        <v>-19.037824959483746</v>
      </c>
      <c r="R552" s="371">
        <f t="shared" si="227"/>
        <v>-139.10283266503129</v>
      </c>
      <c r="S552" s="373">
        <f t="shared" si="228"/>
        <v>40.897167334968714</v>
      </c>
      <c r="U552" s="346">
        <f t="shared" si="234"/>
        <v>86600.5</v>
      </c>
      <c r="V552" s="346">
        <f t="shared" si="235"/>
        <v>7499646600.25</v>
      </c>
      <c r="X552" s="372">
        <f t="shared" si="229"/>
        <v>23.512209203350331</v>
      </c>
      <c r="Y552" s="373">
        <f t="shared" si="230"/>
        <v>-16.289531389527024</v>
      </c>
      <c r="AA552" s="372">
        <f t="shared" si="231"/>
        <v>8.9305911917202963</v>
      </c>
      <c r="AB552" s="373">
        <f t="shared" si="232"/>
        <v>-122.81330127550427</v>
      </c>
      <c r="AD552">
        <f t="shared" si="236"/>
        <v>0</v>
      </c>
      <c r="AE552">
        <f t="shared" si="239"/>
        <v>0</v>
      </c>
    </row>
    <row r="553" spans="1:31" x14ac:dyDescent="0.2">
      <c r="A553" s="374">
        <v>87096</v>
      </c>
      <c r="B553" s="391">
        <f t="shared" si="233"/>
        <v>87.096000000000004</v>
      </c>
      <c r="C553" s="364">
        <f t="shared" si="214"/>
        <v>111.44456099230712</v>
      </c>
      <c r="D553" s="365">
        <f t="shared" si="215"/>
        <v>1.5618231350041349</v>
      </c>
      <c r="E553" s="365">
        <f t="shared" si="216"/>
        <v>1.4441781459780296</v>
      </c>
      <c r="F553" s="366">
        <f t="shared" si="217"/>
        <v>0.80593722526503098</v>
      </c>
      <c r="G553" s="365">
        <f t="shared" si="218"/>
        <v>1</v>
      </c>
      <c r="H553" s="366">
        <f t="shared" si="219"/>
        <v>0</v>
      </c>
      <c r="I553" s="364">
        <f t="shared" si="220"/>
        <v>29568.854929730947</v>
      </c>
      <c r="J553" s="367">
        <f t="shared" si="221"/>
        <v>1.5707625074264238</v>
      </c>
      <c r="K553" s="375">
        <f t="shared" si="237"/>
        <v>17.906285787193838</v>
      </c>
      <c r="L553" s="376">
        <f t="shared" si="238"/>
        <v>1.5149209462437241</v>
      </c>
      <c r="M553" s="364">
        <f t="shared" si="222"/>
        <v>1.0269031139012721</v>
      </c>
      <c r="N553" s="367">
        <f t="shared" si="223"/>
        <v>0.22940573604762987</v>
      </c>
      <c r="O553" s="368">
        <f t="shared" si="224"/>
        <v>2.1854610420072214</v>
      </c>
      <c r="P553" s="369">
        <f t="shared" si="225"/>
        <v>1.3889312905883267</v>
      </c>
      <c r="Q553" s="370">
        <f t="shared" si="226"/>
        <v>-19.107255324829882</v>
      </c>
      <c r="R553" s="371">
        <f t="shared" si="227"/>
        <v>-139.23243981373486</v>
      </c>
      <c r="S553" s="373">
        <f t="shared" si="228"/>
        <v>40.767560186265143</v>
      </c>
      <c r="U553" s="346">
        <f t="shared" si="234"/>
        <v>87096</v>
      </c>
      <c r="V553" s="346">
        <f t="shared" si="235"/>
        <v>7585713216</v>
      </c>
      <c r="X553" s="372">
        <f t="shared" si="229"/>
        <v>23.509505018074289</v>
      </c>
      <c r="Y553" s="373">
        <f t="shared" si="230"/>
        <v>-16.343466267486747</v>
      </c>
      <c r="AA553" s="372">
        <f t="shared" si="231"/>
        <v>8.8638650116502067</v>
      </c>
      <c r="AB553" s="373">
        <f t="shared" si="232"/>
        <v>-122.88897354624811</v>
      </c>
      <c r="AD553">
        <f t="shared" si="236"/>
        <v>0</v>
      </c>
      <c r="AE553">
        <f t="shared" si="239"/>
        <v>0</v>
      </c>
    </row>
    <row r="554" spans="1:31" x14ac:dyDescent="0.2">
      <c r="A554" s="374">
        <v>87603.25</v>
      </c>
      <c r="B554" s="391">
        <f t="shared" si="233"/>
        <v>87.603250000000003</v>
      </c>
      <c r="C554" s="364">
        <f t="shared" si="214"/>
        <v>112.09356571295328</v>
      </c>
      <c r="D554" s="365">
        <f t="shared" si="215"/>
        <v>1.5618750898041054</v>
      </c>
      <c r="E554" s="365">
        <f t="shared" si="216"/>
        <v>1.4485624154028756</v>
      </c>
      <c r="F554" s="366">
        <f t="shared" si="217"/>
        <v>0.80883798324176215</v>
      </c>
      <c r="G554" s="365">
        <f t="shared" si="218"/>
        <v>1</v>
      </c>
      <c r="H554" s="366">
        <f t="shared" si="219"/>
        <v>0</v>
      </c>
      <c r="I554" s="364">
        <f t="shared" si="220"/>
        <v>29741.064923829425</v>
      </c>
      <c r="J554" s="367">
        <f t="shared" si="221"/>
        <v>1.5707627032510609</v>
      </c>
      <c r="K554" s="375">
        <f t="shared" si="237"/>
        <v>18.010248278975329</v>
      </c>
      <c r="L554" s="376">
        <f t="shared" si="238"/>
        <v>1.5152438148761538</v>
      </c>
      <c r="M554" s="364">
        <f t="shared" si="222"/>
        <v>1.0272132320466434</v>
      </c>
      <c r="N554" s="367">
        <f t="shared" si="223"/>
        <v>0.23069502915324094</v>
      </c>
      <c r="O554" s="368">
        <f t="shared" si="224"/>
        <v>2.196514492325329</v>
      </c>
      <c r="P554" s="369">
        <f t="shared" si="225"/>
        <v>1.3931252347202991</v>
      </c>
      <c r="Q554" s="370">
        <f t="shared" si="226"/>
        <v>-19.17796174692721</v>
      </c>
      <c r="R554" s="371">
        <f t="shared" si="227"/>
        <v>-139.36489397692668</v>
      </c>
      <c r="S554" s="373">
        <f t="shared" si="228"/>
        <v>40.63510602307332</v>
      </c>
      <c r="U554" s="346">
        <f t="shared" si="234"/>
        <v>87603.25</v>
      </c>
      <c r="V554" s="346">
        <f t="shared" si="235"/>
        <v>7674329410.5625</v>
      </c>
      <c r="X554" s="372">
        <f t="shared" si="229"/>
        <v>23.506725925112164</v>
      </c>
      <c r="Y554" s="373">
        <f t="shared" si="230"/>
        <v>-16.398849531006721</v>
      </c>
      <c r="AA554" s="372">
        <f t="shared" si="231"/>
        <v>8.7959376825150031</v>
      </c>
      <c r="AB554" s="373">
        <f t="shared" si="232"/>
        <v>-122.96604444592001</v>
      </c>
      <c r="AD554">
        <f t="shared" si="236"/>
        <v>0</v>
      </c>
      <c r="AE554">
        <f t="shared" si="239"/>
        <v>0</v>
      </c>
    </row>
    <row r="555" spans="1:31" x14ac:dyDescent="0.2">
      <c r="A555" s="374">
        <v>88110.5</v>
      </c>
      <c r="B555" s="391">
        <f t="shared" si="233"/>
        <v>88.110500000000002</v>
      </c>
      <c r="C555" s="364">
        <f t="shared" si="214"/>
        <v>112.7425707326902</v>
      </c>
      <c r="D555" s="365">
        <f t="shared" si="215"/>
        <v>1.5619264464463789</v>
      </c>
      <c r="E555" s="365">
        <f t="shared" si="216"/>
        <v>1.4529587999883979</v>
      </c>
      <c r="F555" s="366">
        <f t="shared" si="217"/>
        <v>0.81172121104285766</v>
      </c>
      <c r="G555" s="365">
        <f t="shared" si="218"/>
        <v>1</v>
      </c>
      <c r="H555" s="366">
        <f t="shared" si="219"/>
        <v>0</v>
      </c>
      <c r="I555" s="364">
        <f t="shared" si="220"/>
        <v>29913.274917929026</v>
      </c>
      <c r="J555" s="367">
        <f t="shared" si="221"/>
        <v>1.5707628968209828</v>
      </c>
      <c r="K555" s="375">
        <f t="shared" si="237"/>
        <v>18.114212626669236</v>
      </c>
      <c r="L555" s="376">
        <f t="shared" si="238"/>
        <v>1.5155629774100638</v>
      </c>
      <c r="M555" s="364">
        <f t="shared" si="222"/>
        <v>1.027525056672302</v>
      </c>
      <c r="N555" s="367">
        <f t="shared" si="223"/>
        <v>0.23198354187207174</v>
      </c>
      <c r="O555" s="368">
        <f t="shared" si="224"/>
        <v>2.2075991078062653</v>
      </c>
      <c r="P555" s="369">
        <f t="shared" si="225"/>
        <v>1.3972954119494287</v>
      </c>
      <c r="Q555" s="370">
        <f t="shared" si="226"/>
        <v>-19.248297763056804</v>
      </c>
      <c r="R555" s="371">
        <f t="shared" si="227"/>
        <v>-139.49712403180894</v>
      </c>
      <c r="S555" s="373">
        <f t="shared" si="228"/>
        <v>40.502875968191063</v>
      </c>
      <c r="U555" s="346">
        <f t="shared" si="234"/>
        <v>88110.5</v>
      </c>
      <c r="V555" s="346">
        <f t="shared" si="235"/>
        <v>7763460210.25</v>
      </c>
      <c r="X555" s="372">
        <f t="shared" si="229"/>
        <v>23.503935886576649</v>
      </c>
      <c r="Y555" s="373">
        <f t="shared" si="230"/>
        <v>-16.454400296275939</v>
      </c>
      <c r="AA555" s="372">
        <f t="shared" si="231"/>
        <v>8.7283917049209272</v>
      </c>
      <c r="AB555" s="373">
        <f t="shared" si="232"/>
        <v>-123.04272373553297</v>
      </c>
      <c r="AD555">
        <f t="shared" si="236"/>
        <v>0</v>
      </c>
      <c r="AE555">
        <f t="shared" si="239"/>
        <v>0</v>
      </c>
    </row>
    <row r="556" spans="1:31" x14ac:dyDescent="0.2">
      <c r="A556" s="374">
        <v>88617.75</v>
      </c>
      <c r="B556" s="391">
        <f t="shared" si="233"/>
        <v>88.617750000000001</v>
      </c>
      <c r="C556" s="364">
        <f t="shared" si="214"/>
        <v>113.39157604638227</v>
      </c>
      <c r="D556" s="365">
        <f t="shared" si="215"/>
        <v>1.5619772152014852</v>
      </c>
      <c r="E556" s="365">
        <f t="shared" si="216"/>
        <v>1.4573671900925571</v>
      </c>
      <c r="F556" s="366">
        <f t="shared" si="217"/>
        <v>0.81458701959570234</v>
      </c>
      <c r="G556" s="365">
        <f t="shared" si="218"/>
        <v>1</v>
      </c>
      <c r="H556" s="366">
        <f t="shared" si="219"/>
        <v>0</v>
      </c>
      <c r="I556" s="364">
        <f t="shared" si="220"/>
        <v>30085.484912029737</v>
      </c>
      <c r="J556" s="367">
        <f t="shared" si="221"/>
        <v>1.5707630881749073</v>
      </c>
      <c r="K556" s="375">
        <f t="shared" si="237"/>
        <v>18.21817879850256</v>
      </c>
      <c r="L556" s="376">
        <f t="shared" si="238"/>
        <v>1.5158784972289452</v>
      </c>
      <c r="M556" s="364">
        <f t="shared" si="222"/>
        <v>1.0278385862251174</v>
      </c>
      <c r="N556" s="367">
        <f t="shared" si="223"/>
        <v>0.23327127063779055</v>
      </c>
      <c r="O556" s="368">
        <f t="shared" si="224"/>
        <v>2.2187148154892622</v>
      </c>
      <c r="P556" s="369">
        <f t="shared" si="225"/>
        <v>1.4014420749460892</v>
      </c>
      <c r="Q556" s="370">
        <f t="shared" si="226"/>
        <v>-19.318267653789604</v>
      </c>
      <c r="R556" s="371">
        <f t="shared" si="227"/>
        <v>-139.62913485439066</v>
      </c>
      <c r="S556" s="373">
        <f t="shared" si="228"/>
        <v>40.370865145609343</v>
      </c>
      <c r="U556" s="346">
        <f t="shared" si="234"/>
        <v>88617.75</v>
      </c>
      <c r="V556" s="346">
        <f t="shared" si="235"/>
        <v>7853105615.0625</v>
      </c>
      <c r="X556" s="372">
        <f t="shared" si="229"/>
        <v>23.501134867030423</v>
      </c>
      <c r="Y556" s="373">
        <f t="shared" si="230"/>
        <v>-16.510114729570521</v>
      </c>
      <c r="AA556" s="372">
        <f t="shared" si="231"/>
        <v>8.6612228337343531</v>
      </c>
      <c r="AB556" s="373">
        <f t="shared" si="232"/>
        <v>-123.11902012482011</v>
      </c>
      <c r="AD556">
        <f t="shared" si="236"/>
        <v>0</v>
      </c>
      <c r="AE556">
        <f t="shared" si="239"/>
        <v>0</v>
      </c>
    </row>
    <row r="557" spans="1:31" x14ac:dyDescent="0.2">
      <c r="A557" s="374">
        <v>89125</v>
      </c>
      <c r="B557" s="391">
        <f t="shared" si="233"/>
        <v>89.125</v>
      </c>
      <c r="C557" s="364">
        <f t="shared" si="214"/>
        <v>114.04058164901079</v>
      </c>
      <c r="D557" s="365">
        <f t="shared" si="215"/>
        <v>1.5620274061061681</v>
      </c>
      <c r="E557" s="365">
        <f t="shared" si="216"/>
        <v>1.4617874770983177</v>
      </c>
      <c r="F557" s="366">
        <f t="shared" si="217"/>
        <v>0.81743551963591599</v>
      </c>
      <c r="G557" s="365">
        <f t="shared" si="218"/>
        <v>1</v>
      </c>
      <c r="H557" s="366">
        <f t="shared" si="219"/>
        <v>0</v>
      </c>
      <c r="I557" s="364">
        <f t="shared" si="220"/>
        <v>30257.694906131535</v>
      </c>
      <c r="J557" s="367">
        <f t="shared" si="221"/>
        <v>1.5707632773506714</v>
      </c>
      <c r="K557" s="375">
        <f t="shared" si="237"/>
        <v>18.322146763422914</v>
      </c>
      <c r="L557" s="376">
        <f t="shared" si="238"/>
        <v>1.516190436280564</v>
      </c>
      <c r="M557" s="364">
        <f t="shared" si="222"/>
        <v>1.0281538191453663</v>
      </c>
      <c r="N557" s="367">
        <f t="shared" si="223"/>
        <v>0.23455821189880388</v>
      </c>
      <c r="O557" s="368">
        <f t="shared" si="224"/>
        <v>2.2298615448299519</v>
      </c>
      <c r="P557" s="369">
        <f t="shared" si="225"/>
        <v>1.4055654728684694</v>
      </c>
      <c r="Q557" s="370">
        <f t="shared" si="226"/>
        <v>-19.387875638712384</v>
      </c>
      <c r="R557" s="371">
        <f t="shared" si="227"/>
        <v>-139.76093120009492</v>
      </c>
      <c r="S557" s="373">
        <f t="shared" si="228"/>
        <v>40.239068799905084</v>
      </c>
      <c r="U557" s="346">
        <f t="shared" si="234"/>
        <v>89125</v>
      </c>
      <c r="V557" s="346">
        <f t="shared" si="235"/>
        <v>7943265625</v>
      </c>
      <c r="X557" s="372">
        <f t="shared" si="229"/>
        <v>23.498322832863838</v>
      </c>
      <c r="Y557" s="373">
        <f t="shared" si="230"/>
        <v>-16.565989080221467</v>
      </c>
      <c r="AA557" s="372">
        <f t="shared" si="231"/>
        <v>8.5944268829781496</v>
      </c>
      <c r="AB557" s="373">
        <f t="shared" si="232"/>
        <v>-123.19494211987345</v>
      </c>
      <c r="AD557">
        <f t="shared" si="236"/>
        <v>0</v>
      </c>
      <c r="AE557">
        <f t="shared" si="239"/>
        <v>0</v>
      </c>
    </row>
    <row r="558" spans="1:31" x14ac:dyDescent="0.2">
      <c r="A558" s="374">
        <v>89644</v>
      </c>
      <c r="B558" s="391">
        <f t="shared" si="233"/>
        <v>89.644000000000005</v>
      </c>
      <c r="C558" s="364">
        <f t="shared" si="214"/>
        <v>114.70462118940362</v>
      </c>
      <c r="D558" s="365">
        <f t="shared" si="215"/>
        <v>1.5620781717855572</v>
      </c>
      <c r="E558" s="365">
        <f t="shared" si="216"/>
        <v>1.466322357409261</v>
      </c>
      <c r="F558" s="366">
        <f t="shared" si="217"/>
        <v>0.82033220339015556</v>
      </c>
      <c r="G558" s="365">
        <f t="shared" si="218"/>
        <v>1</v>
      </c>
      <c r="H558" s="366">
        <f t="shared" si="219"/>
        <v>0</v>
      </c>
      <c r="I558" s="364">
        <f t="shared" si="220"/>
        <v>30433.893993247151</v>
      </c>
      <c r="J558" s="367">
        <f t="shared" si="221"/>
        <v>1.5707634686926635</v>
      </c>
      <c r="K558" s="375">
        <f t="shared" si="237"/>
        <v>18.428524879003241</v>
      </c>
      <c r="L558" s="376">
        <f t="shared" si="238"/>
        <v>1.5165059581282785</v>
      </c>
      <c r="M558" s="364">
        <f t="shared" si="222"/>
        <v>1.0284781155351497</v>
      </c>
      <c r="N558" s="367">
        <f t="shared" si="223"/>
        <v>0.23587414525435352</v>
      </c>
      <c r="O558" s="368">
        <f t="shared" si="224"/>
        <v>2.2412985151179519</v>
      </c>
      <c r="P558" s="369">
        <f t="shared" si="225"/>
        <v>1.4097605622271898</v>
      </c>
      <c r="Q558" s="370">
        <f t="shared" si="226"/>
        <v>-19.458725791785778</v>
      </c>
      <c r="R558" s="371">
        <f t="shared" si="227"/>
        <v>-139.89556334091859</v>
      </c>
      <c r="S558" s="373">
        <f t="shared" si="228"/>
        <v>40.104436659081415</v>
      </c>
      <c r="U558" s="346">
        <f t="shared" si="234"/>
        <v>89644</v>
      </c>
      <c r="V558" s="346">
        <f t="shared" si="235"/>
        <v>8036046736</v>
      </c>
      <c r="X558" s="372">
        <f t="shared" si="229"/>
        <v>23.495434226908056</v>
      </c>
      <c r="Y558" s="373">
        <f t="shared" si="230"/>
        <v>-16.623319400550844</v>
      </c>
      <c r="AA558" s="372">
        <f t="shared" si="231"/>
        <v>8.5264653358605429</v>
      </c>
      <c r="AB558" s="373">
        <f t="shared" si="232"/>
        <v>-123.27224394036777</v>
      </c>
      <c r="AD558">
        <f t="shared" si="236"/>
        <v>0</v>
      </c>
      <c r="AE558">
        <f t="shared" si="239"/>
        <v>0</v>
      </c>
    </row>
    <row r="559" spans="1:31" x14ac:dyDescent="0.2">
      <c r="A559" s="374">
        <v>90163</v>
      </c>
      <c r="B559" s="391">
        <f t="shared" si="233"/>
        <v>90.162999999999997</v>
      </c>
      <c r="C559" s="364">
        <f t="shared" si="214"/>
        <v>115.36866102200499</v>
      </c>
      <c r="D559" s="365">
        <f t="shared" si="215"/>
        <v>1.5621283530700929</v>
      </c>
      <c r="E559" s="365">
        <f t="shared" si="216"/>
        <v>1.4708694653767038</v>
      </c>
      <c r="F559" s="366">
        <f t="shared" si="217"/>
        <v>0.82321100131467195</v>
      </c>
      <c r="G559" s="365">
        <f t="shared" si="218"/>
        <v>1</v>
      </c>
      <c r="H559" s="366">
        <f t="shared" si="219"/>
        <v>0</v>
      </c>
      <c r="I559" s="364">
        <f t="shared" si="220"/>
        <v>30610.093080363869</v>
      </c>
      <c r="J559" s="367">
        <f t="shared" si="221"/>
        <v>1.5707636578318342</v>
      </c>
      <c r="K559" s="375">
        <f t="shared" si="237"/>
        <v>18.53490480815832</v>
      </c>
      <c r="L559" s="376">
        <f t="shared" si="238"/>
        <v>1.5168178581708487</v>
      </c>
      <c r="M559" s="364">
        <f t="shared" si="222"/>
        <v>1.0288041917959312</v>
      </c>
      <c r="N559" s="367">
        <f t="shared" si="223"/>
        <v>0.23718924672414221</v>
      </c>
      <c r="O559" s="368">
        <f t="shared" si="224"/>
        <v>2.25276781900756</v>
      </c>
      <c r="P559" s="369">
        <f t="shared" si="225"/>
        <v>1.4139318128570249</v>
      </c>
      <c r="Q559" s="370">
        <f t="shared" si="226"/>
        <v>-19.529205824321679</v>
      </c>
      <c r="R559" s="371">
        <f t="shared" si="227"/>
        <v>-140.02998064677902</v>
      </c>
      <c r="S559" s="373">
        <f t="shared" si="228"/>
        <v>39.970019353220977</v>
      </c>
      <c r="U559" s="346">
        <f t="shared" si="234"/>
        <v>90163</v>
      </c>
      <c r="V559" s="346">
        <f t="shared" si="235"/>
        <v>8129366569</v>
      </c>
      <c r="X559" s="372">
        <f t="shared" si="229"/>
        <v>23.492534024555521</v>
      </c>
      <c r="Y559" s="373">
        <f t="shared" si="230"/>
        <v>-16.680809445273884</v>
      </c>
      <c r="AA559" s="372">
        <f t="shared" si="231"/>
        <v>8.4588855056771788</v>
      </c>
      <c r="AB559" s="373">
        <f t="shared" si="232"/>
        <v>-123.34917120150513</v>
      </c>
      <c r="AD559">
        <f t="shared" si="236"/>
        <v>0</v>
      </c>
      <c r="AE559">
        <f t="shared" si="239"/>
        <v>0</v>
      </c>
    </row>
    <row r="560" spans="1:31" x14ac:dyDescent="0.2">
      <c r="A560" s="374">
        <v>90682</v>
      </c>
      <c r="B560" s="391">
        <f t="shared" si="233"/>
        <v>90.682000000000002</v>
      </c>
      <c r="C560" s="364">
        <f t="shared" si="214"/>
        <v>116.03270114179807</v>
      </c>
      <c r="D560" s="365">
        <f t="shared" si="215"/>
        <v>1.562177959992769</v>
      </c>
      <c r="E560" s="365">
        <f t="shared" si="216"/>
        <v>1.4754286879477971</v>
      </c>
      <c r="F560" s="366">
        <f t="shared" si="217"/>
        <v>0.82607203127966622</v>
      </c>
      <c r="G560" s="365">
        <f t="shared" si="218"/>
        <v>1</v>
      </c>
      <c r="H560" s="366">
        <f t="shared" si="219"/>
        <v>0</v>
      </c>
      <c r="I560" s="364">
        <f t="shared" si="220"/>
        <v>30786.292167481672</v>
      </c>
      <c r="J560" s="367">
        <f t="shared" si="221"/>
        <v>1.5707638448060057</v>
      </c>
      <c r="K560" s="375">
        <f t="shared" si="237"/>
        <v>18.641286519839664</v>
      </c>
      <c r="L560" s="376">
        <f t="shared" si="238"/>
        <v>1.5171261983535951</v>
      </c>
      <c r="M560" s="364">
        <f t="shared" si="222"/>
        <v>1.0291320462358768</v>
      </c>
      <c r="N560" s="367">
        <f t="shared" si="223"/>
        <v>0.23850351255216454</v>
      </c>
      <c r="O560" s="368">
        <f t="shared" si="224"/>
        <v>2.264269388467484</v>
      </c>
      <c r="P560" s="369">
        <f t="shared" si="225"/>
        <v>1.4180794805308028</v>
      </c>
      <c r="Q560" s="370">
        <f t="shared" si="226"/>
        <v>-19.599320064414552</v>
      </c>
      <c r="R560" s="371">
        <f t="shared" si="227"/>
        <v>-140.16418783152122</v>
      </c>
      <c r="S560" s="373">
        <f t="shared" si="228"/>
        <v>39.835812168478782</v>
      </c>
      <c r="U560" s="346">
        <f t="shared" si="234"/>
        <v>90682</v>
      </c>
      <c r="V560" s="346">
        <f t="shared" si="235"/>
        <v>8223225124</v>
      </c>
      <c r="X560" s="372">
        <f t="shared" si="229"/>
        <v>23.489622195368813</v>
      </c>
      <c r="Y560" s="373">
        <f t="shared" si="230"/>
        <v>-16.738455452148941</v>
      </c>
      <c r="AA560" s="372">
        <f t="shared" si="231"/>
        <v>8.3916830947710093</v>
      </c>
      <c r="AB560" s="373">
        <f t="shared" si="232"/>
        <v>-123.42573237937226</v>
      </c>
      <c r="AD560">
        <f t="shared" si="236"/>
        <v>0</v>
      </c>
      <c r="AE560">
        <f t="shared" si="239"/>
        <v>0</v>
      </c>
    </row>
    <row r="561" spans="1:31" x14ac:dyDescent="0.2">
      <c r="A561" s="374">
        <v>91201</v>
      </c>
      <c r="B561" s="391">
        <f t="shared" si="233"/>
        <v>91.200999999999993</v>
      </c>
      <c r="C561" s="364">
        <f t="shared" si="214"/>
        <v>116.69674154388025</v>
      </c>
      <c r="D561" s="365">
        <f t="shared" si="215"/>
        <v>1.5622270023582265</v>
      </c>
      <c r="E561" s="365">
        <f t="shared" si="216"/>
        <v>1.4799999131634014</v>
      </c>
      <c r="F561" s="366">
        <f t="shared" si="217"/>
        <v>0.82891541086840292</v>
      </c>
      <c r="G561" s="365">
        <f t="shared" si="218"/>
        <v>1</v>
      </c>
      <c r="H561" s="366">
        <f t="shared" si="219"/>
        <v>0</v>
      </c>
      <c r="I561" s="364">
        <f t="shared" si="220"/>
        <v>30962.491254600529</v>
      </c>
      <c r="J561" s="367">
        <f t="shared" si="221"/>
        <v>1.5707640296521392</v>
      </c>
      <c r="K561" s="375">
        <f t="shared" si="237"/>
        <v>18.747669983702977</v>
      </c>
      <c r="L561" s="376">
        <f t="shared" si="238"/>
        <v>1.5174310392185482</v>
      </c>
      <c r="M561" s="364">
        <f t="shared" si="222"/>
        <v>1.0294616771560869</v>
      </c>
      <c r="N561" s="367">
        <f t="shared" si="223"/>
        <v>0.23981693899873385</v>
      </c>
      <c r="O561" s="368">
        <f t="shared" si="224"/>
        <v>2.2758031578987601</v>
      </c>
      <c r="P561" s="369">
        <f t="shared" si="225"/>
        <v>1.4222038173820497</v>
      </c>
      <c r="Q561" s="370">
        <f t="shared" si="226"/>
        <v>-19.669072777744926</v>
      </c>
      <c r="R561" s="371">
        <f t="shared" si="227"/>
        <v>-140.29818948511851</v>
      </c>
      <c r="S561" s="373">
        <f t="shared" si="228"/>
        <v>39.701810514881487</v>
      </c>
      <c r="U561" s="346">
        <f t="shared" si="234"/>
        <v>91201</v>
      </c>
      <c r="V561" s="346">
        <f t="shared" si="235"/>
        <v>8317622401</v>
      </c>
      <c r="X561" s="372">
        <f t="shared" si="229"/>
        <v>23.486698710665934</v>
      </c>
      <c r="Y561" s="373">
        <f t="shared" si="230"/>
        <v>-16.796253740222653</v>
      </c>
      <c r="AA561" s="372">
        <f t="shared" si="231"/>
        <v>8.3248538661435205</v>
      </c>
      <c r="AB561" s="373">
        <f t="shared" si="232"/>
        <v>-123.50193574489589</v>
      </c>
      <c r="AD561">
        <f t="shared" si="236"/>
        <v>0</v>
      </c>
      <c r="AE561">
        <f t="shared" si="239"/>
        <v>0</v>
      </c>
    </row>
    <row r="562" spans="1:31" x14ac:dyDescent="0.2">
      <c r="A562" s="374">
        <v>91732</v>
      </c>
      <c r="B562" s="391">
        <f t="shared" si="233"/>
        <v>91.731999999999999</v>
      </c>
      <c r="C562" s="364">
        <f t="shared" si="214"/>
        <v>117.37613576842891</v>
      </c>
      <c r="D562" s="365">
        <f t="shared" si="215"/>
        <v>1.5622766043558558</v>
      </c>
      <c r="E562" s="365">
        <f t="shared" si="216"/>
        <v>1.4846891379511256</v>
      </c>
      <c r="F562" s="366">
        <f t="shared" si="217"/>
        <v>0.83180638840278842</v>
      </c>
      <c r="G562" s="365">
        <f t="shared" si="218"/>
        <v>1</v>
      </c>
      <c r="H562" s="366">
        <f t="shared" si="219"/>
        <v>0</v>
      </c>
      <c r="I562" s="364">
        <f t="shared" si="220"/>
        <v>31142.764309052709</v>
      </c>
      <c r="J562" s="367">
        <f t="shared" si="221"/>
        <v>1.5707642166074307</v>
      </c>
      <c r="K562" s="375">
        <f t="shared" si="237"/>
        <v>18.856514963325413</v>
      </c>
      <c r="L562" s="376">
        <f t="shared" si="238"/>
        <v>1.5177393685208769</v>
      </c>
      <c r="M562" s="364">
        <f t="shared" si="222"/>
        <v>1.0298007663884183</v>
      </c>
      <c r="N562" s="367">
        <f t="shared" si="223"/>
        <v>0.24115986108647244</v>
      </c>
      <c r="O562" s="368">
        <f t="shared" si="224"/>
        <v>2.2876368635021329</v>
      </c>
      <c r="P562" s="369">
        <f t="shared" si="225"/>
        <v>1.4263996275965356</v>
      </c>
      <c r="Q562" s="370">
        <f t="shared" si="226"/>
        <v>-19.740068493107831</v>
      </c>
      <c r="R562" s="371">
        <f t="shared" si="227"/>
        <v>-140.43508138780285</v>
      </c>
      <c r="S562" s="373">
        <f t="shared" si="228"/>
        <v>39.564918612197147</v>
      </c>
      <c r="U562" s="346">
        <f t="shared" si="234"/>
        <v>91732</v>
      </c>
      <c r="V562" s="346">
        <f t="shared" si="235"/>
        <v>8414759824</v>
      </c>
      <c r="X562" s="372">
        <f t="shared" si="229"/>
        <v>23.483695539940193</v>
      </c>
      <c r="Y562" s="373">
        <f t="shared" si="230"/>
        <v>-16.855542252158227</v>
      </c>
      <c r="AA562" s="372">
        <f t="shared" si="231"/>
        <v>8.2568613215063476</v>
      </c>
      <c r="AB562" s="373">
        <f t="shared" si="232"/>
        <v>-123.57953913564462</v>
      </c>
      <c r="AD562">
        <f t="shared" si="236"/>
        <v>0</v>
      </c>
      <c r="AE562">
        <f t="shared" si="239"/>
        <v>0</v>
      </c>
    </row>
    <row r="563" spans="1:31" x14ac:dyDescent="0.2">
      <c r="A563" s="374">
        <v>92263</v>
      </c>
      <c r="B563" s="391">
        <f t="shared" si="233"/>
        <v>92.263000000000005</v>
      </c>
      <c r="C563" s="364">
        <f t="shared" si="214"/>
        <v>118.05553027844104</v>
      </c>
      <c r="D563" s="365">
        <f t="shared" si="215"/>
        <v>1.5623256354472725</v>
      </c>
      <c r="E563" s="365">
        <f t="shared" si="216"/>
        <v>1.489390693205539</v>
      </c>
      <c r="F563" s="366">
        <f t="shared" si="217"/>
        <v>0.83467913794019766</v>
      </c>
      <c r="G563" s="365">
        <f t="shared" si="218"/>
        <v>1</v>
      </c>
      <c r="H563" s="366">
        <f t="shared" si="219"/>
        <v>0</v>
      </c>
      <c r="I563" s="364">
        <f t="shared" si="220"/>
        <v>31323.037363505955</v>
      </c>
      <c r="J563" s="367">
        <f t="shared" si="221"/>
        <v>1.5707644014107596</v>
      </c>
      <c r="K563" s="375">
        <f t="shared" si="237"/>
        <v>18.965361715002931</v>
      </c>
      <c r="L563" s="376">
        <f t="shared" si="238"/>
        <v>1.5180441587005284</v>
      </c>
      <c r="M563" s="364">
        <f t="shared" si="222"/>
        <v>1.0301417115797675</v>
      </c>
      <c r="N563" s="367">
        <f t="shared" si="223"/>
        <v>0.24250189666142724</v>
      </c>
      <c r="O563" s="368">
        <f t="shared" si="224"/>
        <v>2.2995041439580008</v>
      </c>
      <c r="P563" s="369">
        <f t="shared" si="225"/>
        <v>1.4305715381503825</v>
      </c>
      <c r="Q563" s="370">
        <f t="shared" si="226"/>
        <v>-19.810694608586893</v>
      </c>
      <c r="R563" s="371">
        <f t="shared" si="227"/>
        <v>-140.57176747763299</v>
      </c>
      <c r="S563" s="373">
        <f t="shared" si="228"/>
        <v>39.428232522367011</v>
      </c>
      <c r="U563" s="346">
        <f t="shared" si="234"/>
        <v>92263</v>
      </c>
      <c r="V563" s="346">
        <f t="shared" si="235"/>
        <v>8512461169</v>
      </c>
      <c r="X563" s="372">
        <f t="shared" si="229"/>
        <v>23.480680113127175</v>
      </c>
      <c r="Y563" s="373">
        <f t="shared" si="230"/>
        <v>-16.914982624147179</v>
      </c>
      <c r="AA563" s="372">
        <f t="shared" si="231"/>
        <v>8.1892506328403059</v>
      </c>
      <c r="AB563" s="373">
        <f t="shared" si="232"/>
        <v>-123.65678485348577</v>
      </c>
      <c r="AD563">
        <f t="shared" si="236"/>
        <v>0</v>
      </c>
      <c r="AE563">
        <f t="shared" si="239"/>
        <v>0</v>
      </c>
    </row>
    <row r="564" spans="1:31" x14ac:dyDescent="0.2">
      <c r="A564" s="374">
        <v>92794</v>
      </c>
      <c r="B564" s="391">
        <f t="shared" si="233"/>
        <v>92.793999999999997</v>
      </c>
      <c r="C564" s="364">
        <f t="shared" si="214"/>
        <v>118.73492506901641</v>
      </c>
      <c r="D564" s="365">
        <f t="shared" si="215"/>
        <v>1.5623741054323221</v>
      </c>
      <c r="E564" s="365">
        <f t="shared" si="216"/>
        <v>1.4941044625244024</v>
      </c>
      <c r="F564" s="366">
        <f t="shared" si="217"/>
        <v>0.83753378436387205</v>
      </c>
      <c r="G564" s="365">
        <f t="shared" si="218"/>
        <v>1</v>
      </c>
      <c r="H564" s="366">
        <f t="shared" si="219"/>
        <v>0</v>
      </c>
      <c r="I564" s="364">
        <f t="shared" si="220"/>
        <v>31503.310417960263</v>
      </c>
      <c r="J564" s="367">
        <f t="shared" si="221"/>
        <v>1.5707645840990687</v>
      </c>
      <c r="K564" s="375">
        <f t="shared" si="237"/>
        <v>19.074210208398895</v>
      </c>
      <c r="L564" s="376">
        <f t="shared" si="238"/>
        <v>1.5183454702892369</v>
      </c>
      <c r="M564" s="364">
        <f t="shared" si="222"/>
        <v>1.0304845108879515</v>
      </c>
      <c r="N564" s="367">
        <f t="shared" si="223"/>
        <v>0.24384304177176733</v>
      </c>
      <c r="O564" s="368">
        <f t="shared" si="224"/>
        <v>2.3114049365804057</v>
      </c>
      <c r="P564" s="369">
        <f t="shared" si="225"/>
        <v>1.4347198075849681</v>
      </c>
      <c r="Q564" s="370">
        <f t="shared" si="226"/>
        <v>-19.880955496621947</v>
      </c>
      <c r="R564" s="371">
        <f t="shared" si="227"/>
        <v>-140.70825228162633</v>
      </c>
      <c r="S564" s="373">
        <f t="shared" si="228"/>
        <v>39.291747718373671</v>
      </c>
      <c r="U564" s="346">
        <f t="shared" si="234"/>
        <v>92794</v>
      </c>
      <c r="V564" s="346">
        <f t="shared" si="235"/>
        <v>8610726436</v>
      </c>
      <c r="X564" s="372">
        <f t="shared" si="229"/>
        <v>23.477652404851888</v>
      </c>
      <c r="Y564" s="373">
        <f t="shared" si="230"/>
        <v>-16.974571163670074</v>
      </c>
      <c r="AA564" s="372">
        <f t="shared" si="231"/>
        <v>8.1220174530805398</v>
      </c>
      <c r="AB564" s="373">
        <f t="shared" si="232"/>
        <v>-123.73368111795627</v>
      </c>
      <c r="AD564">
        <f t="shared" si="236"/>
        <v>0</v>
      </c>
      <c r="AE564">
        <f t="shared" si="239"/>
        <v>0</v>
      </c>
    </row>
    <row r="565" spans="1:31" x14ac:dyDescent="0.2">
      <c r="A565" s="374">
        <v>93325</v>
      </c>
      <c r="B565" s="391">
        <f t="shared" si="233"/>
        <v>93.325000000000003</v>
      </c>
      <c r="C565" s="364">
        <f t="shared" si="214"/>
        <v>119.41432013536632</v>
      </c>
      <c r="D565" s="365">
        <f t="shared" si="215"/>
        <v>1.5624220238878397</v>
      </c>
      <c r="E565" s="365">
        <f t="shared" si="216"/>
        <v>1.4988303306692958</v>
      </c>
      <c r="F565" s="366">
        <f t="shared" si="217"/>
        <v>0.84037045216829787</v>
      </c>
      <c r="G565" s="365">
        <f t="shared" si="218"/>
        <v>1</v>
      </c>
      <c r="H565" s="366">
        <f t="shared" si="219"/>
        <v>0</v>
      </c>
      <c r="I565" s="364">
        <f t="shared" si="220"/>
        <v>31683.583472415612</v>
      </c>
      <c r="J565" s="367">
        <f t="shared" si="221"/>
        <v>1.5707647647084604</v>
      </c>
      <c r="K565" s="375">
        <f t="shared" si="237"/>
        <v>19.183060413864741</v>
      </c>
      <c r="L565" s="376">
        <f t="shared" si="238"/>
        <v>1.5186433624473985</v>
      </c>
      <c r="M565" s="364">
        <f t="shared" si="222"/>
        <v>1.0308291624632264</v>
      </c>
      <c r="N565" s="367">
        <f t="shared" si="223"/>
        <v>0.24518329248371756</v>
      </c>
      <c r="O565" s="368">
        <f t="shared" si="224"/>
        <v>2.3233391811254109</v>
      </c>
      <c r="P565" s="369">
        <f t="shared" si="225"/>
        <v>1.4388446906814609</v>
      </c>
      <c r="Q565" s="370">
        <f t="shared" si="226"/>
        <v>-19.950855465793932</v>
      </c>
      <c r="R565" s="371">
        <f t="shared" si="227"/>
        <v>-140.84454020041102</v>
      </c>
      <c r="S565" s="373">
        <f t="shared" si="228"/>
        <v>39.155459799588982</v>
      </c>
      <c r="U565" s="346">
        <f t="shared" si="234"/>
        <v>93325</v>
      </c>
      <c r="V565" s="346">
        <f t="shared" si="235"/>
        <v>8709555625</v>
      </c>
      <c r="X565" s="372">
        <f t="shared" si="229"/>
        <v>23.47461239142589</v>
      </c>
      <c r="Y565" s="373">
        <f t="shared" si="230"/>
        <v>-17.034304257765658</v>
      </c>
      <c r="AA565" s="372">
        <f t="shared" si="231"/>
        <v>8.0551574973345552</v>
      </c>
      <c r="AB565" s="373">
        <f t="shared" si="232"/>
        <v>-123.81023594264535</v>
      </c>
      <c r="AD565">
        <f t="shared" si="236"/>
        <v>0</v>
      </c>
      <c r="AE565">
        <f t="shared" si="239"/>
        <v>0</v>
      </c>
    </row>
    <row r="566" spans="1:31" x14ac:dyDescent="0.2">
      <c r="A566" s="374">
        <v>93868.5</v>
      </c>
      <c r="B566" s="391">
        <f t="shared" si="233"/>
        <v>93.868499999999997</v>
      </c>
      <c r="C566" s="364">
        <f t="shared" si="214"/>
        <v>120.10970877494309</v>
      </c>
      <c r="D566" s="365">
        <f t="shared" si="215"/>
        <v>1.5624705089780015</v>
      </c>
      <c r="E566" s="365">
        <f t="shared" si="216"/>
        <v>1.5036798583975635</v>
      </c>
      <c r="F566" s="366">
        <f t="shared" si="217"/>
        <v>0.84325540759333451</v>
      </c>
      <c r="G566" s="365">
        <f t="shared" si="218"/>
        <v>1</v>
      </c>
      <c r="H566" s="366">
        <f t="shared" si="219"/>
        <v>0</v>
      </c>
      <c r="I566" s="364">
        <f t="shared" si="220"/>
        <v>31868.100242843189</v>
      </c>
      <c r="J566" s="367">
        <f t="shared" si="221"/>
        <v>1.5707649474534064</v>
      </c>
      <c r="K566" s="375">
        <f t="shared" si="237"/>
        <v>19.294474749220907</v>
      </c>
      <c r="L566" s="376">
        <f t="shared" si="238"/>
        <v>1.5189447863597345</v>
      </c>
      <c r="M566" s="364">
        <f t="shared" si="222"/>
        <v>1.0311838435520699</v>
      </c>
      <c r="N566" s="367">
        <f t="shared" si="223"/>
        <v>0.24655416303886318</v>
      </c>
      <c r="O566" s="368">
        <f t="shared" si="224"/>
        <v>2.3355889456636616</v>
      </c>
      <c r="P566" s="369">
        <f t="shared" si="225"/>
        <v>1.4430427189692845</v>
      </c>
      <c r="Q566" s="370">
        <f t="shared" si="226"/>
        <v>-20.022031582317194</v>
      </c>
      <c r="R566" s="371">
        <f t="shared" si="227"/>
        <v>-140.98383697439814</v>
      </c>
      <c r="S566" s="373">
        <f t="shared" si="228"/>
        <v>39.016163025601855</v>
      </c>
      <c r="U566" s="346">
        <f t="shared" si="234"/>
        <v>93868.5</v>
      </c>
      <c r="V566" s="346">
        <f t="shared" si="235"/>
        <v>8811295292.25</v>
      </c>
      <c r="X566" s="372">
        <f t="shared" si="229"/>
        <v>23.471488048520598</v>
      </c>
      <c r="Y566" s="373">
        <f t="shared" si="230"/>
        <v>-17.09558950739725</v>
      </c>
      <c r="AA566" s="372">
        <f t="shared" si="231"/>
        <v>7.9871057237165823</v>
      </c>
      <c r="AB566" s="373">
        <f t="shared" si="232"/>
        <v>-123.88824746700091</v>
      </c>
      <c r="AD566">
        <f t="shared" si="236"/>
        <v>0</v>
      </c>
      <c r="AE566">
        <f t="shared" si="239"/>
        <v>0</v>
      </c>
    </row>
    <row r="567" spans="1:31" x14ac:dyDescent="0.2">
      <c r="A567" s="374">
        <v>94412</v>
      </c>
      <c r="B567" s="391">
        <f t="shared" si="233"/>
        <v>94.412000000000006</v>
      </c>
      <c r="C567" s="364">
        <f t="shared" si="214"/>
        <v>120.80509769362359</v>
      </c>
      <c r="D567" s="365">
        <f t="shared" si="215"/>
        <v>1.5625184358800024</v>
      </c>
      <c r="E567" s="365">
        <f t="shared" si="216"/>
        <v>1.508541820679592</v>
      </c>
      <c r="F567" s="366">
        <f t="shared" si="217"/>
        <v>0.84612179058478898</v>
      </c>
      <c r="G567" s="365">
        <f t="shared" si="218"/>
        <v>1</v>
      </c>
      <c r="H567" s="366">
        <f t="shared" si="219"/>
        <v>0</v>
      </c>
      <c r="I567" s="364">
        <f t="shared" si="220"/>
        <v>32052.617013271818</v>
      </c>
      <c r="J567" s="367">
        <f t="shared" si="221"/>
        <v>1.5707651280943429</v>
      </c>
      <c r="K567" s="375">
        <f t="shared" si="237"/>
        <v>19.405890817473843</v>
      </c>
      <c r="L567" s="376">
        <f t="shared" si="238"/>
        <v>1.5192427491367546</v>
      </c>
      <c r="M567" s="364">
        <f t="shared" si="222"/>
        <v>1.0315404611955985</v>
      </c>
      <c r="N567" s="367">
        <f t="shared" si="223"/>
        <v>0.24792408830961613</v>
      </c>
      <c r="O567" s="368">
        <f t="shared" si="224"/>
        <v>2.3478736355049716</v>
      </c>
      <c r="P567" s="369">
        <f t="shared" si="225"/>
        <v>1.4472167752014109</v>
      </c>
      <c r="Q567" s="370">
        <f t="shared" si="226"/>
        <v>-20.092838521182216</v>
      </c>
      <c r="R567" s="371">
        <f t="shared" si="227"/>
        <v>-141.12293641809003</v>
      </c>
      <c r="S567" s="373">
        <f t="shared" si="228"/>
        <v>38.877063581909965</v>
      </c>
      <c r="U567" s="346">
        <f t="shared" si="234"/>
        <v>94412</v>
      </c>
      <c r="V567" s="346">
        <f t="shared" si="235"/>
        <v>8913625744</v>
      </c>
      <c r="X567" s="372">
        <f t="shared" si="229"/>
        <v>23.468350769269549</v>
      </c>
      <c r="Y567" s="373">
        <f t="shared" si="230"/>
        <v>-17.157018784117916</v>
      </c>
      <c r="AA567" s="372">
        <f t="shared" si="231"/>
        <v>7.9194360641026087</v>
      </c>
      <c r="AB567" s="373">
        <f t="shared" si="232"/>
        <v>-123.96591763397217</v>
      </c>
      <c r="AD567">
        <f t="shared" si="236"/>
        <v>0</v>
      </c>
      <c r="AE567">
        <f t="shared" si="239"/>
        <v>0</v>
      </c>
    </row>
    <row r="568" spans="1:31" x14ac:dyDescent="0.2">
      <c r="A568" s="374">
        <v>94955.5</v>
      </c>
      <c r="B568" s="391">
        <f t="shared" si="233"/>
        <v>94.955500000000001</v>
      </c>
      <c r="C568" s="364">
        <f t="shared" si="214"/>
        <v>121.50048688661563</v>
      </c>
      <c r="D568" s="365">
        <f t="shared" si="215"/>
        <v>1.5625658141777297</v>
      </c>
      <c r="E568" s="365">
        <f t="shared" si="216"/>
        <v>1.5134160976745867</v>
      </c>
      <c r="F568" s="366">
        <f t="shared" si="217"/>
        <v>0.84896973326336245</v>
      </c>
      <c r="G568" s="365">
        <f t="shared" si="218"/>
        <v>1</v>
      </c>
      <c r="H568" s="366">
        <f t="shared" si="219"/>
        <v>0</v>
      </c>
      <c r="I568" s="364">
        <f t="shared" si="220"/>
        <v>32237.13378370148</v>
      </c>
      <c r="J568" s="367">
        <f t="shared" si="221"/>
        <v>1.5707653066673981</v>
      </c>
      <c r="K568" s="375">
        <f t="shared" si="237"/>
        <v>19.517308588946424</v>
      </c>
      <c r="L568" s="376">
        <f t="shared" si="238"/>
        <v>1.5195373100004768</v>
      </c>
      <c r="M568" s="364">
        <f t="shared" si="222"/>
        <v>1.0318990133860293</v>
      </c>
      <c r="N568" s="367">
        <f t="shared" si="223"/>
        <v>0.2492930641368403</v>
      </c>
      <c r="O568" s="368">
        <f t="shared" si="224"/>
        <v>2.3601931936508223</v>
      </c>
      <c r="P568" s="369">
        <f t="shared" si="225"/>
        <v>1.4513671207070016</v>
      </c>
      <c r="Q568" s="370">
        <f t="shared" si="226"/>
        <v>-20.163280701645711</v>
      </c>
      <c r="R568" s="371">
        <f t="shared" si="227"/>
        <v>-141.26184285429983</v>
      </c>
      <c r="S568" s="373">
        <f t="shared" si="228"/>
        <v>38.738157145700171</v>
      </c>
      <c r="U568" s="346">
        <f t="shared" si="234"/>
        <v>94955.5</v>
      </c>
      <c r="V568" s="346">
        <f t="shared" si="235"/>
        <v>9016546980.25</v>
      </c>
      <c r="X568" s="372">
        <f t="shared" si="229"/>
        <v>23.465200533413359</v>
      </c>
      <c r="Y568" s="373">
        <f t="shared" si="230"/>
        <v>-17.218588458525037</v>
      </c>
      <c r="AA568" s="372">
        <f t="shared" si="231"/>
        <v>7.8521441194953079</v>
      </c>
      <c r="AB568" s="373">
        <f t="shared" si="232"/>
        <v>-124.04325439577481</v>
      </c>
      <c r="AD568">
        <f t="shared" si="236"/>
        <v>0</v>
      </c>
      <c r="AE568">
        <f t="shared" si="239"/>
        <v>0</v>
      </c>
    </row>
    <row r="569" spans="1:31" x14ac:dyDescent="0.2">
      <c r="A569" s="374">
        <v>95499</v>
      </c>
      <c r="B569" s="391">
        <f t="shared" si="233"/>
        <v>95.498999999999995</v>
      </c>
      <c r="C569" s="364">
        <f t="shared" si="214"/>
        <v>122.19587634923607</v>
      </c>
      <c r="D569" s="365">
        <f t="shared" si="215"/>
        <v>1.5626126532369227</v>
      </c>
      <c r="E569" s="365">
        <f t="shared" si="216"/>
        <v>1.5183025707790743</v>
      </c>
      <c r="F569" s="366">
        <f t="shared" si="217"/>
        <v>0.85179936725185668</v>
      </c>
      <c r="G569" s="365">
        <f t="shared" si="218"/>
        <v>1</v>
      </c>
      <c r="H569" s="366">
        <f t="shared" si="219"/>
        <v>0</v>
      </c>
      <c r="I569" s="364">
        <f t="shared" si="220"/>
        <v>32421.650554132157</v>
      </c>
      <c r="J569" s="367">
        <f t="shared" si="221"/>
        <v>1.5707654832078779</v>
      </c>
      <c r="K569" s="375">
        <f t="shared" si="237"/>
        <v>19.628728034634893</v>
      </c>
      <c r="L569" s="376">
        <f t="shared" si="238"/>
        <v>1.5198285268306526</v>
      </c>
      <c r="M569" s="364">
        <f t="shared" si="222"/>
        <v>1.0322594981074857</v>
      </c>
      <c r="N569" s="367">
        <f t="shared" si="223"/>
        <v>0.25066108638139711</v>
      </c>
      <c r="O569" s="368">
        <f t="shared" si="224"/>
        <v>2.3725475655522925</v>
      </c>
      <c r="P569" s="369">
        <f t="shared" si="225"/>
        <v>1.4554940129337821</v>
      </c>
      <c r="Q569" s="370">
        <f t="shared" si="226"/>
        <v>-20.233362477538176</v>
      </c>
      <c r="R569" s="371">
        <f t="shared" si="227"/>
        <v>-141.40056047748413</v>
      </c>
      <c r="S569" s="373">
        <f t="shared" si="228"/>
        <v>38.599439522515866</v>
      </c>
      <c r="U569" s="346">
        <f t="shared" si="234"/>
        <v>95499</v>
      </c>
      <c r="V569" s="346">
        <f t="shared" si="235"/>
        <v>9120059001</v>
      </c>
      <c r="X569" s="372">
        <f t="shared" si="229"/>
        <v>23.462037322316288</v>
      </c>
      <c r="Y569" s="373">
        <f t="shared" si="230"/>
        <v>-17.28029497922082</v>
      </c>
      <c r="AA569" s="372">
        <f t="shared" si="231"/>
        <v>7.7852255546999141</v>
      </c>
      <c r="AB569" s="373">
        <f t="shared" si="232"/>
        <v>-124.12026549826331</v>
      </c>
      <c r="AD569">
        <f t="shared" si="236"/>
        <v>0</v>
      </c>
      <c r="AE569">
        <f t="shared" si="239"/>
        <v>0</v>
      </c>
    </row>
    <row r="570" spans="1:31" x14ac:dyDescent="0.2">
      <c r="A570" s="374">
        <v>96611.5</v>
      </c>
      <c r="B570" s="391">
        <f t="shared" si="233"/>
        <v>96.611500000000007</v>
      </c>
      <c r="C570" s="364">
        <f t="shared" si="214"/>
        <v>123.61928246467555</v>
      </c>
      <c r="D570" s="365">
        <f t="shared" si="215"/>
        <v>1.5627068856765289</v>
      </c>
      <c r="E570" s="365">
        <f t="shared" si="216"/>
        <v>1.5283423210144711</v>
      </c>
      <c r="F570" s="366">
        <f t="shared" si="217"/>
        <v>0.85753485354267478</v>
      </c>
      <c r="G570" s="365">
        <f t="shared" si="218"/>
        <v>1</v>
      </c>
      <c r="H570" s="366">
        <f t="shared" si="219"/>
        <v>0</v>
      </c>
      <c r="I570" s="364">
        <f t="shared" si="220"/>
        <v>32799.341275577994</v>
      </c>
      <c r="J570" s="367">
        <f t="shared" si="221"/>
        <v>1.570765838377713</v>
      </c>
      <c r="K570" s="375">
        <f t="shared" si="237"/>
        <v>19.856799619612762</v>
      </c>
      <c r="L570" s="376">
        <f t="shared" si="238"/>
        <v>1.5204144324130318</v>
      </c>
      <c r="M570" s="364">
        <f t="shared" si="222"/>
        <v>1.0330033986912672</v>
      </c>
      <c r="N570" s="367">
        <f t="shared" si="223"/>
        <v>0.25345832495307385</v>
      </c>
      <c r="O570" s="368">
        <f t="shared" si="224"/>
        <v>2.3979442995548208</v>
      </c>
      <c r="P570" s="369">
        <f t="shared" si="225"/>
        <v>1.4638693495888582</v>
      </c>
      <c r="Q570" s="370">
        <f t="shared" si="226"/>
        <v>-20.375708225406871</v>
      </c>
      <c r="R570" s="371">
        <f t="shared" si="227"/>
        <v>-141.68393228042598</v>
      </c>
      <c r="S570" s="373">
        <f t="shared" si="228"/>
        <v>38.316067719574022</v>
      </c>
      <c r="U570" s="346">
        <f t="shared" si="234"/>
        <v>96611.5</v>
      </c>
      <c r="V570" s="346">
        <f t="shared" si="235"/>
        <v>9333781932.25</v>
      </c>
      <c r="X570" s="372">
        <f t="shared" si="229"/>
        <v>23.455521956147315</v>
      </c>
      <c r="Y570" s="373">
        <f t="shared" si="230"/>
        <v>-17.407015376482974</v>
      </c>
      <c r="AA570" s="372">
        <f t="shared" si="231"/>
        <v>7.6493951730001877</v>
      </c>
      <c r="AB570" s="373">
        <f t="shared" si="232"/>
        <v>-124.27691690394302</v>
      </c>
      <c r="AD570">
        <f t="shared" si="236"/>
        <v>0</v>
      </c>
      <c r="AE570">
        <f t="shared" si="239"/>
        <v>0</v>
      </c>
    </row>
    <row r="571" spans="1:31" x14ac:dyDescent="0.2">
      <c r="A571" s="374">
        <v>97724</v>
      </c>
      <c r="B571" s="391">
        <f t="shared" si="233"/>
        <v>97.724000000000004</v>
      </c>
      <c r="C571" s="364">
        <f t="shared" si="214"/>
        <v>125.04268965283244</v>
      </c>
      <c r="D571" s="365">
        <f t="shared" si="215"/>
        <v>1.5627989727515061</v>
      </c>
      <c r="E571" s="365">
        <f t="shared" si="216"/>
        <v>1.5384316901409896</v>
      </c>
      <c r="F571" s="366">
        <f t="shared" si="217"/>
        <v>0.86319529488342572</v>
      </c>
      <c r="G571" s="365">
        <f t="shared" si="218"/>
        <v>1</v>
      </c>
      <c r="H571" s="366">
        <f t="shared" si="219"/>
        <v>0</v>
      </c>
      <c r="I571" s="364">
        <f t="shared" si="220"/>
        <v>33177.03199702788</v>
      </c>
      <c r="J571" s="367">
        <f t="shared" si="221"/>
        <v>1.5707661854609689</v>
      </c>
      <c r="K571" s="375">
        <f t="shared" si="237"/>
        <v>20.084877866328611</v>
      </c>
      <c r="L571" s="376">
        <f t="shared" si="238"/>
        <v>1.5209870314289424</v>
      </c>
      <c r="M571" s="364">
        <f t="shared" si="222"/>
        <v>1.0337553703854498</v>
      </c>
      <c r="N571" s="367">
        <f t="shared" si="223"/>
        <v>0.25625151583354244</v>
      </c>
      <c r="O571" s="368">
        <f t="shared" si="224"/>
        <v>2.4234862658050642</v>
      </c>
      <c r="P571" s="369">
        <f t="shared" si="225"/>
        <v>1.4721496048834706</v>
      </c>
      <c r="Q571" s="370">
        <f t="shared" si="226"/>
        <v>-20.516597795421276</v>
      </c>
      <c r="R571" s="371">
        <f t="shared" si="227"/>
        <v>-141.96656319242456</v>
      </c>
      <c r="S571" s="373">
        <f t="shared" si="228"/>
        <v>38.033436807575441</v>
      </c>
      <c r="U571" s="346">
        <f t="shared" si="234"/>
        <v>97724</v>
      </c>
      <c r="V571" s="346">
        <f t="shared" si="235"/>
        <v>9549980176</v>
      </c>
      <c r="X571" s="372">
        <f t="shared" si="229"/>
        <v>23.44895202875901</v>
      </c>
      <c r="Y571" s="373">
        <f t="shared" si="230"/>
        <v>-17.53426580489435</v>
      </c>
      <c r="AA571" s="372">
        <f t="shared" si="231"/>
        <v>7.5150755303740899</v>
      </c>
      <c r="AB571" s="373">
        <f t="shared" si="232"/>
        <v>-124.43229738753021</v>
      </c>
      <c r="AD571">
        <f t="shared" si="236"/>
        <v>0</v>
      </c>
      <c r="AE571">
        <f t="shared" si="239"/>
        <v>0</v>
      </c>
    </row>
    <row r="572" spans="1:31" x14ac:dyDescent="0.2">
      <c r="A572" s="374">
        <v>98862</v>
      </c>
      <c r="B572" s="391">
        <f t="shared" si="233"/>
        <v>98.861999999999995</v>
      </c>
      <c r="C572" s="364">
        <f t="shared" si="214"/>
        <v>126.49872432507144</v>
      </c>
      <c r="D572" s="365">
        <f t="shared" si="215"/>
        <v>1.5628910263972799</v>
      </c>
      <c r="E572" s="365">
        <f t="shared" si="216"/>
        <v>1.5488026481490016</v>
      </c>
      <c r="F572" s="366">
        <f t="shared" si="217"/>
        <v>0.86890899097955909</v>
      </c>
      <c r="G572" s="365">
        <f t="shared" si="218"/>
        <v>1</v>
      </c>
      <c r="H572" s="366">
        <f t="shared" si="219"/>
        <v>0</v>
      </c>
      <c r="I572" s="364">
        <f t="shared" si="220"/>
        <v>33563.379899063344</v>
      </c>
      <c r="J572" s="367">
        <f t="shared" si="221"/>
        <v>1.5707665324177167</v>
      </c>
      <c r="K572" s="375">
        <f t="shared" si="237"/>
        <v>20.318190632626258</v>
      </c>
      <c r="L572" s="376">
        <f t="shared" si="238"/>
        <v>1.5215594544115307</v>
      </c>
      <c r="M572" s="364">
        <f t="shared" si="222"/>
        <v>1.0345329106665249</v>
      </c>
      <c r="N572" s="367">
        <f t="shared" si="223"/>
        <v>0.25910450630797788</v>
      </c>
      <c r="O572" s="368">
        <f t="shared" si="224"/>
        <v>2.449763558415015</v>
      </c>
      <c r="P572" s="369">
        <f t="shared" si="225"/>
        <v>1.4805234292653375</v>
      </c>
      <c r="Q572" s="370">
        <f t="shared" si="226"/>
        <v>-20.659246494043497</v>
      </c>
      <c r="R572" s="371">
        <f t="shared" si="227"/>
        <v>-142.2549383732165</v>
      </c>
      <c r="S572" s="373">
        <f t="shared" si="228"/>
        <v>37.745061626783496</v>
      </c>
      <c r="U572" s="346">
        <f t="shared" si="234"/>
        <v>98862</v>
      </c>
      <c r="V572" s="346">
        <f t="shared" si="235"/>
        <v>9773695044</v>
      </c>
      <c r="X572" s="372">
        <f t="shared" si="229"/>
        <v>23.44217495234464</v>
      </c>
      <c r="Y572" s="373">
        <f t="shared" si="230"/>
        <v>-17.664952576378564</v>
      </c>
      <c r="AA572" s="372">
        <f t="shared" si="231"/>
        <v>7.3792039081662386</v>
      </c>
      <c r="AB572" s="373">
        <f t="shared" si="232"/>
        <v>-124.58998579683792</v>
      </c>
      <c r="AD572">
        <f t="shared" si="236"/>
        <v>0</v>
      </c>
      <c r="AE572">
        <f t="shared" si="239"/>
        <v>0</v>
      </c>
    </row>
    <row r="573" spans="1:31" x14ac:dyDescent="0.2">
      <c r="A573" s="374">
        <v>100000</v>
      </c>
      <c r="B573" s="391">
        <f t="shared" si="233"/>
        <v>100</v>
      </c>
      <c r="C573" s="364">
        <f t="shared" si="214"/>
        <v>127.95476004484895</v>
      </c>
      <c r="D573" s="365">
        <f t="shared" si="215"/>
        <v>1.5629809850315277</v>
      </c>
      <c r="E573" s="365">
        <f t="shared" si="216"/>
        <v>1.5592234952915711</v>
      </c>
      <c r="F573" s="366">
        <f t="shared" si="217"/>
        <v>0.87454649573857812</v>
      </c>
      <c r="G573" s="365">
        <f t="shared" si="218"/>
        <v>1</v>
      </c>
      <c r="H573" s="366">
        <f t="shared" si="219"/>
        <v>0</v>
      </c>
      <c r="I573" s="364">
        <f t="shared" si="220"/>
        <v>33949.727801102767</v>
      </c>
      <c r="J573" s="367">
        <f t="shared" si="221"/>
        <v>1.5707668714777288</v>
      </c>
      <c r="K573" s="375">
        <f t="shared" si="237"/>
        <v>20.551509905382527</v>
      </c>
      <c r="L573" s="376">
        <f t="shared" si="238"/>
        <v>1.5221188802502119</v>
      </c>
      <c r="M573" s="364">
        <f t="shared" si="222"/>
        <v>1.0353188588967592</v>
      </c>
      <c r="N573" s="367">
        <f t="shared" si="223"/>
        <v>0.26195318832239983</v>
      </c>
      <c r="O573" s="368">
        <f t="shared" si="224"/>
        <v>2.476192058196391</v>
      </c>
      <c r="P573" s="369">
        <f t="shared" si="225"/>
        <v>1.4888020620870939</v>
      </c>
      <c r="Q573" s="370">
        <f t="shared" si="226"/>
        <v>-20.80044423868442</v>
      </c>
      <c r="R573" s="371">
        <f t="shared" si="227"/>
        <v>-142.54260225856868</v>
      </c>
      <c r="S573" s="373">
        <f t="shared" si="228"/>
        <v>37.457397741431322</v>
      </c>
      <c r="U573" s="346">
        <f t="shared" si="234"/>
        <v>100000</v>
      </c>
      <c r="V573" s="346">
        <f t="shared" si="235"/>
        <v>10000000000</v>
      </c>
      <c r="X573" s="372">
        <f t="shared" si="229"/>
        <v>23.435340594873814</v>
      </c>
      <c r="Y573" s="373">
        <f t="shared" si="230"/>
        <v>-17.796136720330367</v>
      </c>
      <c r="AA573" s="372">
        <f t="shared" si="231"/>
        <v>7.2448405209961422</v>
      </c>
      <c r="AB573" s="373">
        <f t="shared" si="232"/>
        <v>-124.7464655382383</v>
      </c>
      <c r="AD573">
        <f t="shared" si="236"/>
        <v>0</v>
      </c>
      <c r="AE573">
        <f t="shared" si="239"/>
        <v>0</v>
      </c>
    </row>
    <row r="574" spans="1:31" x14ac:dyDescent="0.2">
      <c r="A574" s="374">
        <v>101165</v>
      </c>
      <c r="B574" s="391">
        <f t="shared" si="233"/>
        <v>101.16500000000001</v>
      </c>
      <c r="C574" s="364">
        <f t="shared" si="214"/>
        <v>129.4453424757811</v>
      </c>
      <c r="D574" s="365">
        <f t="shared" si="215"/>
        <v>1.5630709816587238</v>
      </c>
      <c r="E574" s="365">
        <f t="shared" si="216"/>
        <v>1.569942227145825</v>
      </c>
      <c r="F574" s="366">
        <f t="shared" si="217"/>
        <v>0.88024004447254967</v>
      </c>
      <c r="G574" s="365">
        <f t="shared" si="218"/>
        <v>1</v>
      </c>
      <c r="H574" s="366">
        <f t="shared" si="219"/>
        <v>0</v>
      </c>
      <c r="I574" s="364">
        <f t="shared" si="220"/>
        <v>34345.24212964443</v>
      </c>
      <c r="J574" s="367">
        <f t="shared" si="221"/>
        <v>1.5707672106804618</v>
      </c>
      <c r="K574" s="375">
        <f t="shared" si="237"/>
        <v>20.790371383798302</v>
      </c>
      <c r="L574" s="376">
        <f t="shared" si="238"/>
        <v>1.5226785720814191</v>
      </c>
      <c r="M574" s="364">
        <f t="shared" si="222"/>
        <v>1.0361321439712836</v>
      </c>
      <c r="N574" s="367">
        <f t="shared" si="223"/>
        <v>0.26486495671344984</v>
      </c>
      <c r="O574" s="368">
        <f t="shared" si="224"/>
        <v>2.5034038881672678</v>
      </c>
      <c r="P574" s="369">
        <f t="shared" si="225"/>
        <v>1.4971806724514813</v>
      </c>
      <c r="Q574" s="370">
        <f t="shared" si="226"/>
        <v>-20.943525697155106</v>
      </c>
      <c r="R574" s="371">
        <f t="shared" si="227"/>
        <v>-142.83638487982412</v>
      </c>
      <c r="S574" s="373">
        <f t="shared" si="228"/>
        <v>37.163615120175876</v>
      </c>
      <c r="U574" s="346">
        <f t="shared" si="234"/>
        <v>101165</v>
      </c>
      <c r="V574" s="346">
        <f t="shared" si="235"/>
        <v>10234357225</v>
      </c>
      <c r="X574" s="372">
        <f t="shared" si="229"/>
        <v>23.428284688857921</v>
      </c>
      <c r="Y574" s="373">
        <f t="shared" si="230"/>
        <v>-17.930920215340024</v>
      </c>
      <c r="AA574" s="372">
        <f t="shared" si="231"/>
        <v>7.1088149685413491</v>
      </c>
      <c r="AB574" s="373">
        <f t="shared" si="232"/>
        <v>-124.90546466448409</v>
      </c>
      <c r="AD574">
        <f t="shared" si="236"/>
        <v>0</v>
      </c>
      <c r="AE574">
        <f t="shared" si="239"/>
        <v>0</v>
      </c>
    </row>
    <row r="575" spans="1:31" x14ac:dyDescent="0.2">
      <c r="A575" s="374">
        <v>102330</v>
      </c>
      <c r="B575" s="391">
        <f t="shared" si="233"/>
        <v>102.33</v>
      </c>
      <c r="C575" s="364">
        <f t="shared" si="214"/>
        <v>130.93592593127119</v>
      </c>
      <c r="D575" s="365">
        <f t="shared" si="215"/>
        <v>1.5631589292312109</v>
      </c>
      <c r="E575" s="365">
        <f t="shared" si="216"/>
        <v>1.5807111598800183</v>
      </c>
      <c r="F575" s="366">
        <f t="shared" si="217"/>
        <v>0.88585619616918898</v>
      </c>
      <c r="G575" s="365">
        <f t="shared" si="218"/>
        <v>1</v>
      </c>
      <c r="H575" s="366">
        <f t="shared" si="219"/>
        <v>0</v>
      </c>
      <c r="I575" s="364">
        <f t="shared" si="220"/>
        <v>34740.756458189964</v>
      </c>
      <c r="J575" s="367">
        <f t="shared" si="221"/>
        <v>1.5707675421597278</v>
      </c>
      <c r="K575" s="375">
        <f t="shared" si="237"/>
        <v>21.029239226950324</v>
      </c>
      <c r="L575" s="376">
        <f t="shared" si="238"/>
        <v>1.5232255491765914</v>
      </c>
      <c r="M575" s="364">
        <f t="shared" si="222"/>
        <v>1.0369541999603866</v>
      </c>
      <c r="N575" s="367">
        <f t="shared" si="223"/>
        <v>0.26777213305227288</v>
      </c>
      <c r="O575" s="368">
        <f t="shared" si="224"/>
        <v>2.5307735367762438</v>
      </c>
      <c r="P575" s="369">
        <f t="shared" si="225"/>
        <v>1.5054638527977227</v>
      </c>
      <c r="Q575" s="370">
        <f t="shared" si="226"/>
        <v>-21.085159906817708</v>
      </c>
      <c r="R575" s="371">
        <f t="shared" si="227"/>
        <v>-143.12948183817775</v>
      </c>
      <c r="S575" s="373">
        <f t="shared" si="228"/>
        <v>36.870518161822247</v>
      </c>
      <c r="U575" s="346">
        <f t="shared" si="234"/>
        <v>102330</v>
      </c>
      <c r="V575" s="346">
        <f t="shared" si="235"/>
        <v>10471428900</v>
      </c>
      <c r="X575" s="372">
        <f t="shared" si="229"/>
        <v>23.42116864985071</v>
      </c>
      <c r="Y575" s="373">
        <f t="shared" si="230"/>
        <v>-18.066168663328668</v>
      </c>
      <c r="AA575" s="372">
        <f t="shared" si="231"/>
        <v>6.974296797885958</v>
      </c>
      <c r="AB575" s="373">
        <f t="shared" si="232"/>
        <v>-125.06331317484907</v>
      </c>
      <c r="AD575">
        <f t="shared" si="236"/>
        <v>0</v>
      </c>
      <c r="AE575">
        <f t="shared" si="239"/>
        <v>0</v>
      </c>
    </row>
    <row r="576" spans="1:31" x14ac:dyDescent="0.2">
      <c r="A576" s="374">
        <v>103520</v>
      </c>
      <c r="B576" s="391">
        <f t="shared" si="233"/>
        <v>103.52</v>
      </c>
      <c r="C576" s="364">
        <f t="shared" si="214"/>
        <v>132.4584971780001</v>
      </c>
      <c r="D576" s="365">
        <f t="shared" si="215"/>
        <v>1.5632467205348686</v>
      </c>
      <c r="E576" s="365">
        <f t="shared" si="216"/>
        <v>1.5917619544664592</v>
      </c>
      <c r="F576" s="366">
        <f t="shared" si="217"/>
        <v>0.8915142288404112</v>
      </c>
      <c r="G576" s="365">
        <f t="shared" si="218"/>
        <v>1</v>
      </c>
      <c r="H576" s="366">
        <f t="shared" si="219"/>
        <v>0</v>
      </c>
      <c r="I576" s="364">
        <f t="shared" si="220"/>
        <v>35144.758218682386</v>
      </c>
      <c r="J576" s="367">
        <f t="shared" si="221"/>
        <v>1.5707678730495638</v>
      </c>
      <c r="K576" s="375">
        <f t="shared" si="237"/>
        <v>21.273239337623991</v>
      </c>
      <c r="L576" s="376">
        <f t="shared" si="238"/>
        <v>1.5237715820597677</v>
      </c>
      <c r="M576" s="364">
        <f t="shared" si="222"/>
        <v>1.0378029302221048</v>
      </c>
      <c r="N576" s="367">
        <f t="shared" si="223"/>
        <v>0.2707369145404071</v>
      </c>
      <c r="O576" s="368">
        <f t="shared" si="224"/>
        <v>2.5588931719305501</v>
      </c>
      <c r="P576" s="369">
        <f t="shared" si="225"/>
        <v>1.5138284332926999</v>
      </c>
      <c r="Q576" s="370">
        <f t="shared" si="226"/>
        <v>-21.228376145325246</v>
      </c>
      <c r="R576" s="371">
        <f t="shared" si="227"/>
        <v>-143.42818872240642</v>
      </c>
      <c r="S576" s="373">
        <f t="shared" si="228"/>
        <v>36.571811277593582</v>
      </c>
      <c r="U576" s="346">
        <f t="shared" si="234"/>
        <v>103520</v>
      </c>
      <c r="V576" s="346">
        <f t="shared" si="235"/>
        <v>10716390400</v>
      </c>
      <c r="X576" s="372">
        <f t="shared" si="229"/>
        <v>23.413837807025239</v>
      </c>
      <c r="Y576" s="373">
        <f t="shared" si="230"/>
        <v>-18.204771708845371</v>
      </c>
      <c r="AA576" s="372">
        <f t="shared" si="231"/>
        <v>6.8384114022038931</v>
      </c>
      <c r="AB576" s="373">
        <f t="shared" si="232"/>
        <v>-125.22341701356099</v>
      </c>
      <c r="AD576">
        <f t="shared" si="236"/>
        <v>0</v>
      </c>
      <c r="AE576">
        <f t="shared" si="239"/>
        <v>0</v>
      </c>
    </row>
    <row r="577" spans="1:31" x14ac:dyDescent="0.2">
      <c r="A577" s="374">
        <v>104710</v>
      </c>
      <c r="B577" s="391">
        <f t="shared" si="233"/>
        <v>104.71</v>
      </c>
      <c r="C577" s="364">
        <f t="shared" si="214"/>
        <v>133.98106942242495</v>
      </c>
      <c r="D577" s="365">
        <f t="shared" si="215"/>
        <v>1.5633325165035228</v>
      </c>
      <c r="E577" s="365">
        <f t="shared" si="216"/>
        <v>1.6028630030703535</v>
      </c>
      <c r="F577" s="366">
        <f t="shared" si="217"/>
        <v>0.89709406570690819</v>
      </c>
      <c r="G577" s="365">
        <f t="shared" si="218"/>
        <v>1</v>
      </c>
      <c r="H577" s="366">
        <f t="shared" si="219"/>
        <v>0</v>
      </c>
      <c r="I577" s="364">
        <f t="shared" si="220"/>
        <v>35548.759979178561</v>
      </c>
      <c r="J577" s="367">
        <f t="shared" si="221"/>
        <v>1.5707681964184583</v>
      </c>
      <c r="K577" s="375">
        <f t="shared" si="237"/>
        <v>21.517245647105263</v>
      </c>
      <c r="L577" s="376">
        <f t="shared" si="238"/>
        <v>1.5243052310355163</v>
      </c>
      <c r="M577" s="364">
        <f t="shared" si="222"/>
        <v>1.0386607677432136</v>
      </c>
      <c r="N577" s="367">
        <f t="shared" si="223"/>
        <v>0.27369682474090257</v>
      </c>
      <c r="O577" s="368">
        <f t="shared" si="224"/>
        <v>2.5871769434048155</v>
      </c>
      <c r="P577" s="369">
        <f t="shared" si="225"/>
        <v>1.5220977830092817</v>
      </c>
      <c r="Q577" s="370">
        <f t="shared" si="226"/>
        <v>-21.370155915763796</v>
      </c>
      <c r="R577" s="371">
        <f t="shared" si="227"/>
        <v>-143.72623526075327</v>
      </c>
      <c r="S577" s="373">
        <f t="shared" si="228"/>
        <v>36.27376473924673</v>
      </c>
      <c r="U577" s="346">
        <f t="shared" si="234"/>
        <v>104710</v>
      </c>
      <c r="V577" s="346">
        <f t="shared" si="235"/>
        <v>10964184100</v>
      </c>
      <c r="X577" s="372">
        <f t="shared" si="229"/>
        <v>23.406444212144471</v>
      </c>
      <c r="Y577" s="373">
        <f t="shared" si="230"/>
        <v>-18.343804764851367</v>
      </c>
      <c r="AA577" s="372">
        <f t="shared" si="231"/>
        <v>6.7040252266461078</v>
      </c>
      <c r="AB577" s="373">
        <f t="shared" si="232"/>
        <v>-125.38243049590189</v>
      </c>
      <c r="AD577">
        <f t="shared" si="236"/>
        <v>0</v>
      </c>
      <c r="AE577">
        <f t="shared" si="239"/>
        <v>0</v>
      </c>
    </row>
    <row r="578" spans="1:31" x14ac:dyDescent="0.2">
      <c r="A578" s="374">
        <v>105930</v>
      </c>
      <c r="B578" s="391">
        <f t="shared" si="233"/>
        <v>105.93</v>
      </c>
      <c r="C578" s="364">
        <f t="shared" si="214"/>
        <v>135.54202684162254</v>
      </c>
      <c r="D578" s="365">
        <f t="shared" si="215"/>
        <v>1.5634184743643449</v>
      </c>
      <c r="E578" s="365">
        <f t="shared" si="216"/>
        <v>1.6142949950342562</v>
      </c>
      <c r="F578" s="366">
        <f t="shared" si="217"/>
        <v>0.90273472204251526</v>
      </c>
      <c r="G578" s="365">
        <f t="shared" si="218"/>
        <v>1</v>
      </c>
      <c r="H578" s="366">
        <f t="shared" si="219"/>
        <v>0</v>
      </c>
      <c r="I578" s="364">
        <f t="shared" si="220"/>
        <v>35962.946658010347</v>
      </c>
      <c r="J578" s="367">
        <f t="shared" si="221"/>
        <v>1.5707685203971162</v>
      </c>
      <c r="K578" s="375">
        <f t="shared" si="237"/>
        <v>21.767409593111118</v>
      </c>
      <c r="L578" s="376">
        <f t="shared" si="238"/>
        <v>1.5248399128662693</v>
      </c>
      <c r="M578" s="364">
        <f t="shared" si="222"/>
        <v>1.0395496623619513</v>
      </c>
      <c r="N578" s="367">
        <f t="shared" si="223"/>
        <v>0.27672625588372052</v>
      </c>
      <c r="O578" s="368">
        <f t="shared" si="224"/>
        <v>2.6163439277798388</v>
      </c>
      <c r="P578" s="369">
        <f t="shared" si="225"/>
        <v>1.5304789288709748</v>
      </c>
      <c r="Q578" s="370">
        <f t="shared" si="226"/>
        <v>-21.514055836408588</v>
      </c>
      <c r="R578" s="371">
        <f t="shared" si="227"/>
        <v>-144.03113593652151</v>
      </c>
      <c r="S578" s="373">
        <f t="shared" si="228"/>
        <v>35.968864063478492</v>
      </c>
      <c r="U578" s="346">
        <f t="shared" si="234"/>
        <v>105930</v>
      </c>
      <c r="V578" s="346">
        <f t="shared" si="235"/>
        <v>11221164900</v>
      </c>
      <c r="X578" s="372">
        <f t="shared" si="229"/>
        <v>23.398799109022342</v>
      </c>
      <c r="Y578" s="373">
        <f t="shared" si="230"/>
        <v>-18.486761934148948</v>
      </c>
      <c r="AA578" s="372">
        <f t="shared" si="231"/>
        <v>6.5677704091234466</v>
      </c>
      <c r="AB578" s="373">
        <f t="shared" si="232"/>
        <v>-125.54437400237258</v>
      </c>
      <c r="AD578">
        <f t="shared" si="236"/>
        <v>0</v>
      </c>
      <c r="AE578">
        <f t="shared" si="239"/>
        <v>0</v>
      </c>
    </row>
    <row r="579" spans="1:31" x14ac:dyDescent="0.2">
      <c r="A579" s="374">
        <v>107150</v>
      </c>
      <c r="B579" s="391">
        <f t="shared" si="233"/>
        <v>107.15</v>
      </c>
      <c r="C579" s="364">
        <f t="shared" si="214"/>
        <v>137.10298523950243</v>
      </c>
      <c r="D579" s="365">
        <f t="shared" si="215"/>
        <v>1.5635024749139863</v>
      </c>
      <c r="E579" s="365">
        <f t="shared" si="216"/>
        <v>1.6257776257573846</v>
      </c>
      <c r="F579" s="366">
        <f t="shared" si="217"/>
        <v>0.90829587497520869</v>
      </c>
      <c r="G579" s="365">
        <f t="shared" si="218"/>
        <v>1</v>
      </c>
      <c r="H579" s="366">
        <f t="shared" si="219"/>
        <v>0</v>
      </c>
      <c r="I579" s="364">
        <f t="shared" si="220"/>
        <v>36377.133336845829</v>
      </c>
      <c r="J579" s="367">
        <f t="shared" si="221"/>
        <v>1.570768836998192</v>
      </c>
      <c r="K579" s="375">
        <f t="shared" si="237"/>
        <v>22.017579620673594</v>
      </c>
      <c r="L579" s="376">
        <f t="shared" si="238"/>
        <v>1.5253624444282725</v>
      </c>
      <c r="M579" s="364">
        <f t="shared" si="222"/>
        <v>1.0404480810463945</v>
      </c>
      <c r="N579" s="367">
        <f t="shared" si="223"/>
        <v>0.27975048296186422</v>
      </c>
      <c r="O579" s="368">
        <f t="shared" si="224"/>
        <v>2.6456830232219417</v>
      </c>
      <c r="P579" s="369">
        <f t="shared" si="225"/>
        <v>1.538764358348319</v>
      </c>
      <c r="Q579" s="370">
        <f t="shared" si="226"/>
        <v>-21.656520230555572</v>
      </c>
      <c r="R579" s="371">
        <f t="shared" si="227"/>
        <v>-144.33539309668248</v>
      </c>
      <c r="S579" s="373">
        <f t="shared" si="228"/>
        <v>35.664606903317519</v>
      </c>
      <c r="U579" s="346">
        <f t="shared" si="234"/>
        <v>107150</v>
      </c>
      <c r="V579" s="346">
        <f t="shared" si="235"/>
        <v>11481122500</v>
      </c>
      <c r="X579" s="372">
        <f t="shared" si="229"/>
        <v>23.391088133258791</v>
      </c>
      <c r="Y579" s="373">
        <f t="shared" si="230"/>
        <v>-18.630116668919843</v>
      </c>
      <c r="AA579" s="372">
        <f t="shared" si="231"/>
        <v>6.4330169907400103</v>
      </c>
      <c r="AB579" s="373">
        <f t="shared" si="232"/>
        <v>-125.70527642776266</v>
      </c>
      <c r="AD579">
        <f t="shared" si="236"/>
        <v>0</v>
      </c>
      <c r="AE579">
        <f t="shared" si="239"/>
        <v>0</v>
      </c>
    </row>
    <row r="580" spans="1:31" x14ac:dyDescent="0.2">
      <c r="A580" s="374">
        <v>108400</v>
      </c>
      <c r="B580" s="391">
        <f t="shared" si="233"/>
        <v>108.4</v>
      </c>
      <c r="C580" s="364">
        <f t="shared" si="214"/>
        <v>138.70232884080602</v>
      </c>
      <c r="D580" s="365">
        <f t="shared" si="215"/>
        <v>1.5635865800529489</v>
      </c>
      <c r="E580" s="365">
        <f t="shared" si="216"/>
        <v>1.6375940242255553</v>
      </c>
      <c r="F580" s="366">
        <f t="shared" si="217"/>
        <v>0.9139127106862398</v>
      </c>
      <c r="G580" s="365">
        <f t="shared" si="218"/>
        <v>1</v>
      </c>
      <c r="H580" s="366">
        <f t="shared" si="219"/>
        <v>0</v>
      </c>
      <c r="I580" s="364">
        <f t="shared" si="220"/>
        <v>36801.504934017015</v>
      </c>
      <c r="J580" s="367">
        <f t="shared" si="221"/>
        <v>1.5707691539930801</v>
      </c>
      <c r="K580" s="375">
        <f t="shared" si="237"/>
        <v>22.273907463662351</v>
      </c>
      <c r="L580" s="376">
        <f t="shared" si="238"/>
        <v>1.5258856508292524</v>
      </c>
      <c r="M580" s="364">
        <f t="shared" si="222"/>
        <v>1.0413784444585357</v>
      </c>
      <c r="N580" s="367">
        <f t="shared" si="223"/>
        <v>0.28284363500547166</v>
      </c>
      <c r="O580" s="368">
        <f t="shared" si="224"/>
        <v>2.6759219291139265</v>
      </c>
      <c r="P580" s="369">
        <f t="shared" si="225"/>
        <v>1.5471564581968626</v>
      </c>
      <c r="Q580" s="370">
        <f t="shared" si="226"/>
        <v>-21.801036415017716</v>
      </c>
      <c r="R580" s="371">
        <f t="shared" si="227"/>
        <v>-144.64648809001918</v>
      </c>
      <c r="S580" s="373">
        <f t="shared" si="228"/>
        <v>35.353511909980824</v>
      </c>
      <c r="U580" s="346">
        <f t="shared" si="234"/>
        <v>108400</v>
      </c>
      <c r="V580" s="346">
        <f t="shared" si="235"/>
        <v>11750560000</v>
      </c>
      <c r="X580" s="372">
        <f t="shared" si="229"/>
        <v>23.383119299468195</v>
      </c>
      <c r="Y580" s="373">
        <f t="shared" si="230"/>
        <v>-18.777381870457933</v>
      </c>
      <c r="AA580" s="372">
        <f t="shared" si="231"/>
        <v>6.296469640068465</v>
      </c>
      <c r="AB580" s="373">
        <f t="shared" si="232"/>
        <v>-125.86910621956123</v>
      </c>
      <c r="AD580">
        <f t="shared" si="236"/>
        <v>0</v>
      </c>
      <c r="AE580">
        <f t="shared" si="239"/>
        <v>0</v>
      </c>
    </row>
    <row r="581" spans="1:31" x14ac:dyDescent="0.2">
      <c r="A581" s="374">
        <v>109650</v>
      </c>
      <c r="B581" s="391">
        <f t="shared" si="233"/>
        <v>109.65</v>
      </c>
      <c r="C581" s="364">
        <f t="shared" si="214"/>
        <v>140.30167340087615</v>
      </c>
      <c r="D581" s="365">
        <f t="shared" si="215"/>
        <v>1.5636687677086316</v>
      </c>
      <c r="E581" s="365">
        <f t="shared" si="216"/>
        <v>1.6494613457251772</v>
      </c>
      <c r="F581" s="366">
        <f t="shared" si="217"/>
        <v>0.91944889647272687</v>
      </c>
      <c r="G581" s="365">
        <f t="shared" si="218"/>
        <v>1</v>
      </c>
      <c r="H581" s="366">
        <f t="shared" si="219"/>
        <v>0</v>
      </c>
      <c r="I581" s="364">
        <f t="shared" si="220"/>
        <v>37225.876531191825</v>
      </c>
      <c r="J581" s="367">
        <f t="shared" si="221"/>
        <v>1.5707694637605425</v>
      </c>
      <c r="K581" s="375">
        <f t="shared" si="237"/>
        <v>22.530241265279322</v>
      </c>
      <c r="L581" s="376">
        <f t="shared" si="238"/>
        <v>1.5263969519925353</v>
      </c>
      <c r="M581" s="364">
        <f t="shared" si="222"/>
        <v>1.0423187535100553</v>
      </c>
      <c r="N581" s="367">
        <f t="shared" si="223"/>
        <v>0.28593123568320522</v>
      </c>
      <c r="O581" s="368">
        <f t="shared" si="224"/>
        <v>2.7063412402004903</v>
      </c>
      <c r="P581" s="369">
        <f t="shared" si="225"/>
        <v>1.5554524875994491</v>
      </c>
      <c r="Q581" s="370">
        <f t="shared" si="226"/>
        <v>-21.944120563519899</v>
      </c>
      <c r="R581" s="371">
        <f t="shared" si="227"/>
        <v>-144.95695332479909</v>
      </c>
      <c r="S581" s="373">
        <f t="shared" si="228"/>
        <v>35.043046675200912</v>
      </c>
      <c r="U581" s="346">
        <f t="shared" si="234"/>
        <v>109650</v>
      </c>
      <c r="V581" s="346">
        <f t="shared" si="235"/>
        <v>12023122500</v>
      </c>
      <c r="X581" s="372">
        <f t="shared" si="229"/>
        <v>23.375081494762942</v>
      </c>
      <c r="Y581" s="373">
        <f t="shared" si="230"/>
        <v>-18.925010707934476</v>
      </c>
      <c r="AA581" s="372">
        <f t="shared" si="231"/>
        <v>6.1614232962715354</v>
      </c>
      <c r="AB581" s="373">
        <f t="shared" si="232"/>
        <v>-126.03194261686463</v>
      </c>
      <c r="AD581">
        <f t="shared" si="236"/>
        <v>0</v>
      </c>
      <c r="AE581">
        <f t="shared" si="239"/>
        <v>0</v>
      </c>
    </row>
    <row r="582" spans="1:31" x14ac:dyDescent="0.2">
      <c r="A582" s="374">
        <v>110925</v>
      </c>
      <c r="B582" s="391">
        <f t="shared" si="233"/>
        <v>110.925</v>
      </c>
      <c r="C582" s="364">
        <f t="shared" si="214"/>
        <v>141.93300580625663</v>
      </c>
      <c r="D582" s="365">
        <f t="shared" si="215"/>
        <v>1.563750690948148</v>
      </c>
      <c r="E582" s="365">
        <f t="shared" si="216"/>
        <v>1.6616173430121828</v>
      </c>
      <c r="F582" s="366">
        <f t="shared" si="217"/>
        <v>0.92501416442846518</v>
      </c>
      <c r="G582" s="365">
        <f t="shared" si="218"/>
        <v>1</v>
      </c>
      <c r="H582" s="366">
        <f t="shared" si="219"/>
        <v>0</v>
      </c>
      <c r="I582" s="364">
        <f t="shared" si="220"/>
        <v>37658.735560313718</v>
      </c>
      <c r="J582" s="367">
        <f t="shared" si="221"/>
        <v>1.5707697725310521</v>
      </c>
      <c r="K582" s="375">
        <f t="shared" si="237"/>
        <v>22.791707673008492</v>
      </c>
      <c r="L582" s="376">
        <f t="shared" si="238"/>
        <v>1.5269066307079882</v>
      </c>
      <c r="M582" s="364">
        <f t="shared" si="222"/>
        <v>1.0432880868501639</v>
      </c>
      <c r="N582" s="367">
        <f t="shared" si="223"/>
        <v>0.28907482395833151</v>
      </c>
      <c r="O582" s="368">
        <f t="shared" si="224"/>
        <v>2.7375547061816334</v>
      </c>
      <c r="P582" s="369">
        <f t="shared" si="225"/>
        <v>1.5638176688414096</v>
      </c>
      <c r="Q582" s="370">
        <f t="shared" si="226"/>
        <v>-22.088628579633379</v>
      </c>
      <c r="R582" s="371">
        <f t="shared" si="227"/>
        <v>-145.27299998796713</v>
      </c>
      <c r="S582" s="373">
        <f t="shared" si="228"/>
        <v>34.727000012032875</v>
      </c>
      <c r="U582" s="346">
        <f t="shared" si="234"/>
        <v>110925</v>
      </c>
      <c r="V582" s="346">
        <f t="shared" si="235"/>
        <v>12304355625</v>
      </c>
      <c r="X582" s="372">
        <f t="shared" si="229"/>
        <v>23.366812008196103</v>
      </c>
      <c r="Y582" s="373">
        <f t="shared" si="230"/>
        <v>-19.075940300742413</v>
      </c>
      <c r="AA582" s="372">
        <f t="shared" si="231"/>
        <v>6.0251847667248928</v>
      </c>
      <c r="AB582" s="373">
        <f t="shared" si="232"/>
        <v>-126.19705968722475</v>
      </c>
      <c r="AD582">
        <f t="shared" si="236"/>
        <v>0</v>
      </c>
      <c r="AE582">
        <f t="shared" si="239"/>
        <v>0</v>
      </c>
    </row>
    <row r="583" spans="1:31" x14ac:dyDescent="0.2">
      <c r="A583" s="374">
        <v>112200</v>
      </c>
      <c r="B583" s="391">
        <f t="shared" si="233"/>
        <v>112.2</v>
      </c>
      <c r="C583" s="364">
        <f t="shared" si="214"/>
        <v>143.56433914256039</v>
      </c>
      <c r="D583" s="365">
        <f t="shared" si="215"/>
        <v>1.5638307523872399</v>
      </c>
      <c r="E583" s="365">
        <f t="shared" si="216"/>
        <v>1.6738240558295381</v>
      </c>
      <c r="F583" s="366">
        <f t="shared" si="217"/>
        <v>0.93049842842277819</v>
      </c>
      <c r="G583" s="365">
        <f t="shared" si="218"/>
        <v>1</v>
      </c>
      <c r="H583" s="366">
        <f t="shared" si="219"/>
        <v>0</v>
      </c>
      <c r="I583" s="364">
        <f t="shared" si="220"/>
        <v>38091.594589439126</v>
      </c>
      <c r="J583" s="367">
        <f t="shared" si="221"/>
        <v>1.5707700742840502</v>
      </c>
      <c r="K583" s="375">
        <f t="shared" si="237"/>
        <v>23.053179867090467</v>
      </c>
      <c r="L583" s="376">
        <f t="shared" si="238"/>
        <v>1.5274047478645294</v>
      </c>
      <c r="M583" s="364">
        <f t="shared" si="222"/>
        <v>1.0442677109171778</v>
      </c>
      <c r="N583" s="367">
        <f t="shared" si="223"/>
        <v>0.29221254521323387</v>
      </c>
      <c r="O583" s="368">
        <f t="shared" si="224"/>
        <v>2.7689557318868587</v>
      </c>
      <c r="P583" s="369">
        <f t="shared" si="225"/>
        <v>1.572087289412563</v>
      </c>
      <c r="Q583" s="370">
        <f t="shared" si="226"/>
        <v>-22.231721406479</v>
      </c>
      <c r="R583" s="371">
        <f t="shared" si="227"/>
        <v>-145.58843181077609</v>
      </c>
      <c r="S583" s="373">
        <f t="shared" si="228"/>
        <v>34.411568189223914</v>
      </c>
      <c r="U583" s="346">
        <f t="shared" si="234"/>
        <v>112200</v>
      </c>
      <c r="V583" s="346">
        <f t="shared" si="235"/>
        <v>12588840000</v>
      </c>
      <c r="X583" s="372">
        <f t="shared" si="229"/>
        <v>23.358471044650354</v>
      </c>
      <c r="Y583" s="373">
        <f t="shared" si="230"/>
        <v>-19.227195764510025</v>
      </c>
      <c r="AA583" s="372">
        <f t="shared" si="231"/>
        <v>5.8904329034250207</v>
      </c>
      <c r="AB583" s="373">
        <f t="shared" si="232"/>
        <v>-126.36123604626603</v>
      </c>
      <c r="AD583">
        <f t="shared" si="236"/>
        <v>0</v>
      </c>
      <c r="AE583">
        <f t="shared" si="239"/>
        <v>0</v>
      </c>
    </row>
    <row r="584" spans="1:31" x14ac:dyDescent="0.2">
      <c r="A584" s="374">
        <v>113510</v>
      </c>
      <c r="B584" s="391">
        <f t="shared" si="233"/>
        <v>113.51</v>
      </c>
      <c r="C584" s="364">
        <f t="shared" si="214"/>
        <v>145.24045511492767</v>
      </c>
      <c r="D584" s="365">
        <f t="shared" si="215"/>
        <v>1.563911138365665</v>
      </c>
      <c r="E584" s="365">
        <f t="shared" si="216"/>
        <v>1.6864175202413931</v>
      </c>
      <c r="F584" s="366">
        <f t="shared" si="217"/>
        <v>0.9360503769118812</v>
      </c>
      <c r="G584" s="365">
        <f t="shared" si="218"/>
        <v>1</v>
      </c>
      <c r="H584" s="366">
        <f t="shared" si="219"/>
        <v>0</v>
      </c>
      <c r="I584" s="364">
        <f t="shared" si="220"/>
        <v>38536.33602328915</v>
      </c>
      <c r="J584" s="367">
        <f t="shared" si="221"/>
        <v>1.5707703772599042</v>
      </c>
      <c r="K584" s="375">
        <f t="shared" si="237"/>
        <v>23.321835551477179</v>
      </c>
      <c r="L584" s="376">
        <f t="shared" si="238"/>
        <v>1.5279049053220046</v>
      </c>
      <c r="M584" s="364">
        <f t="shared" si="222"/>
        <v>1.0452849145521861</v>
      </c>
      <c r="N584" s="367">
        <f t="shared" si="223"/>
        <v>0.29543024167410792</v>
      </c>
      <c r="O584" s="368">
        <f t="shared" si="224"/>
        <v>2.8014140873079447</v>
      </c>
      <c r="P584" s="369">
        <f t="shared" si="225"/>
        <v>1.5804866038804384</v>
      </c>
      <c r="Q584" s="370">
        <f t="shared" si="226"/>
        <v>-22.377306010029365</v>
      </c>
      <c r="R584" s="371">
        <f t="shared" si="227"/>
        <v>-145.91190051654894</v>
      </c>
      <c r="S584" s="373">
        <f t="shared" si="228"/>
        <v>34.08809948345106</v>
      </c>
      <c r="U584" s="346">
        <f t="shared" si="234"/>
        <v>113510</v>
      </c>
      <c r="V584" s="346">
        <f t="shared" si="235"/>
        <v>12884520100</v>
      </c>
      <c r="X584" s="372">
        <f t="shared" si="229"/>
        <v>23.349826847087542</v>
      </c>
      <c r="Y584" s="373">
        <f t="shared" si="230"/>
        <v>-19.382916639482634</v>
      </c>
      <c r="AA584" s="372">
        <f t="shared" si="231"/>
        <v>5.7534924974374686</v>
      </c>
      <c r="AB584" s="373">
        <f t="shared" si="232"/>
        <v>-126.5289838770663</v>
      </c>
      <c r="AD584">
        <f t="shared" si="236"/>
        <v>0</v>
      </c>
      <c r="AE584">
        <f t="shared" si="239"/>
        <v>0</v>
      </c>
    </row>
    <row r="585" spans="1:31" x14ac:dyDescent="0.2">
      <c r="A585" s="374">
        <v>114820</v>
      </c>
      <c r="B585" s="391">
        <f t="shared" si="233"/>
        <v>114.82</v>
      </c>
      <c r="C585" s="364">
        <f t="shared" si="214"/>
        <v>146.91657200441037</v>
      </c>
      <c r="D585" s="365">
        <f t="shared" si="215"/>
        <v>1.5639896901567318</v>
      </c>
      <c r="E585" s="365">
        <f t="shared" si="216"/>
        <v>1.6990621954955887</v>
      </c>
      <c r="F585" s="366">
        <f t="shared" si="217"/>
        <v>0.94151985504789382</v>
      </c>
      <c r="G585" s="365">
        <f t="shared" si="218"/>
        <v>1</v>
      </c>
      <c r="H585" s="366">
        <f t="shared" si="219"/>
        <v>0</v>
      </c>
      <c r="I585" s="364">
        <f t="shared" si="220"/>
        <v>38981.07745714263</v>
      </c>
      <c r="J585" s="367">
        <f t="shared" si="221"/>
        <v>1.570770673322357</v>
      </c>
      <c r="K585" s="375">
        <f t="shared" si="237"/>
        <v>23.59049693711302</v>
      </c>
      <c r="L585" s="376">
        <f t="shared" si="238"/>
        <v>1.528393670770148</v>
      </c>
      <c r="M585" s="364">
        <f t="shared" si="222"/>
        <v>1.0463129195102909</v>
      </c>
      <c r="N585" s="367">
        <f t="shared" si="223"/>
        <v>0.29864164854132941</v>
      </c>
      <c r="O585" s="368">
        <f t="shared" si="224"/>
        <v>2.8340704528987093</v>
      </c>
      <c r="P585" s="369">
        <f t="shared" si="225"/>
        <v>1.5887894768213362</v>
      </c>
      <c r="Q585" s="370">
        <f t="shared" si="226"/>
        <v>-22.521472233810837</v>
      </c>
      <c r="R585" s="371">
        <f t="shared" si="227"/>
        <v>-146.23475559260308</v>
      </c>
      <c r="S585" s="373">
        <f t="shared" si="228"/>
        <v>33.765244407396921</v>
      </c>
      <c r="U585" s="346">
        <f t="shared" si="234"/>
        <v>114820</v>
      </c>
      <c r="V585" s="346">
        <f t="shared" si="235"/>
        <v>13183632400</v>
      </c>
      <c r="X585" s="372">
        <f t="shared" si="229"/>
        <v>23.34110758267181</v>
      </c>
      <c r="Y585" s="373">
        <f t="shared" si="230"/>
        <v>-19.538929465230609</v>
      </c>
      <c r="AA585" s="372">
        <f t="shared" si="231"/>
        <v>5.6180455380717245</v>
      </c>
      <c r="AB585" s="373">
        <f t="shared" si="232"/>
        <v>-126.69582612737247</v>
      </c>
      <c r="AD585">
        <f t="shared" si="236"/>
        <v>0</v>
      </c>
      <c r="AE585">
        <f t="shared" si="239"/>
        <v>0</v>
      </c>
    </row>
    <row r="586" spans="1:31" x14ac:dyDescent="0.2">
      <c r="A586" s="374">
        <v>116155</v>
      </c>
      <c r="B586" s="391">
        <f t="shared" si="233"/>
        <v>116.155</v>
      </c>
      <c r="C586" s="364">
        <f t="shared" si="214"/>
        <v>148.62467676884324</v>
      </c>
      <c r="D586" s="365">
        <f t="shared" si="215"/>
        <v>1.5640679182491064</v>
      </c>
      <c r="E586" s="365">
        <f t="shared" si="216"/>
        <v>1.7119996926197689</v>
      </c>
      <c r="F586" s="366">
        <f t="shared" si="217"/>
        <v>0.94701042337492058</v>
      </c>
      <c r="G586" s="365">
        <f t="shared" si="218"/>
        <v>1</v>
      </c>
      <c r="H586" s="366">
        <f t="shared" si="219"/>
        <v>0</v>
      </c>
      <c r="I586" s="364">
        <f t="shared" si="220"/>
        <v>39434.306322943325</v>
      </c>
      <c r="J586" s="367">
        <f t="shared" si="221"/>
        <v>1.5707709681644717</v>
      </c>
      <c r="K586" s="375">
        <f t="shared" si="237"/>
        <v>23.864291114560732</v>
      </c>
      <c r="L586" s="376">
        <f t="shared" si="238"/>
        <v>1.5288804417262247</v>
      </c>
      <c r="M586" s="364">
        <f t="shared" si="222"/>
        <v>1.0473716224409833</v>
      </c>
      <c r="N586" s="367">
        <f t="shared" si="223"/>
        <v>0.30190782171360125</v>
      </c>
      <c r="O586" s="368">
        <f t="shared" si="224"/>
        <v>2.8675538090606563</v>
      </c>
      <c r="P586" s="369">
        <f t="shared" si="225"/>
        <v>1.5971537945458931</v>
      </c>
      <c r="Q586" s="370">
        <f t="shared" si="226"/>
        <v>-22.666968191186179</v>
      </c>
      <c r="R586" s="371">
        <f t="shared" si="227"/>
        <v>-146.56315635413361</v>
      </c>
      <c r="S586" s="373">
        <f t="shared" si="228"/>
        <v>33.436843645866389</v>
      </c>
      <c r="U586" s="346">
        <f t="shared" si="234"/>
        <v>116155</v>
      </c>
      <c r="V586" s="346">
        <f t="shared" si="235"/>
        <v>13491984025</v>
      </c>
      <c r="X586" s="372">
        <f t="shared" si="229"/>
        <v>23.332144925026753</v>
      </c>
      <c r="Y586" s="373">
        <f t="shared" si="230"/>
        <v>-19.69819437517868</v>
      </c>
      <c r="AA586" s="372">
        <f t="shared" si="231"/>
        <v>5.4815122383414465</v>
      </c>
      <c r="AB586" s="373">
        <f t="shared" si="232"/>
        <v>-126.86496197895488</v>
      </c>
      <c r="AD586">
        <f t="shared" si="236"/>
        <v>0</v>
      </c>
      <c r="AE586">
        <f t="shared" si="239"/>
        <v>0</v>
      </c>
    </row>
    <row r="587" spans="1:31" x14ac:dyDescent="0.2">
      <c r="A587" s="374">
        <v>117490</v>
      </c>
      <c r="B587" s="391">
        <f t="shared" si="233"/>
        <v>117.49</v>
      </c>
      <c r="C587" s="364">
        <f t="shared" si="214"/>
        <v>150.3327824221364</v>
      </c>
      <c r="D587" s="365">
        <f t="shared" si="215"/>
        <v>1.5641443686611884</v>
      </c>
      <c r="E587" s="365">
        <f t="shared" si="216"/>
        <v>1.7249880252070124</v>
      </c>
      <c r="F587" s="366">
        <f t="shared" si="217"/>
        <v>0.95241847000571855</v>
      </c>
      <c r="G587" s="365">
        <f t="shared" si="218"/>
        <v>1</v>
      </c>
      <c r="H587" s="366">
        <f t="shared" si="219"/>
        <v>0</v>
      </c>
      <c r="I587" s="364">
        <f t="shared" si="220"/>
        <v>39887.535188747359</v>
      </c>
      <c r="J587" s="367">
        <f t="shared" si="221"/>
        <v>1.5707712563061995</v>
      </c>
      <c r="K587" s="375">
        <f t="shared" si="237"/>
        <v>24.138090818278027</v>
      </c>
      <c r="L587" s="376">
        <f t="shared" si="238"/>
        <v>1.529356169852965</v>
      </c>
      <c r="M587" s="364">
        <f t="shared" si="222"/>
        <v>1.0484414759793448</v>
      </c>
      <c r="N587" s="367">
        <f t="shared" si="223"/>
        <v>0.30516736384461712</v>
      </c>
      <c r="O587" s="368">
        <f t="shared" si="224"/>
        <v>2.9012429690027739</v>
      </c>
      <c r="P587" s="369">
        <f t="shared" si="225"/>
        <v>1.6054223608108744</v>
      </c>
      <c r="Q587" s="370">
        <f t="shared" si="226"/>
        <v>-22.811066218299455</v>
      </c>
      <c r="R587" s="371">
        <f t="shared" si="227"/>
        <v>-146.89094964541485</v>
      </c>
      <c r="S587" s="373">
        <f t="shared" si="228"/>
        <v>33.10905035458515</v>
      </c>
      <c r="U587" s="346">
        <f t="shared" si="234"/>
        <v>117490</v>
      </c>
      <c r="V587" s="346">
        <f t="shared" si="235"/>
        <v>13803900100</v>
      </c>
      <c r="X587" s="372">
        <f t="shared" si="229"/>
        <v>23.323104801981181</v>
      </c>
      <c r="Y587" s="373">
        <f t="shared" si="230"/>
        <v>-19.857711678060262</v>
      </c>
      <c r="AA587" s="372">
        <f t="shared" si="231"/>
        <v>5.3464543342737345</v>
      </c>
      <c r="AB587" s="373">
        <f t="shared" si="232"/>
        <v>-127.03323796735452</v>
      </c>
      <c r="AD587">
        <f t="shared" si="236"/>
        <v>0</v>
      </c>
      <c r="AE587">
        <f t="shared" si="239"/>
        <v>0</v>
      </c>
    </row>
    <row r="588" spans="1:31" x14ac:dyDescent="0.2">
      <c r="A588" s="374">
        <v>118860</v>
      </c>
      <c r="B588" s="391">
        <f t="shared" si="233"/>
        <v>118.86</v>
      </c>
      <c r="C588" s="364">
        <f t="shared" si="214"/>
        <v>152.08567076429514</v>
      </c>
      <c r="D588" s="365">
        <f t="shared" si="215"/>
        <v>1.5642210380070181</v>
      </c>
      <c r="E588" s="365">
        <f t="shared" si="216"/>
        <v>1.7383685329119518</v>
      </c>
      <c r="F588" s="366">
        <f t="shared" si="217"/>
        <v>0.95788411732721856</v>
      </c>
      <c r="G588" s="365">
        <f t="shared" si="218"/>
        <v>1</v>
      </c>
      <c r="H588" s="366">
        <f t="shared" si="219"/>
        <v>0</v>
      </c>
      <c r="I588" s="364">
        <f t="shared" si="220"/>
        <v>40352.646459276213</v>
      </c>
      <c r="J588" s="367">
        <f t="shared" si="221"/>
        <v>1.5707715452727946</v>
      </c>
      <c r="K588" s="375">
        <f t="shared" si="237"/>
        <v>24.419074341921554</v>
      </c>
      <c r="L588" s="376">
        <f t="shared" si="238"/>
        <v>1.5298332787024129</v>
      </c>
      <c r="M588" s="364">
        <f t="shared" si="222"/>
        <v>1.0495509352953416</v>
      </c>
      <c r="N588" s="367">
        <f t="shared" si="223"/>
        <v>0.30850541678948551</v>
      </c>
      <c r="O588" s="368">
        <f t="shared" si="224"/>
        <v>2.9360294754060381</v>
      </c>
      <c r="P588" s="369">
        <f t="shared" si="225"/>
        <v>1.6138103714105334</v>
      </c>
      <c r="Q588" s="370">
        <f t="shared" si="226"/>
        <v>-22.95752649031952</v>
      </c>
      <c r="R588" s="371">
        <f t="shared" si="227"/>
        <v>-147.22671813643186</v>
      </c>
      <c r="S588" s="373">
        <f t="shared" si="228"/>
        <v>32.773281863568144</v>
      </c>
      <c r="U588" s="346">
        <f t="shared" si="234"/>
        <v>118860</v>
      </c>
      <c r="V588" s="346">
        <f t="shared" si="235"/>
        <v>14127699600</v>
      </c>
      <c r="X588" s="372">
        <f t="shared" si="229"/>
        <v>23.313747424549934</v>
      </c>
      <c r="Y588" s="373">
        <f t="shared" si="230"/>
        <v>-20.021648256904367</v>
      </c>
      <c r="AA588" s="372">
        <f t="shared" si="231"/>
        <v>5.209351439684923</v>
      </c>
      <c r="AB588" s="373">
        <f t="shared" si="232"/>
        <v>-127.20506987952746</v>
      </c>
      <c r="AD588">
        <f t="shared" si="236"/>
        <v>0</v>
      </c>
      <c r="AE588">
        <f t="shared" si="239"/>
        <v>0</v>
      </c>
    </row>
    <row r="589" spans="1:31" x14ac:dyDescent="0.2">
      <c r="A589" s="374">
        <v>120230</v>
      </c>
      <c r="B589" s="391">
        <f t="shared" si="233"/>
        <v>120.23</v>
      </c>
      <c r="C589" s="364">
        <f t="shared" ref="C589:C613" si="240">SQRT(1+(A589/pole1)^2)</f>
        <v>153.83855998006933</v>
      </c>
      <c r="D589" s="365">
        <f t="shared" ref="D589:D613" si="241">ATAN(A589/pole1)</f>
        <v>1.5642959601597348</v>
      </c>
      <c r="E589" s="365">
        <f t="shared" ref="E589:E613" si="242">SQRT(1+(A589/Zero1)^2)</f>
        <v>1.7518001772155756</v>
      </c>
      <c r="F589" s="366">
        <f t="shared" ref="F589:F613" si="243">ATAN(A589/Zero1)</f>
        <v>0.96326610944953028</v>
      </c>
      <c r="G589" s="365">
        <f t="shared" ref="G589:G613" si="244">IF(VIN_nom&gt;Vout, 1, SQRT(1+(A589/z_RHP)^2))</f>
        <v>1</v>
      </c>
      <c r="H589" s="366">
        <f t="shared" ref="H589:H613" si="245">IF(VIN_nom&gt;Vout, 0, -ATAN(A589/z_RHP))</f>
        <v>0</v>
      </c>
      <c r="I589" s="364">
        <f t="shared" ref="I589:I613" si="246">SQRT(1+(A589/Pole2)^2)</f>
        <v>40817.757729808363</v>
      </c>
      <c r="J589" s="367">
        <f t="shared" ref="J589:J613" si="247">ATAN(A589/Pole2)</f>
        <v>1.5707718276539413</v>
      </c>
      <c r="K589" s="375">
        <f t="shared" si="237"/>
        <v>24.700063297681037</v>
      </c>
      <c r="L589" s="376">
        <f t="shared" si="238"/>
        <v>1.5302995324354391</v>
      </c>
      <c r="M589" s="364">
        <f t="shared" ref="M589:M613" si="248">SQRT(1+(A589/pole4)^2)</f>
        <v>1.0506720645608716</v>
      </c>
      <c r="N589" s="367">
        <f t="shared" ref="N589:N613" si="249">ATAN(A589/pole4)</f>
        <v>0.31183638298426136</v>
      </c>
      <c r="O589" s="368">
        <f t="shared" ref="O589:O613" si="250">SQRT((1-(V589/pterm2))^2+(A589/pterm1)^2)</f>
        <v>2.9710330427906033</v>
      </c>
      <c r="P589" s="369">
        <f t="shared" ref="P589:P613" si="251">IF((ATAN((A589/pterm1)/(1-A589^2/pterm2))&gt;0),ATAN((A589/pterm1)/(1-A589^2/pterm2)),PI()+ATAN((A589/pterm1)/(1-A589^2/pterm2)))</f>
        <v>1.6221019747577601</v>
      </c>
      <c r="Q589" s="370">
        <f t="shared" ref="Q589:Q613" si="252">20*LOG10(((E589*K589*G589)/(C589*I589*O589*M589))*Adc)</f>
        <v>-23.102590140939046</v>
      </c>
      <c r="R589" s="371">
        <f t="shared" ref="R589:R613" si="253">((F589+L589+H589)-(D589+J589+P589+N589))*radconv</f>
        <v>-147.56187141599375</v>
      </c>
      <c r="S589" s="373">
        <f t="shared" ref="S589:S613" si="254">IF(R589&gt;0,R589,R589+180)</f>
        <v>32.43812858400625</v>
      </c>
      <c r="U589" s="346">
        <f t="shared" si="234"/>
        <v>120230</v>
      </c>
      <c r="V589" s="346">
        <f t="shared" si="235"/>
        <v>14455252900</v>
      </c>
      <c r="X589" s="372">
        <f t="shared" ref="X589:X613" si="255">20*LOG10((K589/(I589*M589))*AEA)</f>
        <v>23.304309077451503</v>
      </c>
      <c r="Y589" s="373">
        <f t="shared" ref="Y589:Y613" si="256">(L589-(J589+N589))*radconv</f>
        <v>-20.185800369916652</v>
      </c>
      <c r="AA589" s="372">
        <f t="shared" ref="AA589:AA613" si="257">20*LOG10((E589*G589/(C589*O589))*Acs*Am)</f>
        <v>5.073726136163824</v>
      </c>
      <c r="AB589" s="373">
        <f t="shared" ref="AB589:AB613" si="258">(F589+H589-(D589+P589))*radconv</f>
        <v>-127.37607104607709</v>
      </c>
      <c r="AD589">
        <f t="shared" si="236"/>
        <v>0</v>
      </c>
      <c r="AE589">
        <f t="shared" si="239"/>
        <v>0</v>
      </c>
    </row>
    <row r="590" spans="1:31" x14ac:dyDescent="0.2">
      <c r="A590" s="374">
        <v>126030</v>
      </c>
      <c r="B590" s="391">
        <f t="shared" ref="B590:B613" si="259">A590/1000</f>
        <v>126.03</v>
      </c>
      <c r="C590" s="364">
        <f t="shared" si="240"/>
        <v>161.25955984302476</v>
      </c>
      <c r="D590" s="365">
        <f t="shared" si="241"/>
        <v>1.5645951043049209</v>
      </c>
      <c r="E590" s="365">
        <f t="shared" si="242"/>
        <v>1.8092042854451089</v>
      </c>
      <c r="F590" s="366">
        <f t="shared" si="243"/>
        <v>0.98516072534209775</v>
      </c>
      <c r="G590" s="365">
        <f t="shared" si="244"/>
        <v>1</v>
      </c>
      <c r="H590" s="366">
        <f t="shared" si="245"/>
        <v>0</v>
      </c>
      <c r="I590" s="364">
        <f t="shared" si="246"/>
        <v>42786.841940854385</v>
      </c>
      <c r="J590" s="367">
        <f t="shared" si="247"/>
        <v>1.5707729551237302</v>
      </c>
      <c r="K590" s="375">
        <f t="shared" si="237"/>
        <v>25.889707685080552</v>
      </c>
      <c r="L590" s="376">
        <f t="shared" si="238"/>
        <v>1.5321613281814281</v>
      </c>
      <c r="M590" s="364">
        <f t="shared" si="248"/>
        <v>1.0555468721207828</v>
      </c>
      <c r="N590" s="367">
        <f t="shared" si="249"/>
        <v>0.32585861269577743</v>
      </c>
      <c r="O590" s="368">
        <f t="shared" si="250"/>
        <v>3.1216335531636918</v>
      </c>
      <c r="P590" s="369">
        <f t="shared" si="251"/>
        <v>1.6561848071601968</v>
      </c>
      <c r="Q590" s="370">
        <f t="shared" si="252"/>
        <v>-23.702070274612389</v>
      </c>
      <c r="R590" s="371">
        <f t="shared" si="253"/>
        <v>-148.97415062293251</v>
      </c>
      <c r="S590" s="373">
        <f t="shared" si="254"/>
        <v>31.025849377067487</v>
      </c>
      <c r="U590" s="346">
        <f t="shared" ref="U590:U613" si="260">IF(Q590&lt;0,A590,1000000000)</f>
        <v>126030</v>
      </c>
      <c r="V590" s="346">
        <f t="shared" ref="V590:V613" si="261">A590^2</f>
        <v>15883560900</v>
      </c>
      <c r="X590" s="372">
        <f t="shared" si="255"/>
        <v>23.263462152747536</v>
      </c>
      <c r="Y590" s="373">
        <f t="shared" si="256"/>
        <v>-20.882606513245534</v>
      </c>
      <c r="AA590" s="372">
        <f t="shared" si="257"/>
        <v>4.515092927194452</v>
      </c>
      <c r="AB590" s="373">
        <f t="shared" si="258"/>
        <v>-128.09154410968702</v>
      </c>
      <c r="AD590">
        <f t="shared" ref="AD590:AD613" si="262">SUM((Q591&lt;0)*(Q590&gt;0))*A590</f>
        <v>0</v>
      </c>
      <c r="AE590">
        <f t="shared" si="239"/>
        <v>0</v>
      </c>
    </row>
    <row r="591" spans="1:31" x14ac:dyDescent="0.2">
      <c r="A591" s="374">
        <v>131830</v>
      </c>
      <c r="B591" s="391">
        <f t="shared" si="259"/>
        <v>131.83000000000001</v>
      </c>
      <c r="C591" s="364">
        <f t="shared" si="240"/>
        <v>168.68057286691197</v>
      </c>
      <c r="D591" s="365">
        <f t="shared" si="241"/>
        <v>1.5648679270943167</v>
      </c>
      <c r="E591" s="365">
        <f t="shared" si="242"/>
        <v>1.8674221260926005</v>
      </c>
      <c r="F591" s="366">
        <f t="shared" si="243"/>
        <v>1.005699533191132</v>
      </c>
      <c r="G591" s="365">
        <f t="shared" si="244"/>
        <v>1</v>
      </c>
      <c r="H591" s="366">
        <f t="shared" si="245"/>
        <v>0</v>
      </c>
      <c r="I591" s="364">
        <f t="shared" si="246"/>
        <v>44755.926151950014</v>
      </c>
      <c r="J591" s="367">
        <f t="shared" si="247"/>
        <v>1.5707739833850722</v>
      </c>
      <c r="K591" s="375">
        <f t="shared" si="237"/>
        <v>27.079433928425665</v>
      </c>
      <c r="L591" s="376">
        <f t="shared" si="238"/>
        <v>1.5338595345926567</v>
      </c>
      <c r="M591" s="364">
        <f t="shared" si="248"/>
        <v>1.0606272929066436</v>
      </c>
      <c r="N591" s="367">
        <f t="shared" si="249"/>
        <v>0.33974921886613763</v>
      </c>
      <c r="O591" s="368">
        <f t="shared" si="250"/>
        <v>3.2761512330532607</v>
      </c>
      <c r="P591" s="369">
        <f t="shared" si="251"/>
        <v>1.6887243331250497</v>
      </c>
      <c r="Q591" s="370">
        <f t="shared" si="252"/>
        <v>-24.279667926399338</v>
      </c>
      <c r="R591" s="371">
        <f t="shared" si="253"/>
        <v>-150.37600468145405</v>
      </c>
      <c r="S591" s="373">
        <f t="shared" si="254"/>
        <v>29.623995318545951</v>
      </c>
      <c r="U591" s="346">
        <f t="shared" si="260"/>
        <v>131830</v>
      </c>
      <c r="V591" s="346">
        <f t="shared" si="261"/>
        <v>17379148900</v>
      </c>
      <c r="X591" s="372">
        <f t="shared" si="255"/>
        <v>23.221199021299668</v>
      </c>
      <c r="Y591" s="373">
        <f t="shared" si="256"/>
        <v>-21.581238477413546</v>
      </c>
      <c r="AA591" s="372">
        <f t="shared" si="257"/>
        <v>3.9797584068553675</v>
      </c>
      <c r="AB591" s="373">
        <f t="shared" si="258"/>
        <v>-128.79476620404051</v>
      </c>
      <c r="AD591">
        <f t="shared" si="262"/>
        <v>0</v>
      </c>
      <c r="AE591">
        <f t="shared" si="239"/>
        <v>0</v>
      </c>
    </row>
    <row r="592" spans="1:31" x14ac:dyDescent="0.2">
      <c r="A592" s="374">
        <v>144540</v>
      </c>
      <c r="B592" s="391">
        <f t="shared" si="259"/>
        <v>144.54</v>
      </c>
      <c r="C592" s="364">
        <f t="shared" si="240"/>
        <v>184.94286554999337</v>
      </c>
      <c r="D592" s="365">
        <f t="shared" si="241"/>
        <v>1.565389225148482</v>
      </c>
      <c r="E592" s="365">
        <f t="shared" si="242"/>
        <v>1.9974959130281982</v>
      </c>
      <c r="F592" s="366">
        <f t="shared" si="243"/>
        <v>1.0464736260081222</v>
      </c>
      <c r="G592" s="365">
        <f t="shared" si="244"/>
        <v>1</v>
      </c>
      <c r="H592" s="366">
        <f t="shared" si="245"/>
        <v>0</v>
      </c>
      <c r="I592" s="364">
        <f t="shared" si="246"/>
        <v>49070.936552615909</v>
      </c>
      <c r="J592" s="367">
        <f t="shared" si="247"/>
        <v>1.5707759481335071</v>
      </c>
      <c r="K592" s="375">
        <f t="shared" si="237"/>
        <v>29.686813553688342</v>
      </c>
      <c r="L592" s="376">
        <f t="shared" si="238"/>
        <v>1.5371049638635474</v>
      </c>
      <c r="M592" s="364">
        <f t="shared" si="248"/>
        <v>1.072464954816581</v>
      </c>
      <c r="N592" s="367">
        <f t="shared" si="249"/>
        <v>0.36971214253162066</v>
      </c>
      <c r="O592" s="368">
        <f t="shared" si="250"/>
        <v>3.628609800763178</v>
      </c>
      <c r="P592" s="369">
        <f t="shared" si="251"/>
        <v>1.7552390426439712</v>
      </c>
      <c r="Q592" s="370">
        <f t="shared" si="252"/>
        <v>-25.479178921996034</v>
      </c>
      <c r="R592" s="371">
        <f t="shared" si="253"/>
        <v>-153.41161380214714</v>
      </c>
      <c r="S592" s="373">
        <f t="shared" si="254"/>
        <v>26.588386197852856</v>
      </c>
      <c r="U592" s="346">
        <f t="shared" si="260"/>
        <v>144540</v>
      </c>
      <c r="V592" s="346">
        <f t="shared" si="261"/>
        <v>20891811600</v>
      </c>
      <c r="X592" s="372">
        <f t="shared" si="255"/>
        <v>23.123796902473842</v>
      </c>
      <c r="Y592" s="373">
        <f t="shared" si="256"/>
        <v>-23.112150718930547</v>
      </c>
      <c r="AA592" s="372">
        <f t="shared" si="257"/>
        <v>2.8776495300845033</v>
      </c>
      <c r="AB592" s="373">
        <f t="shared" si="258"/>
        <v>-130.29946308321655</v>
      </c>
      <c r="AD592">
        <f t="shared" si="262"/>
        <v>0</v>
      </c>
      <c r="AE592">
        <f t="shared" si="239"/>
        <v>0</v>
      </c>
    </row>
    <row r="593" spans="1:31" x14ac:dyDescent="0.2">
      <c r="A593" s="374">
        <v>158490</v>
      </c>
      <c r="B593" s="391">
        <f t="shared" si="259"/>
        <v>158.49</v>
      </c>
      <c r="C593" s="364">
        <f t="shared" si="240"/>
        <v>202.79177149424021</v>
      </c>
      <c r="D593" s="365">
        <f t="shared" si="241"/>
        <v>1.565865140260996</v>
      </c>
      <c r="E593" s="365">
        <f t="shared" si="242"/>
        <v>2.1435921373984859</v>
      </c>
      <c r="F593" s="366">
        <f t="shared" si="243"/>
        <v>1.0854591146515762</v>
      </c>
      <c r="G593" s="365">
        <f t="shared" si="244"/>
        <v>1</v>
      </c>
      <c r="H593" s="366">
        <f t="shared" si="245"/>
        <v>0</v>
      </c>
      <c r="I593" s="364">
        <f t="shared" si="246"/>
        <v>53806.923577918387</v>
      </c>
      <c r="J593" s="367">
        <f t="shared" si="247"/>
        <v>1.5707777418260198</v>
      </c>
      <c r="K593" s="375">
        <f t="shared" si="237"/>
        <v>32.548871130416558</v>
      </c>
      <c r="L593" s="376">
        <f t="shared" si="238"/>
        <v>1.5400684597577226</v>
      </c>
      <c r="M593" s="364">
        <f t="shared" si="248"/>
        <v>1.0865398556561445</v>
      </c>
      <c r="N593" s="367">
        <f t="shared" si="249"/>
        <v>0.40181469724560548</v>
      </c>
      <c r="O593" s="368">
        <f t="shared" si="250"/>
        <v>4.0377565531216106</v>
      </c>
      <c r="P593" s="369">
        <f t="shared" si="251"/>
        <v>1.8216963586551225</v>
      </c>
      <c r="Q593" s="370">
        <f t="shared" si="252"/>
        <v>-26.708386381623267</v>
      </c>
      <c r="R593" s="371">
        <f t="shared" si="253"/>
        <v>-156.68254935728859</v>
      </c>
      <c r="S593" s="373">
        <f t="shared" si="254"/>
        <v>23.317450642711407</v>
      </c>
      <c r="U593" s="346">
        <f t="shared" si="260"/>
        <v>158490</v>
      </c>
      <c r="V593" s="346">
        <f t="shared" si="261"/>
        <v>25119080100</v>
      </c>
      <c r="X593" s="372">
        <f t="shared" si="255"/>
        <v>23.009716483144839</v>
      </c>
      <c r="Y593" s="373">
        <f t="shared" si="256"/>
        <v>-24.781798581207688</v>
      </c>
      <c r="AA593" s="372">
        <f t="shared" si="257"/>
        <v>1.7625224897862672</v>
      </c>
      <c r="AB593" s="373">
        <f t="shared" si="258"/>
        <v>-131.90075077608091</v>
      </c>
      <c r="AD593">
        <f t="shared" si="262"/>
        <v>0</v>
      </c>
      <c r="AE593">
        <f t="shared" si="239"/>
        <v>0</v>
      </c>
    </row>
    <row r="594" spans="1:31" x14ac:dyDescent="0.2">
      <c r="A594" s="374">
        <v>173780</v>
      </c>
      <c r="B594" s="391">
        <f t="shared" si="259"/>
        <v>173.78</v>
      </c>
      <c r="C594" s="364">
        <f t="shared" si="240"/>
        <v>222.35523988628756</v>
      </c>
      <c r="D594" s="365">
        <f t="shared" si="241"/>
        <v>1.5662990036308224</v>
      </c>
      <c r="E594" s="365">
        <f t="shared" si="242"/>
        <v>2.3069642528464525</v>
      </c>
      <c r="F594" s="366">
        <f t="shared" si="243"/>
        <v>1.1224564425479528</v>
      </c>
      <c r="G594" s="365">
        <f t="shared" si="244"/>
        <v>1</v>
      </c>
      <c r="H594" s="366">
        <f t="shared" si="245"/>
        <v>0</v>
      </c>
      <c r="I594" s="364">
        <f t="shared" si="246"/>
        <v>58997.836955637547</v>
      </c>
      <c r="J594" s="367">
        <f t="shared" si="247"/>
        <v>1.5707793770209448</v>
      </c>
      <c r="K594" s="375">
        <f t="shared" si="237"/>
        <v>35.686123526520369</v>
      </c>
      <c r="L594" s="376">
        <f t="shared" si="238"/>
        <v>1.5427705615837761</v>
      </c>
      <c r="M594" s="364">
        <f t="shared" si="248"/>
        <v>1.1032177681264324</v>
      </c>
      <c r="N594" s="367">
        <f t="shared" si="249"/>
        <v>0.43602089732720445</v>
      </c>
      <c r="O594" s="368">
        <f t="shared" si="250"/>
        <v>4.5137235140839973</v>
      </c>
      <c r="P594" s="369">
        <f t="shared" si="251"/>
        <v>1.8879078682414381</v>
      </c>
      <c r="Q594" s="370">
        <f t="shared" si="252"/>
        <v>-27.971250826710499</v>
      </c>
      <c r="R594" s="371">
        <f t="shared" si="253"/>
        <v>-160.18640277120664</v>
      </c>
      <c r="S594" s="373">
        <f t="shared" si="254"/>
        <v>19.813597228793355</v>
      </c>
      <c r="U594" s="346">
        <f t="shared" si="260"/>
        <v>173780</v>
      </c>
      <c r="V594" s="346">
        <f t="shared" si="261"/>
        <v>30199488400</v>
      </c>
      <c r="X594" s="372">
        <f t="shared" si="255"/>
        <v>22.876715077370879</v>
      </c>
      <c r="Y594" s="373">
        <f t="shared" si="256"/>
        <v>-26.586944140446455</v>
      </c>
      <c r="AA594" s="372">
        <f t="shared" si="257"/>
        <v>0.63265945047299765</v>
      </c>
      <c r="AB594" s="373">
        <f t="shared" si="258"/>
        <v>-133.59945863076024</v>
      </c>
      <c r="AD594">
        <f t="shared" si="262"/>
        <v>0</v>
      </c>
      <c r="AE594">
        <f t="shared" si="239"/>
        <v>0</v>
      </c>
    </row>
    <row r="595" spans="1:31" x14ac:dyDescent="0.2">
      <c r="A595" s="374">
        <v>190550</v>
      </c>
      <c r="B595" s="391">
        <f t="shared" si="259"/>
        <v>190.55</v>
      </c>
      <c r="C595" s="364">
        <f t="shared" si="240"/>
        <v>243.812399926377</v>
      </c>
      <c r="D595" s="365">
        <f t="shared" si="241"/>
        <v>1.5666948011790562</v>
      </c>
      <c r="E595" s="365">
        <f t="shared" si="242"/>
        <v>2.4892784416908036</v>
      </c>
      <c r="F595" s="366">
        <f t="shared" si="243"/>
        <v>1.1573989376100813</v>
      </c>
      <c r="G595" s="365">
        <f t="shared" si="244"/>
        <v>1</v>
      </c>
      <c r="H595" s="366">
        <f t="shared" si="245"/>
        <v>0</v>
      </c>
      <c r="I595" s="364">
        <f t="shared" si="246"/>
        <v>64691.20630466679</v>
      </c>
      <c r="J595" s="367">
        <f t="shared" si="247"/>
        <v>1.5707808687433753</v>
      </c>
      <c r="K595" s="375">
        <f t="shared" si="237"/>
        <v>39.127296417856861</v>
      </c>
      <c r="L595" s="376">
        <f t="shared" si="238"/>
        <v>1.5452359382996184</v>
      </c>
      <c r="M595" s="364">
        <f t="shared" si="248"/>
        <v>1.1229469835450623</v>
      </c>
      <c r="N595" s="367">
        <f t="shared" si="249"/>
        <v>0.47232264326684725</v>
      </c>
      <c r="O595" s="368">
        <f t="shared" si="250"/>
        <v>5.0698270143514668</v>
      </c>
      <c r="P595" s="369">
        <f t="shared" si="251"/>
        <v>1.9537828713218879</v>
      </c>
      <c r="Q595" s="370">
        <f t="shared" si="252"/>
        <v>-29.274464739491624</v>
      </c>
      <c r="R595" s="371">
        <f t="shared" si="253"/>
        <v>-163.92014908370248</v>
      </c>
      <c r="S595" s="373">
        <f t="shared" si="254"/>
        <v>16.079850916297517</v>
      </c>
      <c r="U595" s="346">
        <f t="shared" si="260"/>
        <v>190550</v>
      </c>
      <c r="V595" s="346">
        <f t="shared" si="261"/>
        <v>36309302500</v>
      </c>
      <c r="X595" s="372">
        <f t="shared" si="255"/>
        <v>22.722181092743856</v>
      </c>
      <c r="Y595" s="373">
        <f t="shared" si="256"/>
        <v>-28.525710762631412</v>
      </c>
      <c r="AA595" s="372">
        <f t="shared" si="257"/>
        <v>-0.51602047768110326</v>
      </c>
      <c r="AB595" s="373">
        <f t="shared" si="258"/>
        <v>-135.39443832107111</v>
      </c>
      <c r="AD595">
        <f t="shared" si="262"/>
        <v>0</v>
      </c>
      <c r="AE595">
        <f t="shared" si="239"/>
        <v>0</v>
      </c>
    </row>
    <row r="596" spans="1:31" x14ac:dyDescent="0.2">
      <c r="A596" s="374">
        <v>208930</v>
      </c>
      <c r="B596" s="391">
        <f t="shared" si="259"/>
        <v>208.93</v>
      </c>
      <c r="C596" s="364">
        <f t="shared" si="240"/>
        <v>267.32958618032234</v>
      </c>
      <c r="D596" s="365">
        <f t="shared" si="241"/>
        <v>1.5670556172593626</v>
      </c>
      <c r="E596" s="365">
        <f t="shared" si="242"/>
        <v>2.6920886493257523</v>
      </c>
      <c r="F596" s="366">
        <f t="shared" si="243"/>
        <v>1.1902165848641761</v>
      </c>
      <c r="G596" s="365">
        <f t="shared" si="244"/>
        <v>1</v>
      </c>
      <c r="H596" s="366">
        <f t="shared" si="245"/>
        <v>0</v>
      </c>
      <c r="I596" s="364">
        <f t="shared" si="246"/>
        <v>70931.166271122609</v>
      </c>
      <c r="J596" s="367">
        <f t="shared" si="247"/>
        <v>1.5707822286198263</v>
      </c>
      <c r="K596" s="375">
        <f t="shared" si="237"/>
        <v>42.89906555676756</v>
      </c>
      <c r="L596" s="376">
        <f t="shared" si="238"/>
        <v>1.5474836841382673</v>
      </c>
      <c r="M596" s="364">
        <f t="shared" si="248"/>
        <v>1.1462073012926224</v>
      </c>
      <c r="N596" s="367">
        <f t="shared" si="249"/>
        <v>0.51061823650627436</v>
      </c>
      <c r="O596" s="368">
        <f t="shared" si="250"/>
        <v>5.7214946447132178</v>
      </c>
      <c r="P596" s="369">
        <f t="shared" si="251"/>
        <v>2.0190961777038225</v>
      </c>
      <c r="Q596" s="370">
        <f t="shared" si="252"/>
        <v>-30.622854525215967</v>
      </c>
      <c r="R596" s="371">
        <f t="shared" si="253"/>
        <v>-167.86815387909425</v>
      </c>
      <c r="S596" s="373">
        <f t="shared" si="254"/>
        <v>12.131846120905749</v>
      </c>
      <c r="U596" s="346">
        <f t="shared" si="260"/>
        <v>208930</v>
      </c>
      <c r="V596" s="346">
        <f t="shared" si="261"/>
        <v>43651744900</v>
      </c>
      <c r="X596" s="372">
        <f t="shared" si="255"/>
        <v>22.543625553444578</v>
      </c>
      <c r="Y596" s="373">
        <f t="shared" si="256"/>
        <v>-30.591178196769079</v>
      </c>
      <c r="AA596" s="372">
        <f t="shared" si="257"/>
        <v>-1.6858547241061705</v>
      </c>
      <c r="AB596" s="373">
        <f t="shared" si="258"/>
        <v>-137.2769756823252</v>
      </c>
      <c r="AD596">
        <f t="shared" si="262"/>
        <v>0</v>
      </c>
      <c r="AE596">
        <f t="shared" si="239"/>
        <v>0</v>
      </c>
    </row>
    <row r="597" spans="1:31" x14ac:dyDescent="0.2">
      <c r="A597" s="374">
        <v>229090</v>
      </c>
      <c r="B597" s="391">
        <f t="shared" si="259"/>
        <v>229.09</v>
      </c>
      <c r="C597" s="364">
        <f t="shared" si="240"/>
        <v>293.12431342384366</v>
      </c>
      <c r="D597" s="365">
        <f t="shared" si="241"/>
        <v>1.567384798327413</v>
      </c>
      <c r="E597" s="365">
        <f t="shared" si="242"/>
        <v>2.9173859092253873</v>
      </c>
      <c r="F597" s="366">
        <f t="shared" si="243"/>
        <v>1.2209295948838681</v>
      </c>
      <c r="G597" s="365">
        <f t="shared" si="244"/>
        <v>1</v>
      </c>
      <c r="H597" s="366">
        <f t="shared" si="245"/>
        <v>0</v>
      </c>
      <c r="I597" s="364">
        <f t="shared" si="246"/>
        <v>77775.431392235492</v>
      </c>
      <c r="J597" s="367">
        <f t="shared" si="247"/>
        <v>1.5707834692641556</v>
      </c>
      <c r="K597" s="375">
        <f t="shared" si="237"/>
        <v>47.036316734217564</v>
      </c>
      <c r="L597" s="376">
        <f t="shared" si="238"/>
        <v>1.5495345568005447</v>
      </c>
      <c r="M597" s="364">
        <f t="shared" si="248"/>
        <v>1.1735711436815561</v>
      </c>
      <c r="N597" s="367">
        <f t="shared" si="249"/>
        <v>0.55081160786441641</v>
      </c>
      <c r="O597" s="368">
        <f t="shared" si="250"/>
        <v>6.4885026862952175</v>
      </c>
      <c r="P597" s="369">
        <f t="shared" si="251"/>
        <v>2.083679155882872</v>
      </c>
      <c r="Q597" s="370">
        <f t="shared" si="252"/>
        <v>-32.022882355070358</v>
      </c>
      <c r="R597" s="371">
        <f t="shared" si="253"/>
        <v>-172.01309607653934</v>
      </c>
      <c r="S597" s="373">
        <f t="shared" si="254"/>
        <v>7.9869039234606589</v>
      </c>
      <c r="U597" s="346">
        <f t="shared" si="260"/>
        <v>229090</v>
      </c>
      <c r="V597" s="346">
        <f t="shared" si="261"/>
        <v>52482228100</v>
      </c>
      <c r="X597" s="372">
        <f t="shared" si="255"/>
        <v>22.338303435897338</v>
      </c>
      <c r="Y597" s="373">
        <f t="shared" si="256"/>
        <v>-32.776653478306585</v>
      </c>
      <c r="AA597" s="372">
        <f t="shared" si="257"/>
        <v>-2.8805604364133202</v>
      </c>
      <c r="AB597" s="373">
        <f t="shared" si="258"/>
        <v>-139.23644259823274</v>
      </c>
      <c r="AD597">
        <f t="shared" si="262"/>
        <v>0</v>
      </c>
      <c r="AE597">
        <f t="shared" si="239"/>
        <v>0</v>
      </c>
    </row>
    <row r="598" spans="1:31" x14ac:dyDescent="0.2">
      <c r="A598" s="374">
        <v>251190</v>
      </c>
      <c r="B598" s="391">
        <f t="shared" si="259"/>
        <v>251.19</v>
      </c>
      <c r="C598" s="364">
        <f t="shared" si="240"/>
        <v>321.40130171951034</v>
      </c>
      <c r="D598" s="365">
        <f t="shared" si="241"/>
        <v>1.5676849466974936</v>
      </c>
      <c r="E598" s="365">
        <f t="shared" si="242"/>
        <v>3.1670522069155278</v>
      </c>
      <c r="F598" s="366">
        <f t="shared" si="243"/>
        <v>1.249548253024479</v>
      </c>
      <c r="G598" s="365">
        <f t="shared" si="244"/>
        <v>1</v>
      </c>
      <c r="H598" s="366">
        <f t="shared" si="245"/>
        <v>0</v>
      </c>
      <c r="I598" s="364">
        <f t="shared" si="246"/>
        <v>85278.32123245878</v>
      </c>
      <c r="J598" s="367">
        <f t="shared" si="247"/>
        <v>1.5707846004852604</v>
      </c>
      <c r="K598" s="375">
        <f t="shared" si="237"/>
        <v>51.57188533409456</v>
      </c>
      <c r="L598" s="376">
        <f t="shared" si="238"/>
        <v>1.5514047015170387</v>
      </c>
      <c r="M598" s="364">
        <f t="shared" si="248"/>
        <v>1.2056406877177823</v>
      </c>
      <c r="N598" s="367">
        <f t="shared" si="249"/>
        <v>0.59270172148058164</v>
      </c>
      <c r="O598" s="368">
        <f t="shared" si="250"/>
        <v>7.3938611515840513</v>
      </c>
      <c r="P598" s="369">
        <f t="shared" si="251"/>
        <v>2.147242438469922</v>
      </c>
      <c r="Q598" s="370">
        <f t="shared" si="252"/>
        <v>-33.478607039663181</v>
      </c>
      <c r="R598" s="371">
        <f t="shared" si="253"/>
        <v>-176.32551294214201</v>
      </c>
      <c r="S598" s="373">
        <f t="shared" si="254"/>
        <v>3.6744870578579878</v>
      </c>
      <c r="U598" s="346">
        <f t="shared" si="260"/>
        <v>251190</v>
      </c>
      <c r="V598" s="346">
        <f t="shared" si="261"/>
        <v>63096416100</v>
      </c>
      <c r="X598" s="372">
        <f t="shared" si="255"/>
        <v>22.103803732067348</v>
      </c>
      <c r="Y598" s="373">
        <f t="shared" si="256"/>
        <v>-35.069693609317753</v>
      </c>
      <c r="AA598" s="372">
        <f t="shared" si="257"/>
        <v>-4.1017854171761501</v>
      </c>
      <c r="AB598" s="373">
        <f t="shared" si="258"/>
        <v>-141.25581933282425</v>
      </c>
      <c r="AD598">
        <f t="shared" si="262"/>
        <v>0</v>
      </c>
      <c r="AE598">
        <f t="shared" si="239"/>
        <v>0</v>
      </c>
    </row>
    <row r="599" spans="1:31" x14ac:dyDescent="0.2">
      <c r="A599" s="374">
        <v>275420</v>
      </c>
      <c r="B599" s="391">
        <f t="shared" si="259"/>
        <v>275.42</v>
      </c>
      <c r="C599" s="364">
        <f t="shared" si="240"/>
        <v>352.40365638395923</v>
      </c>
      <c r="D599" s="365">
        <f t="shared" si="241"/>
        <v>1.56795866797968</v>
      </c>
      <c r="E599" s="365">
        <f t="shared" si="242"/>
        <v>3.4433077682579629</v>
      </c>
      <c r="F599" s="366">
        <f t="shared" si="243"/>
        <v>1.2761322522540912</v>
      </c>
      <c r="G599" s="365">
        <f t="shared" si="244"/>
        <v>1</v>
      </c>
      <c r="H599" s="366">
        <f t="shared" si="245"/>
        <v>0</v>
      </c>
      <c r="I599" s="364">
        <f t="shared" si="246"/>
        <v>93504.340274581671</v>
      </c>
      <c r="J599" s="367">
        <f t="shared" si="247"/>
        <v>1.5707856321041787</v>
      </c>
      <c r="K599" s="375">
        <f t="shared" ref="K599:K613" si="263">SQRT(1+(A599/Zero2)^2)</f>
        <v>56.544764873394527</v>
      </c>
      <c r="L599" s="376">
        <f t="shared" ref="L599:L613" si="264">ATAN(A599/Zero2)</f>
        <v>1.5531103016301853</v>
      </c>
      <c r="M599" s="364">
        <f t="shared" si="248"/>
        <v>1.2430982193323221</v>
      </c>
      <c r="N599" s="367">
        <f t="shared" si="249"/>
        <v>0.63606136726374185</v>
      </c>
      <c r="O599" s="368">
        <f t="shared" si="250"/>
        <v>8.4660338578856464</v>
      </c>
      <c r="P599" s="369">
        <f t="shared" si="251"/>
        <v>2.2095203259708835</v>
      </c>
      <c r="Q599" s="370">
        <f t="shared" si="252"/>
        <v>-34.99424998015327</v>
      </c>
      <c r="R599" s="371">
        <f t="shared" si="253"/>
        <v>-180.77296529776302</v>
      </c>
      <c r="S599" s="373">
        <f t="shared" si="254"/>
        <v>-0.77296529776302236</v>
      </c>
      <c r="U599" s="346">
        <f t="shared" si="260"/>
        <v>275420</v>
      </c>
      <c r="V599" s="346">
        <f t="shared" si="261"/>
        <v>75856176400</v>
      </c>
      <c r="X599" s="372">
        <f t="shared" si="255"/>
        <v>21.837778088013525</v>
      </c>
      <c r="Y599" s="373">
        <f t="shared" si="256"/>
        <v>-37.456353735991947</v>
      </c>
      <c r="AA599" s="372">
        <f t="shared" si="257"/>
        <v>-5.3514027136124174</v>
      </c>
      <c r="AB599" s="373">
        <f t="shared" si="258"/>
        <v>-143.31661156177103</v>
      </c>
      <c r="AD599">
        <f t="shared" si="262"/>
        <v>0</v>
      </c>
      <c r="AE599">
        <f t="shared" si="239"/>
        <v>0</v>
      </c>
    </row>
    <row r="600" spans="1:31" x14ac:dyDescent="0.2">
      <c r="A600" s="374">
        <v>302000</v>
      </c>
      <c r="B600" s="391">
        <f t="shared" si="259"/>
        <v>302</v>
      </c>
      <c r="C600" s="364">
        <f t="shared" si="240"/>
        <v>386.41286806424716</v>
      </c>
      <c r="D600" s="365">
        <f t="shared" si="241"/>
        <v>1.5682084183713958</v>
      </c>
      <c r="E600" s="365">
        <f t="shared" si="242"/>
        <v>3.748721781431505</v>
      </c>
      <c r="F600" s="366">
        <f t="shared" si="243"/>
        <v>1.3007691869301399</v>
      </c>
      <c r="G600" s="365">
        <f t="shared" si="244"/>
        <v>1</v>
      </c>
      <c r="H600" s="366">
        <f t="shared" si="245"/>
        <v>0</v>
      </c>
      <c r="I600" s="364">
        <f t="shared" si="246"/>
        <v>102528.17791972954</v>
      </c>
      <c r="J600" s="367">
        <f t="shared" si="247"/>
        <v>1.5707865733786133</v>
      </c>
      <c r="K600" s="375">
        <f t="shared" si="263"/>
        <v>62.000107479503662</v>
      </c>
      <c r="L600" s="376">
        <f t="shared" si="264"/>
        <v>1.554666623102523</v>
      </c>
      <c r="M600" s="364">
        <f t="shared" si="248"/>
        <v>1.2867094571393716</v>
      </c>
      <c r="N600" s="367">
        <f t="shared" si="249"/>
        <v>0.68063031583952105</v>
      </c>
      <c r="O600" s="368">
        <f t="shared" si="250"/>
        <v>9.7400653214124215</v>
      </c>
      <c r="P600" s="369">
        <f t="shared" si="251"/>
        <v>2.2702601362089485</v>
      </c>
      <c r="Q600" s="370">
        <f t="shared" si="252"/>
        <v>-36.573693054941501</v>
      </c>
      <c r="R600" s="371">
        <f t="shared" si="253"/>
        <v>-185.32031327417531</v>
      </c>
      <c r="S600" s="373">
        <f t="shared" si="254"/>
        <v>-5.3203132741753052</v>
      </c>
      <c r="U600" s="346">
        <f t="shared" si="260"/>
        <v>302000</v>
      </c>
      <c r="V600" s="346">
        <f t="shared" si="261"/>
        <v>91204000000</v>
      </c>
      <c r="X600" s="372">
        <f t="shared" si="255"/>
        <v>21.538048532677067</v>
      </c>
      <c r="Y600" s="373">
        <f t="shared" si="256"/>
        <v>-39.920849668657731</v>
      </c>
      <c r="AA600" s="372">
        <f t="shared" si="257"/>
        <v>-6.6311162330641924</v>
      </c>
      <c r="AB600" s="373">
        <f t="shared" si="258"/>
        <v>-145.39946360551764</v>
      </c>
      <c r="AD600">
        <f t="shared" si="262"/>
        <v>0</v>
      </c>
      <c r="AE600">
        <f t="shared" si="239"/>
        <v>0</v>
      </c>
    </row>
    <row r="601" spans="1:31" x14ac:dyDescent="0.2">
      <c r="A601" s="374">
        <v>331130</v>
      </c>
      <c r="B601" s="391">
        <f t="shared" si="259"/>
        <v>331.13</v>
      </c>
      <c r="C601" s="364">
        <f t="shared" si="240"/>
        <v>423.68483752417666</v>
      </c>
      <c r="D601" s="365">
        <f t="shared" si="241"/>
        <v>1.5684360796491521</v>
      </c>
      <c r="E601" s="365">
        <f t="shared" si="242"/>
        <v>4.0856391686684859</v>
      </c>
      <c r="F601" s="366">
        <f t="shared" si="243"/>
        <v>1.3235244341859156</v>
      </c>
      <c r="G601" s="365">
        <f t="shared" si="244"/>
        <v>1</v>
      </c>
      <c r="H601" s="366">
        <f t="shared" si="245"/>
        <v>0</v>
      </c>
      <c r="I601" s="364">
        <f t="shared" si="246"/>
        <v>112417.73362347158</v>
      </c>
      <c r="J601" s="367">
        <f t="shared" si="247"/>
        <v>1.5707874314011916</v>
      </c>
      <c r="K601" s="375">
        <f t="shared" si="263"/>
        <v>67.978961632613633</v>
      </c>
      <c r="L601" s="376">
        <f t="shared" si="264"/>
        <v>1.5560853626136575</v>
      </c>
      <c r="M601" s="364">
        <f t="shared" si="248"/>
        <v>1.3372357843063631</v>
      </c>
      <c r="N601" s="367">
        <f t="shared" si="249"/>
        <v>0.72603710666201315</v>
      </c>
      <c r="O601" s="368">
        <f t="shared" si="250"/>
        <v>11.256219082128309</v>
      </c>
      <c r="P601" s="369">
        <f t="shared" si="251"/>
        <v>2.3291242850078873</v>
      </c>
      <c r="Q601" s="370">
        <f t="shared" si="252"/>
        <v>-38.217337241720706</v>
      </c>
      <c r="R601" s="371">
        <f t="shared" si="253"/>
        <v>-189.92262382130306</v>
      </c>
      <c r="S601" s="373">
        <f t="shared" si="254"/>
        <v>-9.9226238213030626</v>
      </c>
      <c r="U601" s="346">
        <f t="shared" si="260"/>
        <v>331130</v>
      </c>
      <c r="V601" s="346">
        <f t="shared" si="261"/>
        <v>109647076900</v>
      </c>
      <c r="X601" s="372">
        <f t="shared" si="255"/>
        <v>21.203308557036777</v>
      </c>
      <c r="Y601" s="373">
        <f t="shared" si="256"/>
        <v>-42.441228521755825</v>
      </c>
      <c r="AA601" s="372">
        <f t="shared" si="257"/>
        <v>-7.9400204442031086</v>
      </c>
      <c r="AB601" s="373">
        <f t="shared" si="258"/>
        <v>-147.48139529954724</v>
      </c>
      <c r="AD601">
        <f t="shared" si="262"/>
        <v>0</v>
      </c>
      <c r="AE601">
        <f t="shared" si="239"/>
        <v>0</v>
      </c>
    </row>
    <row r="602" spans="1:31" x14ac:dyDescent="0.2">
      <c r="A602" s="374">
        <v>363080</v>
      </c>
      <c r="B602" s="391">
        <f t="shared" si="259"/>
        <v>363.08</v>
      </c>
      <c r="C602" s="364">
        <f t="shared" si="240"/>
        <v>464.5650310040142</v>
      </c>
      <c r="D602" s="365">
        <f t="shared" si="241"/>
        <v>1.5686437739648085</v>
      </c>
      <c r="E602" s="365">
        <f t="shared" si="242"/>
        <v>4.4572190182577254</v>
      </c>
      <c r="F602" s="366">
        <f t="shared" si="243"/>
        <v>1.3445150695169263</v>
      </c>
      <c r="G602" s="365">
        <f t="shared" si="244"/>
        <v>1</v>
      </c>
      <c r="H602" s="366">
        <f t="shared" si="245"/>
        <v>0</v>
      </c>
      <c r="I602" s="364">
        <f t="shared" si="246"/>
        <v>123264.67165082705</v>
      </c>
      <c r="J602" s="367">
        <f t="shared" si="247"/>
        <v>1.5707882141703577</v>
      </c>
      <c r="K602" s="375">
        <f t="shared" si="263"/>
        <v>74.536744077495129</v>
      </c>
      <c r="L602" s="376">
        <f t="shared" si="264"/>
        <v>1.5573797224893899</v>
      </c>
      <c r="M602" s="364">
        <f t="shared" si="248"/>
        <v>1.3955790377921775</v>
      </c>
      <c r="N602" s="367">
        <f t="shared" si="249"/>
        <v>0.77195485887264603</v>
      </c>
      <c r="O602" s="368">
        <f t="shared" si="250"/>
        <v>13.065692795715858</v>
      </c>
      <c r="P602" s="369">
        <f t="shared" si="251"/>
        <v>2.3859007261020024</v>
      </c>
      <c r="Q602" s="370">
        <f t="shared" si="252"/>
        <v>-39.927214983374661</v>
      </c>
      <c r="R602" s="371">
        <f t="shared" si="253"/>
        <v>-194.54167636871369</v>
      </c>
      <c r="S602" s="373">
        <f t="shared" si="254"/>
        <v>-14.541676368713695</v>
      </c>
      <c r="U602" s="346">
        <f t="shared" si="260"/>
        <v>363080</v>
      </c>
      <c r="V602" s="346">
        <f t="shared" si="261"/>
        <v>131827086400</v>
      </c>
      <c r="X602" s="372">
        <f t="shared" si="255"/>
        <v>20.832221476692521</v>
      </c>
      <c r="Y602" s="373">
        <f t="shared" si="256"/>
        <v>-44.998005422393149</v>
      </c>
      <c r="AA602" s="372">
        <f t="shared" si="257"/>
        <v>-9.2788111055128049</v>
      </c>
      <c r="AB602" s="373">
        <f t="shared" si="258"/>
        <v>-149.54367094632053</v>
      </c>
      <c r="AD602">
        <f t="shared" si="262"/>
        <v>0</v>
      </c>
      <c r="AE602">
        <f t="shared" ref="AE602:AE613" si="265">IF(AD602&gt;0,S602,0)</f>
        <v>0</v>
      </c>
    </row>
    <row r="603" spans="1:31" x14ac:dyDescent="0.2">
      <c r="A603" s="374">
        <v>398110</v>
      </c>
      <c r="B603" s="391">
        <f t="shared" si="259"/>
        <v>398.11</v>
      </c>
      <c r="C603" s="364">
        <f t="shared" si="240"/>
        <v>509.38611988142645</v>
      </c>
      <c r="D603" s="365">
        <f t="shared" si="241"/>
        <v>1.5688331782062417</v>
      </c>
      <c r="E603" s="365">
        <f t="shared" si="242"/>
        <v>4.8665145292743688</v>
      </c>
      <c r="F603" s="366">
        <f t="shared" si="243"/>
        <v>1.3638361749783097</v>
      </c>
      <c r="G603" s="365">
        <f t="shared" si="244"/>
        <v>1</v>
      </c>
      <c r="H603" s="366">
        <f t="shared" si="245"/>
        <v>0</v>
      </c>
      <c r="I603" s="364">
        <f t="shared" si="246"/>
        <v>135157.26129403734</v>
      </c>
      <c r="J603" s="367">
        <f t="shared" si="247"/>
        <v>1.5707889280063267</v>
      </c>
      <c r="K603" s="375">
        <f t="shared" si="263"/>
        <v>81.726820227578358</v>
      </c>
      <c r="L603" s="376">
        <f t="shared" si="264"/>
        <v>1.5585601361329875</v>
      </c>
      <c r="M603" s="364">
        <f t="shared" si="248"/>
        <v>1.4626410627292372</v>
      </c>
      <c r="N603" s="367">
        <f t="shared" si="249"/>
        <v>0.81798272654264714</v>
      </c>
      <c r="O603" s="368">
        <f t="shared" si="250"/>
        <v>15.228178356770556</v>
      </c>
      <c r="P603" s="369">
        <f t="shared" si="251"/>
        <v>2.4403395769822769</v>
      </c>
      <c r="Q603" s="370">
        <f t="shared" si="252"/>
        <v>-41.70225404845597</v>
      </c>
      <c r="R603" s="371">
        <f t="shared" si="253"/>
        <v>-199.13423777354302</v>
      </c>
      <c r="S603" s="373">
        <f t="shared" si="254"/>
        <v>-19.13423777354302</v>
      </c>
      <c r="U603" s="346">
        <f t="shared" si="260"/>
        <v>398110</v>
      </c>
      <c r="V603" s="346">
        <f t="shared" si="261"/>
        <v>158491572100</v>
      </c>
      <c r="X603" s="372">
        <f t="shared" si="255"/>
        <v>20.424423475749528</v>
      </c>
      <c r="Y603" s="373">
        <f t="shared" si="256"/>
        <v>-47.567616162737565</v>
      </c>
      <c r="AA603" s="372">
        <f t="shared" si="257"/>
        <v>-10.646052169651128</v>
      </c>
      <c r="AB603" s="373">
        <f t="shared" si="258"/>
        <v>-151.56662161080544</v>
      </c>
      <c r="AD603">
        <f t="shared" si="262"/>
        <v>0</v>
      </c>
      <c r="AE603">
        <f t="shared" si="265"/>
        <v>0</v>
      </c>
    </row>
    <row r="604" spans="1:31" x14ac:dyDescent="0.2">
      <c r="A604" s="374">
        <v>436520</v>
      </c>
      <c r="B604" s="391">
        <f t="shared" si="259"/>
        <v>436.52</v>
      </c>
      <c r="C604" s="364">
        <f t="shared" si="240"/>
        <v>558.53195590066184</v>
      </c>
      <c r="D604" s="365">
        <f t="shared" si="241"/>
        <v>1.5690059179853446</v>
      </c>
      <c r="E604" s="365">
        <f t="shared" si="242"/>
        <v>5.3170530931295588</v>
      </c>
      <c r="F604" s="366">
        <f t="shared" si="243"/>
        <v>1.3815954374874582</v>
      </c>
      <c r="G604" s="365">
        <f t="shared" si="244"/>
        <v>1</v>
      </c>
      <c r="H604" s="366">
        <f t="shared" si="245"/>
        <v>0</v>
      </c>
      <c r="I604" s="364">
        <f t="shared" si="246"/>
        <v>148197.35173645851</v>
      </c>
      <c r="J604" s="367">
        <f t="shared" si="247"/>
        <v>1.5707895790359907</v>
      </c>
      <c r="K604" s="375">
        <f t="shared" si="263"/>
        <v>89.610766520985379</v>
      </c>
      <c r="L604" s="376">
        <f t="shared" si="264"/>
        <v>1.5596367218137481</v>
      </c>
      <c r="M604" s="364">
        <f t="shared" si="248"/>
        <v>1.5394054868819065</v>
      </c>
      <c r="N604" s="367">
        <f t="shared" si="249"/>
        <v>0.86373625692684863</v>
      </c>
      <c r="O604" s="368">
        <f t="shared" si="250"/>
        <v>17.816363321572823</v>
      </c>
      <c r="P604" s="369">
        <f t="shared" si="251"/>
        <v>2.4922596048407462</v>
      </c>
      <c r="Q604" s="370">
        <f t="shared" si="252"/>
        <v>-43.54104985355562</v>
      </c>
      <c r="R604" s="371">
        <f t="shared" si="253"/>
        <v>-203.66124039276394</v>
      </c>
      <c r="S604" s="373">
        <f t="shared" si="254"/>
        <v>-23.661240392763943</v>
      </c>
      <c r="U604" s="346">
        <f t="shared" si="260"/>
        <v>436520</v>
      </c>
      <c r="V604" s="346">
        <f t="shared" si="261"/>
        <v>190549710400</v>
      </c>
      <c r="X604" s="372">
        <f t="shared" si="255"/>
        <v>19.980008715087365</v>
      </c>
      <c r="Y604" s="373">
        <f t="shared" si="256"/>
        <v>-50.127453839961198</v>
      </c>
      <c r="AA604" s="372">
        <f t="shared" si="257"/>
        <v>-12.040433214088607</v>
      </c>
      <c r="AB604" s="373">
        <f t="shared" si="258"/>
        <v>-153.5337865528027</v>
      </c>
      <c r="AD604">
        <f t="shared" si="262"/>
        <v>0</v>
      </c>
      <c r="AE604">
        <f t="shared" si="265"/>
        <v>0</v>
      </c>
    </row>
    <row r="605" spans="1:31" x14ac:dyDescent="0.2">
      <c r="A605" s="374">
        <v>478630</v>
      </c>
      <c r="B605" s="391">
        <f t="shared" si="259"/>
        <v>478.63</v>
      </c>
      <c r="C605" s="364">
        <f t="shared" si="240"/>
        <v>612.4119810667213</v>
      </c>
      <c r="D605" s="365">
        <f t="shared" si="241"/>
        <v>1.5691634383549191</v>
      </c>
      <c r="E605" s="365">
        <f t="shared" si="242"/>
        <v>5.8126051909457841</v>
      </c>
      <c r="F605" s="366">
        <f t="shared" si="243"/>
        <v>1.3978962579585386</v>
      </c>
      <c r="G605" s="365">
        <f t="shared" si="244"/>
        <v>1</v>
      </c>
      <c r="H605" s="366">
        <f t="shared" si="245"/>
        <v>0</v>
      </c>
      <c r="I605" s="364">
        <f t="shared" si="246"/>
        <v>162493.58210700421</v>
      </c>
      <c r="J605" s="367">
        <f t="shared" si="247"/>
        <v>1.5707901727056888</v>
      </c>
      <c r="K605" s="375">
        <f t="shared" si="263"/>
        <v>98.254265390529042</v>
      </c>
      <c r="L605" s="376">
        <f t="shared" si="264"/>
        <v>1.5606184758791244</v>
      </c>
      <c r="M605" s="364">
        <f t="shared" si="248"/>
        <v>1.6268966699377165</v>
      </c>
      <c r="N605" s="367">
        <f t="shared" si="249"/>
        <v>0.90883235977905941</v>
      </c>
      <c r="O605" s="368">
        <f t="shared" si="250"/>
        <v>20.91702531795616</v>
      </c>
      <c r="P605" s="369">
        <f t="shared" si="251"/>
        <v>2.5415150730746348</v>
      </c>
      <c r="Q605" s="370">
        <f t="shared" si="252"/>
        <v>-45.44081334868735</v>
      </c>
      <c r="R605" s="371">
        <f t="shared" si="253"/>
        <v>-208.08602789855487</v>
      </c>
      <c r="S605" s="373">
        <f t="shared" si="254"/>
        <v>-28.086027898554875</v>
      </c>
      <c r="U605" s="346">
        <f t="shared" si="260"/>
        <v>478630</v>
      </c>
      <c r="V605" s="346">
        <f t="shared" si="261"/>
        <v>229086676900</v>
      </c>
      <c r="X605" s="372">
        <f t="shared" si="255"/>
        <v>19.49977893444645</v>
      </c>
      <c r="Y605" s="373">
        <f t="shared" si="256"/>
        <v>-52.655053859071224</v>
      </c>
      <c r="AA605" s="372">
        <f t="shared" si="257"/>
        <v>-13.459966928579423</v>
      </c>
      <c r="AB605" s="373">
        <f t="shared" si="258"/>
        <v>-155.43097403948369</v>
      </c>
      <c r="AD605">
        <f t="shared" si="262"/>
        <v>0</v>
      </c>
      <c r="AE605">
        <f t="shared" si="265"/>
        <v>0</v>
      </c>
    </row>
    <row r="606" spans="1:31" x14ac:dyDescent="0.2">
      <c r="A606" s="374">
        <v>524810</v>
      </c>
      <c r="B606" s="391">
        <f t="shared" si="259"/>
        <v>524.80999999999995</v>
      </c>
      <c r="C606" s="364">
        <f t="shared" si="240"/>
        <v>671.49961284191295</v>
      </c>
      <c r="D606" s="365">
        <f t="shared" si="241"/>
        <v>1.5693071221095958</v>
      </c>
      <c r="E606" s="365">
        <f t="shared" si="242"/>
        <v>6.3575383808478785</v>
      </c>
      <c r="F606" s="366">
        <f t="shared" si="243"/>
        <v>1.4128468056713743</v>
      </c>
      <c r="G606" s="365">
        <f t="shared" si="244"/>
        <v>1</v>
      </c>
      <c r="H606" s="366">
        <f t="shared" si="245"/>
        <v>0</v>
      </c>
      <c r="I606" s="364">
        <f t="shared" si="246"/>
        <v>178171.56639848149</v>
      </c>
      <c r="J606" s="367">
        <f t="shared" si="247"/>
        <v>1.5707907142270767</v>
      </c>
      <c r="K606" s="375">
        <f t="shared" si="263"/>
        <v>107.7332630452714</v>
      </c>
      <c r="L606" s="376">
        <f t="shared" si="264"/>
        <v>1.5615140092254316</v>
      </c>
      <c r="M606" s="364">
        <f t="shared" si="248"/>
        <v>1.7262387757332984</v>
      </c>
      <c r="N606" s="367">
        <f t="shared" si="249"/>
        <v>0.95293386774876565</v>
      </c>
      <c r="O606" s="368">
        <f t="shared" si="250"/>
        <v>24.635962833210826</v>
      </c>
      <c r="P606" s="369">
        <f t="shared" si="251"/>
        <v>2.5880301395166256</v>
      </c>
      <c r="Q606" s="370">
        <f t="shared" si="252"/>
        <v>-47.398777805773413</v>
      </c>
      <c r="R606" s="371">
        <f t="shared" si="253"/>
        <v>-212.37832510428953</v>
      </c>
      <c r="S606" s="373">
        <f t="shared" si="254"/>
        <v>-32.37832510428953</v>
      </c>
      <c r="U606" s="346">
        <f t="shared" si="260"/>
        <v>524810</v>
      </c>
      <c r="V606" s="346">
        <f t="shared" si="261"/>
        <v>275425536100</v>
      </c>
      <c r="X606" s="372">
        <f t="shared" si="255"/>
        <v>18.984885295785986</v>
      </c>
      <c r="Y606" s="373">
        <f t="shared" si="256"/>
        <v>-55.130604884460084</v>
      </c>
      <c r="AA606" s="372">
        <f t="shared" si="257"/>
        <v>-14.903037747005023</v>
      </c>
      <c r="AB606" s="373">
        <f t="shared" si="258"/>
        <v>-157.2477202198294</v>
      </c>
      <c r="AD606">
        <f t="shared" si="262"/>
        <v>0</v>
      </c>
      <c r="AE606">
        <f t="shared" si="265"/>
        <v>0</v>
      </c>
    </row>
    <row r="607" spans="1:31" x14ac:dyDescent="0.2">
      <c r="A607" s="374">
        <v>575440</v>
      </c>
      <c r="B607" s="391">
        <f t="shared" si="259"/>
        <v>575.44000000000005</v>
      </c>
      <c r="C607" s="364">
        <f t="shared" si="240"/>
        <v>736.28106387511082</v>
      </c>
      <c r="D607" s="365">
        <f t="shared" si="241"/>
        <v>1.5694381493861529</v>
      </c>
      <c r="E607" s="365">
        <f t="shared" si="242"/>
        <v>6.9563470946981418</v>
      </c>
      <c r="F607" s="366">
        <f t="shared" si="243"/>
        <v>1.4265429424018925</v>
      </c>
      <c r="G607" s="365">
        <f t="shared" si="244"/>
        <v>1</v>
      </c>
      <c r="H607" s="366">
        <f t="shared" si="245"/>
        <v>0</v>
      </c>
      <c r="I607" s="364">
        <f t="shared" si="246"/>
        <v>195360.31357647627</v>
      </c>
      <c r="J607" s="367">
        <f t="shared" si="247"/>
        <v>1.570791208047994</v>
      </c>
      <c r="K607" s="375">
        <f t="shared" si="263"/>
        <v>118.12575904174834</v>
      </c>
      <c r="L607" s="376">
        <f t="shared" si="264"/>
        <v>1.56233067160872</v>
      </c>
      <c r="M607" s="364">
        <f t="shared" si="248"/>
        <v>1.8385704249128207</v>
      </c>
      <c r="N607" s="367">
        <f t="shared" si="249"/>
        <v>0.99571761800358738</v>
      </c>
      <c r="O607" s="368">
        <f t="shared" si="250"/>
        <v>29.098262893675344</v>
      </c>
      <c r="P607" s="369">
        <f t="shared" si="251"/>
        <v>2.6317494429491357</v>
      </c>
      <c r="Q607" s="370">
        <f t="shared" si="252"/>
        <v>-49.410491492796609</v>
      </c>
      <c r="R607" s="371">
        <f t="shared" si="253"/>
        <v>-216.51059846594882</v>
      </c>
      <c r="S607" s="373">
        <f t="shared" si="254"/>
        <v>-36.510598465948817</v>
      </c>
      <c r="U607" s="346">
        <f t="shared" si="260"/>
        <v>575440</v>
      </c>
      <c r="V607" s="346">
        <f t="shared" si="261"/>
        <v>331131193600</v>
      </c>
      <c r="X607" s="372">
        <f t="shared" si="255"/>
        <v>18.437234305755862</v>
      </c>
      <c r="Y607" s="373">
        <f t="shared" si="256"/>
        <v>-57.53517019455564</v>
      </c>
      <c r="AA607" s="372">
        <f t="shared" si="257"/>
        <v>-16.367100443998094</v>
      </c>
      <c r="AB607" s="373">
        <f t="shared" si="258"/>
        <v>-158.97542827139324</v>
      </c>
      <c r="AD607">
        <f t="shared" si="262"/>
        <v>0</v>
      </c>
      <c r="AE607">
        <f t="shared" si="265"/>
        <v>0</v>
      </c>
    </row>
    <row r="608" spans="1:31" x14ac:dyDescent="0.2">
      <c r="A608" s="374">
        <v>630960</v>
      </c>
      <c r="B608" s="391">
        <f t="shared" si="259"/>
        <v>630.96</v>
      </c>
      <c r="C608" s="364">
        <f t="shared" si="240"/>
        <v>807.31931734714908</v>
      </c>
      <c r="D608" s="365">
        <f t="shared" si="241"/>
        <v>1.569557659226527</v>
      </c>
      <c r="E608" s="365">
        <f t="shared" si="242"/>
        <v>7.6142431243261051</v>
      </c>
      <c r="F608" s="366">
        <f t="shared" si="243"/>
        <v>1.4390830039621472</v>
      </c>
      <c r="G608" s="365">
        <f t="shared" si="244"/>
        <v>1</v>
      </c>
      <c r="H608" s="366">
        <f t="shared" si="245"/>
        <v>0</v>
      </c>
      <c r="I608" s="364">
        <f t="shared" si="246"/>
        <v>214209.20244324656</v>
      </c>
      <c r="J608" s="367">
        <f t="shared" si="247"/>
        <v>1.5707916584613768</v>
      </c>
      <c r="K608" s="375">
        <f t="shared" si="263"/>
        <v>129.52206936384221</v>
      </c>
      <c r="L608" s="376">
        <f t="shared" si="264"/>
        <v>1.5630755581256996</v>
      </c>
      <c r="M608" s="364">
        <f t="shared" si="248"/>
        <v>1.9651521675530321</v>
      </c>
      <c r="N608" s="367">
        <f t="shared" si="249"/>
        <v>1.0369288408910791</v>
      </c>
      <c r="O608" s="368">
        <f t="shared" si="250"/>
        <v>34.456292354760855</v>
      </c>
      <c r="P608" s="369">
        <f t="shared" si="251"/>
        <v>2.6726825565222527</v>
      </c>
      <c r="Q608" s="370">
        <f t="shared" si="252"/>
        <v>-51.472016099198953</v>
      </c>
      <c r="R608" s="371">
        <f t="shared" si="253"/>
        <v>-220.46282402093408</v>
      </c>
      <c r="S608" s="373">
        <f t="shared" si="254"/>
        <v>-40.462824020934079</v>
      </c>
      <c r="U608" s="346">
        <f t="shared" si="260"/>
        <v>630960</v>
      </c>
      <c r="V608" s="346">
        <f t="shared" si="261"/>
        <v>398110521600</v>
      </c>
      <c r="X608" s="372">
        <f t="shared" si="255"/>
        <v>17.858863643356401</v>
      </c>
      <c r="Y608" s="373">
        <f t="shared" si="256"/>
        <v>-59.853746290377941</v>
      </c>
      <c r="AA608" s="372">
        <f t="shared" si="257"/>
        <v>-17.850254388000973</v>
      </c>
      <c r="AB608" s="373">
        <f t="shared" si="258"/>
        <v>-160.60907773055612</v>
      </c>
      <c r="AD608">
        <f t="shared" si="262"/>
        <v>0</v>
      </c>
      <c r="AE608">
        <f t="shared" si="265"/>
        <v>0</v>
      </c>
    </row>
    <row r="609" spans="1:31" x14ac:dyDescent="0.2">
      <c r="A609" s="374">
        <v>691830</v>
      </c>
      <c r="B609" s="391">
        <f t="shared" si="259"/>
        <v>691.83</v>
      </c>
      <c r="C609" s="364">
        <f t="shared" si="240"/>
        <v>885.20294668361544</v>
      </c>
      <c r="D609" s="365">
        <f t="shared" si="241"/>
        <v>1.5696666421090917</v>
      </c>
      <c r="E609" s="365">
        <f t="shared" si="242"/>
        <v>8.336683343442024</v>
      </c>
      <c r="F609" s="366">
        <f t="shared" si="243"/>
        <v>1.4505550160030001</v>
      </c>
      <c r="G609" s="365">
        <f t="shared" si="244"/>
        <v>1</v>
      </c>
      <c r="H609" s="366">
        <f t="shared" si="245"/>
        <v>0</v>
      </c>
      <c r="I609" s="364">
        <f t="shared" si="246"/>
        <v>234874.40174660771</v>
      </c>
      <c r="J609" s="367">
        <f t="shared" si="247"/>
        <v>1.5707920692002308</v>
      </c>
      <c r="K609" s="375">
        <f t="shared" si="263"/>
        <v>142.01661589128625</v>
      </c>
      <c r="L609" s="376">
        <f t="shared" si="264"/>
        <v>1.563754839025806</v>
      </c>
      <c r="M609" s="364">
        <f t="shared" si="248"/>
        <v>2.1072801053767209</v>
      </c>
      <c r="N609" s="367">
        <f t="shared" si="249"/>
        <v>1.076348865750322</v>
      </c>
      <c r="O609" s="368">
        <f t="shared" si="250"/>
        <v>40.890971540466239</v>
      </c>
      <c r="P609" s="369">
        <f t="shared" si="251"/>
        <v>2.7108598357364326</v>
      </c>
      <c r="Q609" s="370">
        <f t="shared" si="252"/>
        <v>-53.57837782041257</v>
      </c>
      <c r="R609" s="371">
        <f t="shared" si="253"/>
        <v>-224.21887204189534</v>
      </c>
      <c r="S609" s="373">
        <f t="shared" si="254"/>
        <v>-44.218872041895338</v>
      </c>
      <c r="U609" s="346">
        <f t="shared" si="260"/>
        <v>691830</v>
      </c>
      <c r="V609" s="346">
        <f t="shared" si="261"/>
        <v>478628748900</v>
      </c>
      <c r="X609" s="372">
        <f t="shared" si="255"/>
        <v>17.252298446313844</v>
      </c>
      <c r="Y609" s="373">
        <f t="shared" si="256"/>
        <v>-62.0734509505726</v>
      </c>
      <c r="AA609" s="372">
        <f t="shared" si="257"/>
        <v>-19.350050912172033</v>
      </c>
      <c r="AB609" s="373">
        <f t="shared" si="258"/>
        <v>-162.14542109132265</v>
      </c>
      <c r="AD609">
        <f t="shared" si="262"/>
        <v>0</v>
      </c>
      <c r="AE609">
        <f t="shared" si="265"/>
        <v>0</v>
      </c>
    </row>
    <row r="610" spans="1:31" x14ac:dyDescent="0.2">
      <c r="A610" s="374">
        <v>758580</v>
      </c>
      <c r="B610" s="391">
        <f t="shared" si="259"/>
        <v>758.58</v>
      </c>
      <c r="C610" s="364">
        <f t="shared" si="240"/>
        <v>970.61009092761105</v>
      </c>
      <c r="D610" s="365">
        <f t="shared" si="241"/>
        <v>1.5697660467820882</v>
      </c>
      <c r="E610" s="365">
        <f t="shared" si="242"/>
        <v>9.1299627121158213</v>
      </c>
      <c r="F610" s="366">
        <f t="shared" si="243"/>
        <v>1.4610466646909317</v>
      </c>
      <c r="G610" s="365">
        <f t="shared" si="244"/>
        <v>1</v>
      </c>
      <c r="H610" s="366">
        <f t="shared" si="245"/>
        <v>0</v>
      </c>
      <c r="I610" s="364">
        <f t="shared" si="246"/>
        <v>257535.84504382574</v>
      </c>
      <c r="J610" s="367">
        <f t="shared" si="247"/>
        <v>1.5707924438402741</v>
      </c>
      <c r="K610" s="375">
        <f t="shared" si="263"/>
        <v>155.71818965001182</v>
      </c>
      <c r="L610" s="376">
        <f t="shared" si="264"/>
        <v>1.5643744253089467</v>
      </c>
      <c r="M610" s="364">
        <f t="shared" si="248"/>
        <v>2.266403421492464</v>
      </c>
      <c r="N610" s="367">
        <f t="shared" si="249"/>
        <v>1.1138300268701384</v>
      </c>
      <c r="O610" s="368">
        <f t="shared" si="250"/>
        <v>48.622474420564885</v>
      </c>
      <c r="P610" s="369">
        <f t="shared" si="251"/>
        <v>2.7463594757216461</v>
      </c>
      <c r="Q610" s="370">
        <f t="shared" si="252"/>
        <v>-55.725430659847319</v>
      </c>
      <c r="R610" s="371">
        <f t="shared" si="253"/>
        <v>-227.76945399925356</v>
      </c>
      <c r="S610" s="373">
        <f t="shared" si="254"/>
        <v>-47.769453999253557</v>
      </c>
      <c r="U610" s="346">
        <f t="shared" si="260"/>
        <v>758580</v>
      </c>
      <c r="V610" s="346">
        <f t="shared" si="261"/>
        <v>575443616400</v>
      </c>
      <c r="X610" s="372">
        <f t="shared" si="255"/>
        <v>16.619963215993941</v>
      </c>
      <c r="Y610" s="373">
        <f t="shared" si="256"/>
        <v>-64.185485082626428</v>
      </c>
      <c r="AA610" s="372">
        <f t="shared" si="257"/>
        <v>-20.864768521286884</v>
      </c>
      <c r="AB610" s="373">
        <f t="shared" si="258"/>
        <v>-163.58396891662716</v>
      </c>
      <c r="AD610">
        <f t="shared" si="262"/>
        <v>0</v>
      </c>
      <c r="AE610">
        <f t="shared" si="265"/>
        <v>0</v>
      </c>
    </row>
    <row r="611" spans="1:31" x14ac:dyDescent="0.2">
      <c r="A611" s="374">
        <v>831760</v>
      </c>
      <c r="B611" s="391">
        <f t="shared" si="259"/>
        <v>831.76</v>
      </c>
      <c r="C611" s="364">
        <f t="shared" si="240"/>
        <v>1064.244479357237</v>
      </c>
      <c r="D611" s="365">
        <f t="shared" si="241"/>
        <v>1.5698566929358082</v>
      </c>
      <c r="E611" s="365">
        <f t="shared" si="242"/>
        <v>10.000621098712742</v>
      </c>
      <c r="F611" s="366">
        <f t="shared" si="243"/>
        <v>1.4706351475206292</v>
      </c>
      <c r="G611" s="365">
        <f t="shared" si="244"/>
        <v>1</v>
      </c>
      <c r="H611" s="366">
        <f t="shared" si="245"/>
        <v>0</v>
      </c>
      <c r="I611" s="364">
        <f t="shared" si="246"/>
        <v>282380.25583772425</v>
      </c>
      <c r="J611" s="367">
        <f t="shared" si="247"/>
        <v>1.5707927854708157</v>
      </c>
      <c r="K611" s="375">
        <f t="shared" si="263"/>
        <v>170.73968750119604</v>
      </c>
      <c r="L611" s="376">
        <f t="shared" si="264"/>
        <v>1.5649394242090005</v>
      </c>
      <c r="M611" s="364">
        <f t="shared" si="248"/>
        <v>2.4440113534292123</v>
      </c>
      <c r="N611" s="367">
        <f t="shared" si="249"/>
        <v>1.1492593120275454</v>
      </c>
      <c r="O611" s="368">
        <f t="shared" si="250"/>
        <v>57.911748467058288</v>
      </c>
      <c r="P611" s="369">
        <f t="shared" si="251"/>
        <v>2.7792675673455669</v>
      </c>
      <c r="Q611" s="370">
        <f t="shared" si="252"/>
        <v>-57.908145934545971</v>
      </c>
      <c r="R611" s="371">
        <f t="shared" si="253"/>
        <v>-231.1083588411818</v>
      </c>
      <c r="S611" s="373">
        <f t="shared" si="254"/>
        <v>-51.108358841181797</v>
      </c>
      <c r="U611" s="346">
        <f t="shared" si="260"/>
        <v>831760</v>
      </c>
      <c r="V611" s="346">
        <f t="shared" si="261"/>
        <v>691824697600</v>
      </c>
      <c r="X611" s="372">
        <f t="shared" si="255"/>
        <v>15.964613048370387</v>
      </c>
      <c r="Y611" s="373">
        <f t="shared" si="256"/>
        <v>-66.183081117179512</v>
      </c>
      <c r="AA611" s="372">
        <f t="shared" si="257"/>
        <v>-22.392133628361979</v>
      </c>
      <c r="AB611" s="373">
        <f t="shared" si="258"/>
        <v>-164.92527772400223</v>
      </c>
      <c r="AD611">
        <f t="shared" si="262"/>
        <v>0</v>
      </c>
      <c r="AE611">
        <f t="shared" si="265"/>
        <v>0</v>
      </c>
    </row>
    <row r="612" spans="1:31" x14ac:dyDescent="0.2">
      <c r="A612" s="374">
        <v>912010</v>
      </c>
      <c r="B612" s="391">
        <f t="shared" si="259"/>
        <v>912.01</v>
      </c>
      <c r="C612" s="364">
        <f t="shared" si="240"/>
        <v>1166.9249970310511</v>
      </c>
      <c r="D612" s="365">
        <f t="shared" si="241"/>
        <v>1.5699393735845883</v>
      </c>
      <c r="E612" s="365">
        <f t="shared" si="242"/>
        <v>10.956275566832351</v>
      </c>
      <c r="F612" s="366">
        <f t="shared" si="243"/>
        <v>1.4793972330891421</v>
      </c>
      <c r="G612" s="365">
        <f t="shared" si="244"/>
        <v>1</v>
      </c>
      <c r="H612" s="366">
        <f t="shared" si="245"/>
        <v>0</v>
      </c>
      <c r="I612" s="364">
        <f t="shared" si="246"/>
        <v>309624.91238613444</v>
      </c>
      <c r="J612" s="367">
        <f t="shared" si="247"/>
        <v>1.5707930970806199</v>
      </c>
      <c r="K612" s="375">
        <f t="shared" si="263"/>
        <v>187.21248083870844</v>
      </c>
      <c r="L612" s="376">
        <f t="shared" si="264"/>
        <v>1.5654547771776139</v>
      </c>
      <c r="M612" s="364">
        <f t="shared" si="248"/>
        <v>2.6418051543030834</v>
      </c>
      <c r="N612" s="367">
        <f t="shared" si="249"/>
        <v>1.1825897494237441</v>
      </c>
      <c r="O612" s="368">
        <f t="shared" si="250"/>
        <v>69.077172500806626</v>
      </c>
      <c r="P612" s="369">
        <f t="shared" si="251"/>
        <v>2.8097057099067895</v>
      </c>
      <c r="Q612" s="370">
        <f t="shared" si="252"/>
        <v>-60.122791051874465</v>
      </c>
      <c r="R612" s="371">
        <f t="shared" si="253"/>
        <v>-234.23522637513722</v>
      </c>
      <c r="S612" s="373">
        <f t="shared" si="254"/>
        <v>-54.235226375137216</v>
      </c>
      <c r="U612" s="346">
        <f t="shared" si="260"/>
        <v>912010</v>
      </c>
      <c r="V612" s="346">
        <f t="shared" si="261"/>
        <v>831762240100</v>
      </c>
      <c r="X612" s="372">
        <f t="shared" si="255"/>
        <v>15.288636701794713</v>
      </c>
      <c r="Y612" s="373">
        <f t="shared" si="256"/>
        <v>-68.063264815320636</v>
      </c>
      <c r="AA612" s="372">
        <f t="shared" si="257"/>
        <v>-23.930802399114803</v>
      </c>
      <c r="AB612" s="373">
        <f t="shared" si="258"/>
        <v>-166.17196155981657</v>
      </c>
      <c r="AD612">
        <f t="shared" si="262"/>
        <v>0</v>
      </c>
      <c r="AE612">
        <f t="shared" si="265"/>
        <v>0</v>
      </c>
    </row>
    <row r="613" spans="1:31" x14ac:dyDescent="0.2">
      <c r="A613" s="374">
        <v>1000000</v>
      </c>
      <c r="B613" s="391">
        <f t="shared" si="259"/>
        <v>1000</v>
      </c>
      <c r="C613" s="364">
        <f t="shared" si="240"/>
        <v>1279.508914315757</v>
      </c>
      <c r="D613" s="365">
        <f t="shared" si="241"/>
        <v>1.5700147768653769</v>
      </c>
      <c r="E613" s="365">
        <f t="shared" si="242"/>
        <v>12.00490694786621</v>
      </c>
      <c r="F613" s="366">
        <f t="shared" si="243"/>
        <v>1.4874004211246319</v>
      </c>
      <c r="G613" s="365">
        <f t="shared" si="244"/>
        <v>1</v>
      </c>
      <c r="H613" s="366">
        <f t="shared" si="245"/>
        <v>0</v>
      </c>
      <c r="I613" s="364">
        <f t="shared" si="246"/>
        <v>339497.27786522382</v>
      </c>
      <c r="J613" s="367">
        <f t="shared" si="247"/>
        <v>1.5707933812631789</v>
      </c>
      <c r="K613" s="375">
        <f t="shared" si="263"/>
        <v>205.27409953304777</v>
      </c>
      <c r="L613" s="376">
        <f t="shared" si="264"/>
        <v>1.5659247723336849</v>
      </c>
      <c r="M613" s="364">
        <f t="shared" si="248"/>
        <v>2.8615579600505634</v>
      </c>
      <c r="N613" s="367">
        <f t="shared" si="249"/>
        <v>1.2138016391471076</v>
      </c>
      <c r="O613" s="368">
        <f t="shared" si="250"/>
        <v>82.497161691268616</v>
      </c>
      <c r="P613" s="369">
        <f t="shared" si="251"/>
        <v>2.8377946853948752</v>
      </c>
      <c r="Q613" s="370">
        <f t="shared" si="252"/>
        <v>-62.365026693224479</v>
      </c>
      <c r="R613" s="371">
        <f t="shared" si="253"/>
        <v>-237.15177461285435</v>
      </c>
      <c r="S613" s="373">
        <f t="shared" si="254"/>
        <v>-57.151774612854354</v>
      </c>
      <c r="U613" s="346">
        <f t="shared" si="260"/>
        <v>1000000</v>
      </c>
      <c r="V613" s="346">
        <f t="shared" si="261"/>
        <v>1000000000000</v>
      </c>
      <c r="X613" s="372">
        <f t="shared" si="255"/>
        <v>14.594580581606987</v>
      </c>
      <c r="Y613" s="373">
        <f t="shared" si="256"/>
        <v>-69.824661912736588</v>
      </c>
      <c r="AA613" s="372">
        <f t="shared" si="257"/>
        <v>-25.478981920277089</v>
      </c>
      <c r="AB613" s="373">
        <f t="shared" si="258"/>
        <v>-167.32711270011771</v>
      </c>
      <c r="AD613">
        <f t="shared" si="262"/>
        <v>0</v>
      </c>
      <c r="AE613">
        <f t="shared" si="265"/>
        <v>0</v>
      </c>
    </row>
    <row r="614" spans="1:31" x14ac:dyDescent="0.2">
      <c r="A614" s="377"/>
      <c r="B614" s="377"/>
      <c r="C614" s="378"/>
      <c r="D614" s="378"/>
      <c r="E614" s="378"/>
      <c r="F614" s="378"/>
      <c r="G614" s="365"/>
      <c r="H614" s="366"/>
      <c r="I614" s="378"/>
      <c r="J614" s="378"/>
      <c r="K614" s="378"/>
      <c r="L614" s="378"/>
      <c r="M614" s="378"/>
      <c r="N614" s="378"/>
      <c r="O614" s="378"/>
      <c r="P614" s="379"/>
      <c r="Q614" s="466"/>
      <c r="R614" s="371"/>
      <c r="S614" s="380"/>
      <c r="AA614" s="372"/>
      <c r="AB614" s="373"/>
    </row>
    <row r="615" spans="1:31" x14ac:dyDescent="0.2">
      <c r="A615" s="377"/>
      <c r="B615" s="377"/>
      <c r="C615" s="378"/>
      <c r="D615" s="378"/>
      <c r="E615" s="378"/>
      <c r="F615" s="378"/>
      <c r="G615" s="365"/>
      <c r="H615" s="366"/>
      <c r="I615" s="378"/>
      <c r="J615" s="378"/>
      <c r="K615" s="378"/>
      <c r="L615" s="378"/>
      <c r="M615" s="378"/>
      <c r="N615" s="378"/>
      <c r="O615" s="378"/>
      <c r="P615" s="379"/>
      <c r="Q615" s="380"/>
      <c r="R615" s="371"/>
      <c r="S615" s="380"/>
      <c r="AA615" s="372"/>
      <c r="AB615" s="373"/>
    </row>
    <row r="616" spans="1:31" x14ac:dyDescent="0.2">
      <c r="A616" s="346" t="s">
        <v>509</v>
      </c>
      <c r="G616" s="365"/>
      <c r="H616" s="366"/>
      <c r="Q616" s="370"/>
      <c r="R616" s="371"/>
      <c r="S616" s="380"/>
      <c r="AA616" s="372"/>
      <c r="AB616" s="373"/>
    </row>
    <row r="617" spans="1:31" x14ac:dyDescent="0.2">
      <c r="A617" s="381">
        <f>Q4*1000</f>
        <v>15136</v>
      </c>
      <c r="B617" s="381"/>
      <c r="C617" s="382">
        <f t="shared" ref="C617:C626" si="266">SQRT(1+(A617/pole1)^2)</f>
        <v>19.392441416691426</v>
      </c>
      <c r="D617" s="375">
        <f t="shared" ref="D617:D626" si="267">ATAN(A617/pole1)</f>
        <v>1.5192069630139193</v>
      </c>
      <c r="E617" s="375">
        <f t="shared" ref="E617:E626" si="268">SQRT(1+(A617/Zero1)^2)</f>
        <v>1.0162618120490858</v>
      </c>
      <c r="F617" s="376">
        <f t="shared" ref="F617:F626" si="269">ATAN(A617/Zero1)</f>
        <v>0.17913377856011589</v>
      </c>
      <c r="G617" s="365">
        <f>IF(VIN_nom&gt;Vout, 1, SQRT(1+(A617/z_RHP)^2))</f>
        <v>1</v>
      </c>
      <c r="H617" s="366">
        <f>IF(VIN_nom&gt;Vout, 0, -ATAN(A617/z_RHP))</f>
        <v>0</v>
      </c>
      <c r="I617" s="382">
        <f t="shared" ref="I617:I626" si="270">SQRT(1+(A617/Pole2)^2)</f>
        <v>5138.6308950479197</v>
      </c>
      <c r="J617" s="383">
        <f t="shared" ref="J617:J626" si="271">ATAN(A617/Pole2)</f>
        <v>1.570601722429116</v>
      </c>
      <c r="K617" s="375">
        <f t="shared" ref="K617:K626" si="272">SQRT(1+(A617/Zero2)^2)</f>
        <v>3.2639544547096406</v>
      </c>
      <c r="L617" s="376">
        <f t="shared" ref="L617:L626" si="273">ATAN(A617/Zero2)</f>
        <v>1.2594118534010956</v>
      </c>
      <c r="M617" s="382">
        <f t="shared" ref="M617:M626" si="274">SQRT(1+(A617/pole4)^2)</f>
        <v>1.000823100121305</v>
      </c>
      <c r="N617" s="383">
        <f t="shared" ref="N617:N626" si="275">ATAN(A617/pole4)</f>
        <v>4.0559485681997499E-2</v>
      </c>
      <c r="O617" s="382">
        <f t="shared" ref="O617:O626" si="276">SQRT((1-(A617^2/(pole3^2)))^2+(A617/(Q*pole3))^2)</f>
        <v>1.0503982337569269</v>
      </c>
      <c r="P617" s="457">
        <f t="shared" ref="P617:P626" si="277">ATAN((A617/(Q*pole3))/(1-A617^2/pole3^2))</f>
        <v>0.36357187371625449</v>
      </c>
      <c r="Q617" s="370">
        <f>20*LOG10(((E617*K617*G617)/(C617*I617*O617*M617))*Adc)</f>
        <v>3.0707172737955948E-2</v>
      </c>
      <c r="R617" s="371">
        <f>((F617+L617+H617)-(D617+J617+P617+N617))*radconv</f>
        <v>-117.76542522736472</v>
      </c>
      <c r="S617" s="373">
        <f t="shared" ref="S617:S626" si="278">IF(R617&gt;0,R617,R617+180)</f>
        <v>62.234574772635284</v>
      </c>
      <c r="T617" s="346" t="s">
        <v>510</v>
      </c>
      <c r="X617" s="372">
        <f t="shared" ref="X617:X626" si="279">20*LOG10((K617/(I617*M617))*AEA)</f>
        <v>24.14746124211327</v>
      </c>
      <c r="Y617" s="373">
        <f t="shared" ref="Y617:Y626" si="280">(L617-(J617+N617))*radconv</f>
        <v>-20.15375349436319</v>
      </c>
      <c r="AA617" s="372">
        <f>20*LOG10((E617*G617/(C617*O617))*Acs*Am)</f>
        <v>27.363871285179062</v>
      </c>
      <c r="AB617" s="373">
        <f>(F617+H617-(D617+P617))*radconv</f>
        <v>-97.611671733001543</v>
      </c>
    </row>
    <row r="618" spans="1:31" x14ac:dyDescent="0.2">
      <c r="A618" s="381">
        <f>A617</f>
        <v>15136</v>
      </c>
      <c r="B618" s="381"/>
      <c r="C618" s="382"/>
      <c r="D618" s="375"/>
      <c r="E618" s="375"/>
      <c r="F618" s="376"/>
      <c r="G618" s="365"/>
      <c r="H618" s="366"/>
      <c r="I618" s="382"/>
      <c r="J618" s="383"/>
      <c r="K618" s="375"/>
      <c r="L618" s="376"/>
      <c r="M618" s="364"/>
      <c r="N618" s="367"/>
      <c r="O618" s="382"/>
      <c r="P618" s="369"/>
      <c r="Q618" s="370"/>
      <c r="R618" s="371">
        <v>-90</v>
      </c>
      <c r="S618" s="373"/>
      <c r="X618" s="372"/>
      <c r="Y618" s="373"/>
      <c r="AA618" s="372"/>
      <c r="AB618" s="373"/>
    </row>
    <row r="619" spans="1:31" x14ac:dyDescent="0.2">
      <c r="A619" s="346">
        <f>A618</f>
        <v>15136</v>
      </c>
      <c r="B619" s="381"/>
      <c r="C619" s="382"/>
      <c r="D619" s="375"/>
      <c r="E619" s="375"/>
      <c r="F619" s="376"/>
      <c r="G619" s="365"/>
      <c r="H619" s="366"/>
      <c r="I619" s="382"/>
      <c r="J619" s="383"/>
      <c r="K619" s="375"/>
      <c r="L619" s="376"/>
      <c r="M619" s="364"/>
      <c r="N619" s="367"/>
      <c r="O619" s="382"/>
      <c r="P619" s="369"/>
      <c r="Q619" s="370"/>
      <c r="R619" s="371">
        <f>R617</f>
        <v>-117.76542522736472</v>
      </c>
      <c r="S619" s="373"/>
      <c r="X619" s="372"/>
      <c r="Y619" s="373"/>
      <c r="AA619" s="372"/>
      <c r="AB619" s="373"/>
    </row>
    <row r="620" spans="1:31" x14ac:dyDescent="0.2">
      <c r="A620" s="381">
        <v>1000000</v>
      </c>
      <c r="B620" s="381"/>
      <c r="C620" s="382"/>
      <c r="D620" s="375"/>
      <c r="E620" s="375"/>
      <c r="F620" s="376"/>
      <c r="G620" s="365"/>
      <c r="H620" s="366"/>
      <c r="I620" s="382"/>
      <c r="J620" s="383"/>
      <c r="K620" s="375"/>
      <c r="L620" s="376"/>
      <c r="M620" s="364"/>
      <c r="N620" s="367"/>
      <c r="O620" s="382"/>
      <c r="P620" s="369"/>
      <c r="Q620" s="370"/>
      <c r="R620" s="371">
        <f>R617</f>
        <v>-117.76542522736472</v>
      </c>
      <c r="S620" s="373"/>
      <c r="X620" s="372"/>
      <c r="Y620" s="373"/>
      <c r="AA620" s="372"/>
      <c r="AB620" s="373"/>
    </row>
    <row r="621" spans="1:31" x14ac:dyDescent="0.2">
      <c r="A621" s="381"/>
      <c r="B621" s="381"/>
      <c r="C621" s="382"/>
      <c r="D621" s="375"/>
      <c r="E621" s="375"/>
      <c r="F621" s="376"/>
      <c r="G621" s="365"/>
      <c r="H621" s="366"/>
      <c r="I621" s="382"/>
      <c r="J621" s="383"/>
      <c r="K621" s="375"/>
      <c r="L621" s="376"/>
      <c r="M621" s="364"/>
      <c r="N621" s="367"/>
      <c r="O621" s="382"/>
      <c r="P621" s="369"/>
      <c r="Q621" s="370"/>
      <c r="R621" s="371"/>
      <c r="S621" s="373"/>
      <c r="X621" s="372"/>
      <c r="Y621" s="373"/>
      <c r="AA621" s="372"/>
      <c r="AB621" s="373"/>
    </row>
    <row r="622" spans="1:31" x14ac:dyDescent="0.2">
      <c r="A622" s="467">
        <f>pole1</f>
        <v>781.55008864865476</v>
      </c>
      <c r="B622" s="381"/>
      <c r="C622" s="382">
        <f t="shared" si="266"/>
        <v>1.4142135623730951</v>
      </c>
      <c r="D622" s="375">
        <f t="shared" si="267"/>
        <v>0.78539816339744828</v>
      </c>
      <c r="E622" s="375">
        <f t="shared" si="268"/>
        <v>1.0000437086879899</v>
      </c>
      <c r="F622" s="376">
        <f t="shared" si="269"/>
        <v>9.3495557122348725E-3</v>
      </c>
      <c r="G622" s="365">
        <f t="shared" ref="G622:G628" si="281">IF(VIN_nom&gt;Vout, 1, SQRT(1+(A622/z_RHP)^2))</f>
        <v>1</v>
      </c>
      <c r="H622" s="366">
        <f t="shared" ref="H622:H628" si="282">IF(VIN_nom&gt;Vout, 0, -ATAN(A622/z_RHP))</f>
        <v>0</v>
      </c>
      <c r="I622" s="382">
        <f t="shared" si="270"/>
        <v>265.33601202016962</v>
      </c>
      <c r="J622" s="383">
        <f t="shared" si="271"/>
        <v>1.5670275116999604</v>
      </c>
      <c r="K622" s="375">
        <f t="shared" si="272"/>
        <v>1.0127871507949522</v>
      </c>
      <c r="L622" s="376">
        <f t="shared" si="273"/>
        <v>0.15907458562746357</v>
      </c>
      <c r="M622" s="364">
        <f t="shared" si="274"/>
        <v>1.0000021954435829</v>
      </c>
      <c r="N622" s="367">
        <f t="shared" si="275"/>
        <v>2.0954424669962532E-3</v>
      </c>
      <c r="O622" s="382">
        <f t="shared" si="276"/>
        <v>1.0001373044927404</v>
      </c>
      <c r="P622" s="369">
        <f t="shared" si="277"/>
        <v>1.9286210720157199E-2</v>
      </c>
      <c r="Q622" s="370">
        <f t="shared" ref="Q622:Q628" si="283">20*LOG10(((E622*K622*G622)/(C622*I622*O622*M622))*Adc)</f>
        <v>38.642845345621112</v>
      </c>
      <c r="R622" s="371">
        <f t="shared" ref="R622:R628" si="284">((F622+L622+H622)-(D622+J622+P622+N622))*radconv</f>
        <v>-126.35914896543805</v>
      </c>
      <c r="S622" s="373">
        <f t="shared" si="278"/>
        <v>53.640851034561948</v>
      </c>
      <c r="T622" s="346" t="s">
        <v>484</v>
      </c>
      <c r="X622" s="372">
        <f t="shared" si="279"/>
        <v>39.731094970760608</v>
      </c>
      <c r="Y622" s="373">
        <f t="shared" si="280"/>
        <v>-80.789820518936068</v>
      </c>
      <c r="AA622" s="372">
        <f t="shared" ref="AA622:AA628" si="285">20*LOG10((E622*G622/(C622*O622))*Acs*Am)</f>
        <v>50.39237572941488</v>
      </c>
      <c r="AB622" s="373">
        <f t="shared" ref="AB622:AB628" si="286">(F622+H622-(D622+P622))*radconv</f>
        <v>-45.569328446502034</v>
      </c>
    </row>
    <row r="623" spans="1:31" x14ac:dyDescent="0.2">
      <c r="A623" s="467">
        <f>Zero1</f>
        <v>83589.781131174561</v>
      </c>
      <c r="B623" s="381"/>
      <c r="C623" s="382">
        <f t="shared" si="266"/>
        <v>106.95851225015538</v>
      </c>
      <c r="D623" s="375">
        <f t="shared" si="267"/>
        <v>1.5614467710826618</v>
      </c>
      <c r="E623" s="375">
        <f t="shared" si="268"/>
        <v>1.4142135623730951</v>
      </c>
      <c r="F623" s="376">
        <f t="shared" si="269"/>
        <v>0.78539816339744828</v>
      </c>
      <c r="G623" s="365">
        <f t="shared" si="281"/>
        <v>1</v>
      </c>
      <c r="H623" s="366">
        <f t="shared" si="282"/>
        <v>0</v>
      </c>
      <c r="I623" s="382">
        <f t="shared" si="270"/>
        <v>28378.503168879477</v>
      </c>
      <c r="J623" s="383">
        <f t="shared" si="271"/>
        <v>1.5707610888546057</v>
      </c>
      <c r="K623" s="375">
        <f t="shared" si="272"/>
        <v>17.187728627364113</v>
      </c>
      <c r="L623" s="376">
        <f t="shared" si="273"/>
        <v>1.5125824082992771</v>
      </c>
      <c r="M623" s="364">
        <f t="shared" si="274"/>
        <v>1.0248063012148216</v>
      </c>
      <c r="N623" s="367">
        <f t="shared" si="275"/>
        <v>0.2204728231191492</v>
      </c>
      <c r="O623" s="382">
        <f t="shared" si="276"/>
        <v>2.1099159259270159</v>
      </c>
      <c r="P623" s="369">
        <f t="shared" si="277"/>
        <v>1.3592706946486872</v>
      </c>
      <c r="Q623" s="370">
        <f t="shared" si="283"/>
        <v>-18.608028238873715</v>
      </c>
      <c r="R623" s="371">
        <f t="shared" si="284"/>
        <v>-138.31033921011624</v>
      </c>
      <c r="S623" s="373">
        <f t="shared" si="278"/>
        <v>41.68966078988376</v>
      </c>
      <c r="T623" s="346" t="s">
        <v>479</v>
      </c>
      <c r="X623" s="372">
        <f t="shared" si="279"/>
        <v>23.528418657580673</v>
      </c>
      <c r="Y623" s="373">
        <f t="shared" si="280"/>
        <v>-15.965555133765038</v>
      </c>
      <c r="AA623" s="372">
        <f t="shared" si="285"/>
        <v>9.3441784580999929</v>
      </c>
      <c r="AB623" s="373">
        <f t="shared" si="286"/>
        <v>-122.34478407635125</v>
      </c>
    </row>
    <row r="624" spans="1:31" x14ac:dyDescent="0.2">
      <c r="A624" s="467">
        <f>Pole2</f>
        <v>2.9455317176396494</v>
      </c>
      <c r="B624" s="381"/>
      <c r="C624" s="382">
        <f t="shared" si="266"/>
        <v>1.0000071020256418</v>
      </c>
      <c r="D624" s="375">
        <f t="shared" si="267"/>
        <v>3.7688150949362178E-3</v>
      </c>
      <c r="E624" s="375">
        <f t="shared" si="268"/>
        <v>1.0000000006208563</v>
      </c>
      <c r="F624" s="376">
        <f t="shared" si="269"/>
        <v>3.5237940290789378E-5</v>
      </c>
      <c r="G624" s="365">
        <f t="shared" si="281"/>
        <v>1</v>
      </c>
      <c r="H624" s="366">
        <f t="shared" si="282"/>
        <v>0</v>
      </c>
      <c r="I624" s="382">
        <f t="shared" si="270"/>
        <v>1.4142135623730951</v>
      </c>
      <c r="J624" s="383">
        <f t="shared" si="271"/>
        <v>0.78539816339744828</v>
      </c>
      <c r="K624" s="375">
        <f t="shared" si="272"/>
        <v>1.000000182791239</v>
      </c>
      <c r="L624" s="376">
        <f t="shared" si="273"/>
        <v>6.046341226300185E-4</v>
      </c>
      <c r="M624" s="364">
        <f t="shared" si="274"/>
        <v>1.0000000000311844</v>
      </c>
      <c r="N624" s="367">
        <f t="shared" si="275"/>
        <v>7.8973841502206998E-6</v>
      </c>
      <c r="O624" s="382">
        <f t="shared" si="276"/>
        <v>1.0000000019504041</v>
      </c>
      <c r="P624" s="369">
        <f t="shared" si="277"/>
        <v>7.2691979749719464E-5</v>
      </c>
      <c r="Q624" s="370">
        <f t="shared" si="283"/>
        <v>87.009177485212007</v>
      </c>
      <c r="R624" s="371">
        <f t="shared" si="284"/>
        <v>-45.183892712126578</v>
      </c>
      <c r="S624" s="373">
        <f t="shared" si="278"/>
        <v>134.81610728787342</v>
      </c>
      <c r="T624" s="346" t="s">
        <v>487</v>
      </c>
      <c r="W624" s="346">
        <f>Pole2</f>
        <v>2.9455317176396494</v>
      </c>
      <c r="X624" s="372">
        <f t="shared" si="279"/>
        <v>85.086375963192467</v>
      </c>
      <c r="Y624" s="373">
        <f t="shared" si="280"/>
        <v>-44.965809554785629</v>
      </c>
      <c r="AA624" s="372">
        <f t="shared" si="285"/>
        <v>53.40342687657391</v>
      </c>
      <c r="AB624" s="373">
        <f t="shared" si="286"/>
        <v>-0.21808315734095143</v>
      </c>
    </row>
    <row r="625" spans="1:28" x14ac:dyDescent="0.2">
      <c r="A625" s="467">
        <f>Zero2</f>
        <v>4871.5929988906146</v>
      </c>
      <c r="B625" s="381"/>
      <c r="C625" s="382">
        <f t="shared" si="266"/>
        <v>6.3129502060578586</v>
      </c>
      <c r="D625" s="375">
        <f t="shared" si="267"/>
        <v>1.411721741167433</v>
      </c>
      <c r="E625" s="375">
        <f t="shared" si="268"/>
        <v>1.0016968260330967</v>
      </c>
      <c r="F625" s="376">
        <f t="shared" si="269"/>
        <v>5.8213918495619472E-2</v>
      </c>
      <c r="G625" s="365">
        <f t="shared" si="281"/>
        <v>1</v>
      </c>
      <c r="H625" s="366">
        <f t="shared" si="282"/>
        <v>0</v>
      </c>
      <c r="I625" s="382">
        <f t="shared" si="270"/>
        <v>1653.8928643005418</v>
      </c>
      <c r="J625" s="383">
        <f t="shared" si="271"/>
        <v>1.5701916926722665</v>
      </c>
      <c r="K625" s="375">
        <f t="shared" si="272"/>
        <v>1.4142135623730951</v>
      </c>
      <c r="L625" s="376">
        <f t="shared" si="273"/>
        <v>0.78539816339744828</v>
      </c>
      <c r="M625" s="364">
        <f t="shared" si="274"/>
        <v>1.0000852967725107</v>
      </c>
      <c r="N625" s="367">
        <f t="shared" si="275"/>
        <v>1.3060682218199211E-2</v>
      </c>
      <c r="O625" s="382">
        <f t="shared" si="276"/>
        <v>1.005322682592229</v>
      </c>
      <c r="P625" s="369">
        <f t="shared" si="277"/>
        <v>0.11987509012233404</v>
      </c>
      <c r="Q625" s="370">
        <f t="shared" si="283"/>
        <v>12.622918242841623</v>
      </c>
      <c r="R625" s="371">
        <f t="shared" si="284"/>
        <v>-130.1323016437824</v>
      </c>
      <c r="S625" s="373">
        <f t="shared" si="278"/>
        <v>49.867698356217602</v>
      </c>
      <c r="T625" s="346" t="s">
        <v>482</v>
      </c>
      <c r="W625" s="346">
        <f>Zero2</f>
        <v>4871.5929988906146</v>
      </c>
      <c r="X625" s="372">
        <f t="shared" si="279"/>
        <v>26.736085973381016</v>
      </c>
      <c r="Y625" s="373">
        <f t="shared" si="280"/>
        <v>-45.713679037523569</v>
      </c>
      <c r="AA625" s="372">
        <f t="shared" si="285"/>
        <v>37.367457624014989</v>
      </c>
      <c r="AB625" s="373">
        <f t="shared" si="286"/>
        <v>-84.418622606258808</v>
      </c>
    </row>
    <row r="626" spans="1:28" x14ac:dyDescent="0.2">
      <c r="A626" s="467">
        <f>pole3</f>
        <v>112000</v>
      </c>
      <c r="B626" s="381"/>
      <c r="C626" s="382">
        <f t="shared" si="266"/>
        <v>143.30844365698897</v>
      </c>
      <c r="D626" s="375">
        <f t="shared" si="267"/>
        <v>1.5638183142649247</v>
      </c>
      <c r="E626" s="375">
        <f t="shared" si="268"/>
        <v>1.6719059686875231</v>
      </c>
      <c r="F626" s="376">
        <f t="shared" si="269"/>
        <v>0.92964344989641345</v>
      </c>
      <c r="G626" s="365">
        <f t="shared" si="281"/>
        <v>1</v>
      </c>
      <c r="H626" s="366">
        <f t="shared" si="282"/>
        <v>0</v>
      </c>
      <c r="I626" s="382">
        <f t="shared" si="270"/>
        <v>38023.695133889814</v>
      </c>
      <c r="J626" s="383">
        <f t="shared" si="271"/>
        <v>1.5707700274045666</v>
      </c>
      <c r="K626" s="375">
        <f t="shared" si="272"/>
        <v>23.012164246331022</v>
      </c>
      <c r="L626" s="376">
        <f t="shared" si="273"/>
        <v>1.5273273603863475</v>
      </c>
      <c r="M626" s="364">
        <f t="shared" si="274"/>
        <v>1.0441133650606591</v>
      </c>
      <c r="N626" s="367">
        <f t="shared" si="275"/>
        <v>0.29172074346440696</v>
      </c>
      <c r="O626" s="382">
        <f t="shared" si="276"/>
        <v>2.764017678683063</v>
      </c>
      <c r="P626" s="369" t="e">
        <f t="shared" si="277"/>
        <v>#DIV/0!</v>
      </c>
      <c r="Q626" s="370">
        <f t="shared" si="283"/>
        <v>-22.209367584391742</v>
      </c>
      <c r="R626" s="371" t="e">
        <f t="shared" si="284"/>
        <v>#DIV/0!</v>
      </c>
      <c r="S626" s="373" t="e">
        <f t="shared" si="278"/>
        <v>#DIV/0!</v>
      </c>
      <c r="T626" s="346" t="s">
        <v>480</v>
      </c>
      <c r="X626" s="372">
        <f t="shared" si="279"/>
        <v>23.359784150993981</v>
      </c>
      <c r="Y626" s="373">
        <f t="shared" si="280"/>
        <v>-19.203448889808381</v>
      </c>
      <c r="AA626" s="372">
        <f t="shared" si="285"/>
        <v>5.9114736191686523</v>
      </c>
      <c r="AB626" s="373" t="e">
        <f t="shared" si="286"/>
        <v>#DIV/0!</v>
      </c>
    </row>
    <row r="627" spans="1:28" ht="13.5" thickBot="1" x14ac:dyDescent="0.25">
      <c r="A627" s="442">
        <f>Fp2_u</f>
        <v>372975.61591911386</v>
      </c>
      <c r="C627" s="382">
        <f>SQRT(1+(A627/pole1)^2)</f>
        <v>477.22652736299244</v>
      </c>
      <c r="D627" s="375">
        <f>ATAN(A627/pole1)</f>
        <v>1.5687008843279004</v>
      </c>
      <c r="E627" s="375">
        <f>SQRT(1+(A627/Zero1)^2)</f>
        <v>4.5726613495203461</v>
      </c>
      <c r="F627" s="376">
        <f>ATAN(A627/Zero1)</f>
        <v>1.3503235036757475</v>
      </c>
      <c r="G627" s="365">
        <f t="shared" si="281"/>
        <v>1</v>
      </c>
      <c r="H627" s="366">
        <f t="shared" si="282"/>
        <v>0</v>
      </c>
      <c r="I627" s="382">
        <f>SQRT(1+(A627/Pole2)^2)</f>
        <v>126624.20631804378</v>
      </c>
      <c r="J627" s="383">
        <f>ATAN(A627/Pole2)</f>
        <v>1.5707884294107464</v>
      </c>
      <c r="K627" s="375">
        <f>SQRT(1+(A627/Zero2)^2)</f>
        <v>76.567855652210724</v>
      </c>
      <c r="L627" s="376">
        <f>ATAN(A627/Zero2)</f>
        <v>1.5577356445766974</v>
      </c>
      <c r="M627" s="364">
        <f>SQRT(1+(A627/pole4)^2)</f>
        <v>1.4142135623730951</v>
      </c>
      <c r="N627" s="367">
        <f>ATAN(A627/pole4)</f>
        <v>0.78539816339744828</v>
      </c>
      <c r="O627" s="382">
        <f>SQRT((1-(A627^2/(pole3^2)))^2+(A627/(Q*pole3))^2)</f>
        <v>13.657548989811291</v>
      </c>
      <c r="P627" s="369">
        <f>ATAN((A627/(Q*pole3))/(1-A627^2/pole3^2))</f>
        <v>-0.73954836952107117</v>
      </c>
      <c r="Q627" s="370">
        <f t="shared" si="283"/>
        <v>-40.438733534161926</v>
      </c>
      <c r="R627" s="371">
        <f t="shared" si="284"/>
        <v>-15.886971433188275</v>
      </c>
      <c r="S627" s="373">
        <f>IF(R627&gt;0,R627,R627+180)</f>
        <v>164.11302856681172</v>
      </c>
      <c r="T627" s="346" t="s">
        <v>492</v>
      </c>
      <c r="X627" s="384"/>
      <c r="Y627" s="385"/>
      <c r="AA627" s="372">
        <f t="shared" si="285"/>
        <v>-9.6750775206565418</v>
      </c>
      <c r="AB627" s="373">
        <f t="shared" si="286"/>
        <v>29.860898100969667</v>
      </c>
    </row>
    <row r="628" spans="1:28" x14ac:dyDescent="0.2">
      <c r="A628" s="442">
        <f>z_RHP</f>
        <v>10000000</v>
      </c>
      <c r="C628" s="382">
        <f>SQRT(1+(A628/pole1)^2)</f>
        <v>12795.085274485227</v>
      </c>
      <c r="D628" s="375">
        <f>ATAN(A628/pole1)</f>
        <v>1.5707181717861909</v>
      </c>
      <c r="E628" s="375">
        <f>SQRT(1+(A628/Zero1)^2)</f>
        <v>119.63602752805127</v>
      </c>
      <c r="F628" s="376">
        <f>ATAN(A628/Zero1)</f>
        <v>1.5624375433612256</v>
      </c>
      <c r="G628" s="365">
        <f t="shared" si="281"/>
        <v>1</v>
      </c>
      <c r="H628" s="366">
        <f t="shared" si="282"/>
        <v>0</v>
      </c>
      <c r="I628" s="382">
        <f>SQRT(1+(A628/Pole2)^2)</f>
        <v>3394972.7786376583</v>
      </c>
      <c r="J628" s="383">
        <f>ATAN(A628/Pole2)</f>
        <v>1.5707960322417249</v>
      </c>
      <c r="K628" s="375">
        <f>SQRT(1+(A628/Zero2)^2)</f>
        <v>2052.7168810896355</v>
      </c>
      <c r="L628" s="376">
        <f>ATAN(A628/Zero2)</f>
        <v>1.5703091675335459</v>
      </c>
      <c r="M628" s="364">
        <f>SQRT(1+(A628/pole4)^2)</f>
        <v>26.83004651268563</v>
      </c>
      <c r="N628" s="367">
        <f>ATAN(A628/pole4)</f>
        <v>1.5335160457618238</v>
      </c>
      <c r="O628" s="382">
        <f>SQRT((1-(A628^2/(pole3^2)))^2+(A628/(Q*pole3))^2)</f>
        <v>7974.7582365103608</v>
      </c>
      <c r="P628" s="369">
        <f>ATAN((A628/(Q*pole3))/(1-A628^2/pole3^2))</f>
        <v>-3.0950994632059487E-2</v>
      </c>
      <c r="Q628" s="370">
        <f t="shared" si="283"/>
        <v>-121.54101033786135</v>
      </c>
      <c r="R628" s="371">
        <f t="shared" si="284"/>
        <v>-86.592976325980203</v>
      </c>
      <c r="S628" s="373">
        <f>IF(R628&gt;0,R628,R628+180)</f>
        <v>93.407023674019797</v>
      </c>
      <c r="T628" s="346" t="s">
        <v>615</v>
      </c>
      <c r="X628" s="380"/>
      <c r="Y628" s="380"/>
      <c r="AA628" s="372">
        <f t="shared" si="285"/>
        <v>-65.21448595384696</v>
      </c>
      <c r="AB628" s="373">
        <f t="shared" si="286"/>
        <v>1.2989163051667283</v>
      </c>
    </row>
    <row r="629" spans="1:28" x14ac:dyDescent="0.2">
      <c r="A629" s="442">
        <f>Fp2_u</f>
        <v>372975.61591911386</v>
      </c>
      <c r="Q629" s="370">
        <v>-25</v>
      </c>
    </row>
    <row r="631" spans="1:28" x14ac:dyDescent="0.2">
      <c r="D631" s="346" t="s">
        <v>511</v>
      </c>
      <c r="E631" s="346" t="s">
        <v>512</v>
      </c>
    </row>
    <row r="632" spans="1:28" x14ac:dyDescent="0.2">
      <c r="A632" s="346" t="s">
        <v>484</v>
      </c>
      <c r="B632" s="346" t="s">
        <v>612</v>
      </c>
      <c r="C632" s="386">
        <f>pole1</f>
        <v>781.55008864865476</v>
      </c>
      <c r="D632" s="386">
        <f>Q622</f>
        <v>38.642845345621112</v>
      </c>
      <c r="E632" s="386">
        <f>AA622</f>
        <v>50.39237572941488</v>
      </c>
    </row>
    <row r="633" spans="1:28" x14ac:dyDescent="0.2">
      <c r="A633" s="346" t="s">
        <v>479</v>
      </c>
      <c r="B633" s="346" t="s">
        <v>624</v>
      </c>
      <c r="C633" s="386">
        <f>Zero1</f>
        <v>83589.781131174561</v>
      </c>
      <c r="D633" s="386">
        <f>Q623</f>
        <v>-18.608028238873715</v>
      </c>
      <c r="E633" s="386">
        <f>AA623</f>
        <v>9.3441784580999929</v>
      </c>
    </row>
    <row r="634" spans="1:28" x14ac:dyDescent="0.2">
      <c r="A634" s="346" t="s">
        <v>487</v>
      </c>
      <c r="B634" s="346" t="s">
        <v>625</v>
      </c>
      <c r="C634" s="386">
        <f>Pole2</f>
        <v>2.9455317176396494</v>
      </c>
      <c r="D634" s="386">
        <f>Q624</f>
        <v>87.009177485212007</v>
      </c>
      <c r="E634" s="386">
        <f>AA624</f>
        <v>53.40342687657391</v>
      </c>
    </row>
    <row r="635" spans="1:28" x14ac:dyDescent="0.2">
      <c r="A635" s="346" t="s">
        <v>482</v>
      </c>
      <c r="B635" s="346" t="s">
        <v>626</v>
      </c>
      <c r="C635" s="386">
        <f>Zero2</f>
        <v>4871.5929988906146</v>
      </c>
      <c r="D635" s="386">
        <f>Q625</f>
        <v>12.622918242841623</v>
      </c>
      <c r="E635" s="386">
        <f>AA625</f>
        <v>37.367457624014989</v>
      </c>
    </row>
    <row r="636" spans="1:28" x14ac:dyDescent="0.2">
      <c r="A636" s="346" t="s">
        <v>480</v>
      </c>
      <c r="B636" s="346" t="s">
        <v>623</v>
      </c>
      <c r="C636" s="346">
        <f>pole3</f>
        <v>112000</v>
      </c>
      <c r="D636" s="386">
        <f>Q626</f>
        <v>-22.209367584391742</v>
      </c>
      <c r="E636" s="386">
        <f>AA626</f>
        <v>5.9114736191686523</v>
      </c>
    </row>
    <row r="637" spans="1:28" x14ac:dyDescent="0.2">
      <c r="A637" s="346" t="s">
        <v>611</v>
      </c>
      <c r="B637" s="346" t="s">
        <v>627</v>
      </c>
      <c r="C637" s="442">
        <f>z_RHP</f>
        <v>10000000</v>
      </c>
      <c r="D637" s="386">
        <f>Q628</f>
        <v>-121.54101033786135</v>
      </c>
      <c r="E637" s="386">
        <f>AA628</f>
        <v>-65.21448595384696</v>
      </c>
    </row>
    <row r="639" spans="1:28" x14ac:dyDescent="0.2">
      <c r="A639" s="386">
        <f>Q4*1000</f>
        <v>15136</v>
      </c>
    </row>
    <row r="640" spans="1:28" x14ac:dyDescent="0.2">
      <c r="A640" s="386">
        <f>Q4*1000</f>
        <v>15136</v>
      </c>
    </row>
    <row r="687" spans="30:31" x14ac:dyDescent="0.2">
      <c r="AD687" t="s">
        <v>48</v>
      </c>
      <c r="AE687" s="4">
        <f>SUM(AE689:AE1306)</f>
        <v>0</v>
      </c>
    </row>
  </sheetData>
  <mergeCells count="20">
    <mergeCell ref="X10:Y10"/>
    <mergeCell ref="AA10:AB10"/>
    <mergeCell ref="C11:D11"/>
    <mergeCell ref="E11:F11"/>
    <mergeCell ref="I11:J11"/>
    <mergeCell ref="K11:L11"/>
    <mergeCell ref="M11:N11"/>
    <mergeCell ref="O11:P11"/>
    <mergeCell ref="B10:B11"/>
    <mergeCell ref="A2:D2"/>
    <mergeCell ref="J2:L2"/>
    <mergeCell ref="M2:O2"/>
    <mergeCell ref="A10:A12"/>
    <mergeCell ref="O10:P10"/>
    <mergeCell ref="P2:R2"/>
    <mergeCell ref="G11:H11"/>
    <mergeCell ref="E2:G2"/>
    <mergeCell ref="C10:H10"/>
    <mergeCell ref="I10:N10"/>
    <mergeCell ref="Q10:S10"/>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2:P159"/>
  <sheetViews>
    <sheetView workbookViewId="0">
      <selection activeCell="N19" sqref="N19"/>
    </sheetView>
  </sheetViews>
  <sheetFormatPr defaultRowHeight="12.75" x14ac:dyDescent="0.2"/>
  <cols>
    <col min="1" max="1" width="17.28515625" customWidth="1"/>
    <col min="2" max="2" width="12" bestFit="1" customWidth="1"/>
    <col min="3" max="4" width="12.42578125" bestFit="1" customWidth="1"/>
    <col min="7" max="8" width="12.42578125" bestFit="1" customWidth="1"/>
    <col min="13" max="13" width="12.140625" customWidth="1"/>
    <col min="14" max="14" width="12.42578125" bestFit="1" customWidth="1"/>
    <col min="15" max="15" width="15.42578125" customWidth="1"/>
  </cols>
  <sheetData>
    <row r="2" spans="1:16" x14ac:dyDescent="0.2">
      <c r="A2" t="s">
        <v>193</v>
      </c>
      <c r="B2" t="s">
        <v>183</v>
      </c>
      <c r="C2" t="s">
        <v>33</v>
      </c>
      <c r="D2" t="s">
        <v>34</v>
      </c>
      <c r="E2" t="s">
        <v>27</v>
      </c>
      <c r="F2" t="s">
        <v>61</v>
      </c>
      <c r="G2" s="118" t="s">
        <v>440</v>
      </c>
      <c r="H2" s="118" t="s">
        <v>466</v>
      </c>
      <c r="I2" t="s">
        <v>191</v>
      </c>
      <c r="J2" t="s">
        <v>204</v>
      </c>
    </row>
    <row r="3" spans="1:16" x14ac:dyDescent="0.2">
      <c r="A3" t="s">
        <v>196</v>
      </c>
      <c r="B3">
        <f>Css</f>
        <v>9.3750000000000002E-8</v>
      </c>
      <c r="C3">
        <f>Cc1ea</f>
        <v>3.9423377303872813E-9</v>
      </c>
      <c r="D3">
        <f>Cc2ea</f>
        <v>2.1054872703924022E-10</v>
      </c>
      <c r="E3">
        <f>Cout</f>
        <v>2.72E-4</v>
      </c>
      <c r="F3">
        <f>Cin</f>
        <v>1E-4</v>
      </c>
      <c r="G3">
        <f>Csideal*10^-12</f>
        <v>1.645E-10</v>
      </c>
      <c r="H3">
        <f>N19</f>
        <v>8.3333333333333319E-9</v>
      </c>
      <c r="I3">
        <f>Csb</f>
        <v>5000</v>
      </c>
      <c r="J3">
        <f>Csby</f>
        <v>8.3333333333333319E-9</v>
      </c>
      <c r="M3" t="s">
        <v>198</v>
      </c>
      <c r="N3" t="s">
        <v>199</v>
      </c>
      <c r="O3" s="2" t="s">
        <v>195</v>
      </c>
    </row>
    <row r="4" spans="1:16" x14ac:dyDescent="0.2">
      <c r="A4" s="7" t="s">
        <v>195</v>
      </c>
      <c r="B4" s="7">
        <f>SUM(B6:B158)/1000000000000</f>
        <v>9.9999999999999995E-8</v>
      </c>
      <c r="C4" s="7">
        <f>SUM(C6:C158)/1000000000000000</f>
        <v>3.8999999999999999E-12</v>
      </c>
      <c r="D4" s="7">
        <f>SUM(D6:D158)/1000000000000</f>
        <v>2.1999999999999999E-10</v>
      </c>
      <c r="E4" s="7">
        <f>SUM(E6:E158)/1000000000000</f>
        <v>2.7E-4</v>
      </c>
      <c r="F4" s="7">
        <f>SUM(F6:F158)/1000000000000</f>
        <v>1E-4</v>
      </c>
      <c r="G4" s="7">
        <f>SUM(G6:G158)/1000000000000</f>
        <v>1.5E-10</v>
      </c>
      <c r="H4" s="7">
        <f t="shared" ref="H4:J4" si="0">IF(H3="OPEN","OPEN",SUM(H6:H158)/1000000000000)</f>
        <v>8.2000000000000006E-9</v>
      </c>
      <c r="I4" s="7">
        <f t="shared" si="0"/>
        <v>0</v>
      </c>
      <c r="J4" s="7">
        <f t="shared" si="0"/>
        <v>8.2000000000000006E-9</v>
      </c>
      <c r="M4" s="118" t="s">
        <v>359</v>
      </c>
      <c r="N4">
        <f>Rfadj</f>
        <v>115250.96525096527</v>
      </c>
      <c r="O4" s="2">
        <f t="shared" ref="O4:O9"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115000</v>
      </c>
      <c r="P4" s="45" t="s">
        <v>347</v>
      </c>
    </row>
    <row r="5" spans="1:16" x14ac:dyDescent="0.2">
      <c r="A5" t="s">
        <v>194</v>
      </c>
      <c r="O5" s="2"/>
      <c r="P5" s="45"/>
    </row>
    <row r="6" spans="1:16" x14ac:dyDescent="0.2">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8" t="s">
        <v>456</v>
      </c>
      <c r="N6" s="53">
        <f>Rshunt</f>
        <v>0</v>
      </c>
      <c r="O6" s="2" t="e">
        <f t="shared" si="1"/>
        <v>#NUM!</v>
      </c>
      <c r="P6" s="45" t="s">
        <v>347</v>
      </c>
    </row>
    <row r="7" spans="1:16" x14ac:dyDescent="0.2">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215</v>
      </c>
      <c r="N7">
        <f>Rcea1</f>
        <v>8074.1404800000009</v>
      </c>
      <c r="O7" s="2">
        <f t="shared" si="1"/>
        <v>8060</v>
      </c>
      <c r="P7" s="45" t="s">
        <v>347</v>
      </c>
    </row>
    <row r="8" spans="1:16" x14ac:dyDescent="0.2">
      <c r="A8">
        <v>0.68</v>
      </c>
      <c r="B8">
        <f t="shared" si="3"/>
        <v>0</v>
      </c>
      <c r="C8">
        <f t="shared" si="4"/>
        <v>0</v>
      </c>
      <c r="D8">
        <f t="shared" si="5"/>
        <v>0</v>
      </c>
      <c r="E8">
        <f t="shared" si="6"/>
        <v>0</v>
      </c>
      <c r="F8">
        <f t="shared" si="7"/>
        <v>0</v>
      </c>
      <c r="G8">
        <f t="shared" si="8"/>
        <v>0</v>
      </c>
      <c r="H8">
        <f t="shared" si="8"/>
        <v>0</v>
      </c>
      <c r="I8">
        <f t="shared" si="8"/>
        <v>0</v>
      </c>
      <c r="J8">
        <f t="shared" si="8"/>
        <v>0</v>
      </c>
      <c r="O8" s="2"/>
      <c r="P8" s="45"/>
    </row>
    <row r="9" spans="1:16" x14ac:dyDescent="0.2">
      <c r="A9">
        <v>0.82</v>
      </c>
      <c r="B9">
        <f t="shared" si="3"/>
        <v>0</v>
      </c>
      <c r="C9">
        <f t="shared" si="4"/>
        <v>0</v>
      </c>
      <c r="D9">
        <f t="shared" si="5"/>
        <v>0</v>
      </c>
      <c r="E9">
        <f t="shared" si="6"/>
        <v>0</v>
      </c>
      <c r="F9">
        <f t="shared" si="7"/>
        <v>0</v>
      </c>
      <c r="G9">
        <f t="shared" si="8"/>
        <v>0</v>
      </c>
      <c r="H9">
        <f t="shared" si="8"/>
        <v>0</v>
      </c>
      <c r="I9">
        <f t="shared" si="8"/>
        <v>0</v>
      </c>
      <c r="J9">
        <f t="shared" si="8"/>
        <v>0</v>
      </c>
      <c r="M9" t="s">
        <v>31</v>
      </c>
      <c r="N9">
        <f>Rfb1_</f>
        <v>100000</v>
      </c>
      <c r="O9" s="2">
        <f t="shared" si="1"/>
        <v>100000</v>
      </c>
      <c r="P9" s="45" t="s">
        <v>347</v>
      </c>
    </row>
    <row r="10" spans="1:16" x14ac:dyDescent="0.2">
      <c r="A10">
        <v>1</v>
      </c>
      <c r="B10">
        <f t="shared" si="3"/>
        <v>0</v>
      </c>
      <c r="C10">
        <f t="shared" si="4"/>
        <v>0</v>
      </c>
      <c r="D10">
        <f t="shared" si="5"/>
        <v>0</v>
      </c>
      <c r="E10">
        <f t="shared" si="6"/>
        <v>0</v>
      </c>
      <c r="F10">
        <f t="shared" si="7"/>
        <v>0</v>
      </c>
      <c r="G10">
        <f t="shared" si="8"/>
        <v>0</v>
      </c>
      <c r="H10">
        <f t="shared" si="8"/>
        <v>0</v>
      </c>
      <c r="I10">
        <f t="shared" si="8"/>
        <v>0</v>
      </c>
      <c r="J10">
        <f t="shared" si="8"/>
        <v>0</v>
      </c>
      <c r="M10" t="s">
        <v>43</v>
      </c>
      <c r="N10">
        <f>Rfb2_</f>
        <v>7142.8571428571431</v>
      </c>
      <c r="O10" s="2">
        <f>IF(N10="OPEN","OPEN",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7150</v>
      </c>
      <c r="P10" s="45" t="s">
        <v>347</v>
      </c>
    </row>
    <row r="11" spans="1:16" x14ac:dyDescent="0.2">
      <c r="A11">
        <v>1.2</v>
      </c>
      <c r="B11">
        <f t="shared" si="3"/>
        <v>0</v>
      </c>
      <c r="C11">
        <f t="shared" si="4"/>
        <v>0</v>
      </c>
      <c r="D11">
        <f t="shared" si="5"/>
        <v>0</v>
      </c>
      <c r="E11">
        <f t="shared" si="6"/>
        <v>0</v>
      </c>
      <c r="F11">
        <f t="shared" si="7"/>
        <v>0</v>
      </c>
      <c r="G11">
        <f t="shared" si="8"/>
        <v>0</v>
      </c>
      <c r="H11">
        <f t="shared" si="8"/>
        <v>0</v>
      </c>
      <c r="I11">
        <f t="shared" si="8"/>
        <v>0</v>
      </c>
      <c r="J11">
        <f t="shared" si="8"/>
        <v>0</v>
      </c>
      <c r="O11" s="2"/>
    </row>
    <row r="12" spans="1:16" x14ac:dyDescent="0.2">
      <c r="A12">
        <v>1.5</v>
      </c>
      <c r="B12">
        <f t="shared" si="3"/>
        <v>0</v>
      </c>
      <c r="C12">
        <f t="shared" si="4"/>
        <v>0</v>
      </c>
      <c r="D12">
        <f t="shared" si="5"/>
        <v>0</v>
      </c>
      <c r="E12">
        <f t="shared" si="6"/>
        <v>0</v>
      </c>
      <c r="F12">
        <f t="shared" si="7"/>
        <v>0</v>
      </c>
      <c r="G12">
        <f t="shared" si="8"/>
        <v>0</v>
      </c>
      <c r="H12">
        <f t="shared" si="8"/>
        <v>0</v>
      </c>
      <c r="I12">
        <f t="shared" si="8"/>
        <v>0</v>
      </c>
      <c r="J12">
        <f t="shared" si="8"/>
        <v>0</v>
      </c>
      <c r="O12" s="2"/>
    </row>
    <row r="13" spans="1:16" x14ac:dyDescent="0.2">
      <c r="A13">
        <v>1.8</v>
      </c>
      <c r="B13">
        <f t="shared" si="3"/>
        <v>0</v>
      </c>
      <c r="C13">
        <f t="shared" si="4"/>
        <v>0</v>
      </c>
      <c r="D13">
        <f t="shared" si="5"/>
        <v>0</v>
      </c>
      <c r="E13">
        <f t="shared" si="6"/>
        <v>0</v>
      </c>
      <c r="F13">
        <f t="shared" si="7"/>
        <v>0</v>
      </c>
      <c r="G13">
        <f t="shared" si="8"/>
        <v>0</v>
      </c>
      <c r="H13">
        <f t="shared" si="8"/>
        <v>0</v>
      </c>
      <c r="I13">
        <f t="shared" si="8"/>
        <v>0</v>
      </c>
      <c r="J13">
        <f t="shared" si="8"/>
        <v>0</v>
      </c>
      <c r="M13" s="118" t="s">
        <v>200</v>
      </c>
      <c r="N13">
        <f>Rs_ideal*1000</f>
        <v>7.5263967548640807</v>
      </c>
      <c r="O13" s="2">
        <f>IF(N13=0,0,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7.5</v>
      </c>
      <c r="P13" s="45" t="s">
        <v>439</v>
      </c>
    </row>
    <row r="14" spans="1:16" x14ac:dyDescent="0.2">
      <c r="A14">
        <v>2.2000000000000002</v>
      </c>
      <c r="B14">
        <f t="shared" ref="B14:J14" si="9">IF(IF((B$3*10^12-$A15)*(B$3*10^12-$A14)*-1&lt;0,0,1)*IF(ABS(B$3*10^12-$A15)&gt;(B$3*10^12-$A14),$A14,$A15)=B15,0,IF((B$3*10^12-$A15)*(B$3*10^12-$A14)*-1&lt;0,0,1)*IF(ABS(B$3*10^12-$A15)&gt;(B$3*10^12-$A14),$A14,$A15))</f>
        <v>0</v>
      </c>
      <c r="C14">
        <f t="shared" si="9"/>
        <v>0</v>
      </c>
      <c r="D14">
        <f t="shared" si="9"/>
        <v>0</v>
      </c>
      <c r="E14">
        <f t="shared" si="9"/>
        <v>0</v>
      </c>
      <c r="F14">
        <f t="shared" si="9"/>
        <v>0</v>
      </c>
      <c r="G14">
        <f t="shared" si="9"/>
        <v>0</v>
      </c>
      <c r="H14">
        <f t="shared" si="9"/>
        <v>0</v>
      </c>
      <c r="I14">
        <f t="shared" si="9"/>
        <v>0</v>
      </c>
      <c r="J14">
        <f t="shared" si="9"/>
        <v>0</v>
      </c>
      <c r="M14" s="118" t="s">
        <v>438</v>
      </c>
      <c r="N14">
        <f>Cslope_ideal</f>
        <v>164.5</v>
      </c>
      <c r="O14">
        <f>G4*1000000000000</f>
        <v>150</v>
      </c>
      <c r="P14" s="118" t="s">
        <v>32</v>
      </c>
    </row>
    <row r="15" spans="1:16" x14ac:dyDescent="0.2">
      <c r="A15">
        <v>2.7</v>
      </c>
      <c r="B15">
        <f t="shared" si="3"/>
        <v>0</v>
      </c>
      <c r="C15">
        <f t="shared" si="4"/>
        <v>0</v>
      </c>
      <c r="D15">
        <f t="shared" si="5"/>
        <v>0</v>
      </c>
      <c r="E15">
        <f t="shared" si="6"/>
        <v>0</v>
      </c>
      <c r="F15">
        <f t="shared" si="7"/>
        <v>0</v>
      </c>
      <c r="G15">
        <f t="shared" si="8"/>
        <v>0</v>
      </c>
      <c r="H15">
        <f t="shared" si="8"/>
        <v>0</v>
      </c>
      <c r="I15">
        <f t="shared" si="8"/>
        <v>0</v>
      </c>
      <c r="J15">
        <f t="shared" si="8"/>
        <v>0</v>
      </c>
    </row>
    <row r="16" spans="1:16" x14ac:dyDescent="0.2">
      <c r="A16">
        <v>3.3</v>
      </c>
      <c r="B16">
        <f t="shared" si="3"/>
        <v>0</v>
      </c>
      <c r="C16">
        <f t="shared" si="4"/>
        <v>0</v>
      </c>
      <c r="D16">
        <f t="shared" si="5"/>
        <v>0</v>
      </c>
      <c r="E16">
        <f t="shared" si="6"/>
        <v>0</v>
      </c>
      <c r="F16">
        <f t="shared" si="7"/>
        <v>0</v>
      </c>
      <c r="G16">
        <f t="shared" si="8"/>
        <v>0</v>
      </c>
      <c r="H16">
        <f t="shared" si="8"/>
        <v>0</v>
      </c>
      <c r="I16">
        <f t="shared" si="8"/>
        <v>0</v>
      </c>
      <c r="J16">
        <f t="shared" si="8"/>
        <v>0</v>
      </c>
      <c r="M16" s="118" t="s">
        <v>340</v>
      </c>
      <c r="N16">
        <f>Ruvlo1</f>
        <v>200</v>
      </c>
      <c r="O16" s="2">
        <f>IF(N16="OPEN","OPEN",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200</v>
      </c>
      <c r="P16" s="45" t="s">
        <v>309</v>
      </c>
    </row>
    <row r="17" spans="1:16" x14ac:dyDescent="0.2">
      <c r="A17">
        <v>3.9</v>
      </c>
      <c r="B17">
        <f t="shared" si="3"/>
        <v>0</v>
      </c>
      <c r="C17">
        <f t="shared" si="4"/>
        <v>0</v>
      </c>
      <c r="D17">
        <f t="shared" si="5"/>
        <v>0</v>
      </c>
      <c r="E17">
        <f t="shared" si="6"/>
        <v>0</v>
      </c>
      <c r="F17">
        <f t="shared" si="7"/>
        <v>0</v>
      </c>
      <c r="G17">
        <f t="shared" si="8"/>
        <v>0</v>
      </c>
      <c r="H17">
        <f t="shared" si="8"/>
        <v>0</v>
      </c>
      <c r="I17">
        <f t="shared" si="8"/>
        <v>0</v>
      </c>
      <c r="J17">
        <f t="shared" si="8"/>
        <v>0</v>
      </c>
      <c r="M17" s="118" t="s">
        <v>341</v>
      </c>
      <c r="N17">
        <f>Ruvlo2</f>
        <v>52.794496990541703</v>
      </c>
      <c r="O17" s="2">
        <f>IF(N17="OPEN","OPEN",IF(N17&gt;(INT(0.5+100*POWER(10,IF(96*(LOG(N17)-INT(LOG(N17)))-ROUND(96*(LOG(N17)-INT(LOG(N17))),0)&lt;0,ROUND(96*(LOG(N17)-INT(LOG(N17))),0)-1,ROUND(96*(LOG(N17)-INT(LOG(N17))),0))/96))*POWER(10,INT(LOG(N17))-2)+INT(0.5+100*POWER(10,(IF(96*(LOG(N17)-INT(LOG(N17)))-ROUND(96*(LOG(N17)-INT(LOG(N17))),0)&lt;0,ROUND(96*(LOG(N17)-INT(LOG(N17))),0)-1,ROUND(96*(LOG(N17)-INT(LOG(N17))),0))+1)/96))*POWER(10,INT(LOG(N17))-2))/2,INT(0.5+100*POWER(10,(IF(96*(LOG(N17)-INT(LOG(N17)))-ROUND(96*(LOG(N17)-INT(LOG(N17))),0)&lt;0,ROUND(96*(LOG(N17)-INT(LOG(N17))),0)-1,ROUND(96*(LOG(N17)-INT(LOG(N17))),0))+1)/96))*POWER(10,INT(LOG(N17))-2),INT(0.5+100*POWER(10,IF(96*(LOG(N17)-INT(LOG(N17)))-ROUND(96*(LOG(N17)-INT(LOG(N17))),0)&lt;0,ROUND(96*(LOG(N17)-INT(LOG(N17))),0)-1,ROUND(96*(LOG(N17)-INT(LOG(N17))),0))/96))*POWER(10,INT(LOG(N17))-2)))</f>
        <v>52.300000000000004</v>
      </c>
      <c r="P17" s="45" t="s">
        <v>309</v>
      </c>
    </row>
    <row r="18" spans="1:16" x14ac:dyDescent="0.2">
      <c r="A18">
        <v>4.7</v>
      </c>
      <c r="B18">
        <f t="shared" si="3"/>
        <v>0</v>
      </c>
      <c r="C18">
        <f t="shared" si="4"/>
        <v>0</v>
      </c>
      <c r="D18">
        <f t="shared" si="5"/>
        <v>0</v>
      </c>
      <c r="E18">
        <f t="shared" si="6"/>
        <v>0</v>
      </c>
      <c r="F18">
        <f t="shared" si="7"/>
        <v>0</v>
      </c>
      <c r="G18">
        <f t="shared" si="8"/>
        <v>0</v>
      </c>
      <c r="H18">
        <f t="shared" si="8"/>
        <v>0</v>
      </c>
      <c r="I18">
        <f t="shared" si="8"/>
        <v>0</v>
      </c>
      <c r="J18">
        <f t="shared" si="8"/>
        <v>0</v>
      </c>
      <c r="O18" s="2"/>
    </row>
    <row r="19" spans="1:16" x14ac:dyDescent="0.2">
      <c r="A19">
        <v>5.6</v>
      </c>
      <c r="B19">
        <f t="shared" si="3"/>
        <v>0</v>
      </c>
      <c r="C19">
        <f t="shared" si="4"/>
        <v>0</v>
      </c>
      <c r="D19">
        <f t="shared" si="5"/>
        <v>0</v>
      </c>
      <c r="E19">
        <f t="shared" si="6"/>
        <v>0</v>
      </c>
      <c r="F19">
        <f t="shared" si="7"/>
        <v>0</v>
      </c>
      <c r="G19">
        <f t="shared" si="8"/>
        <v>0</v>
      </c>
      <c r="H19">
        <f t="shared" si="8"/>
        <v>0</v>
      </c>
      <c r="I19">
        <f t="shared" si="8"/>
        <v>0</v>
      </c>
      <c r="J19">
        <f t="shared" si="8"/>
        <v>0</v>
      </c>
      <c r="M19" s="118" t="s">
        <v>466</v>
      </c>
      <c r="N19">
        <f>Csby</f>
        <v>8.3333333333333319E-9</v>
      </c>
      <c r="O19" s="2">
        <f>H4</f>
        <v>8.2000000000000006E-9</v>
      </c>
    </row>
    <row r="20" spans="1:16" x14ac:dyDescent="0.2">
      <c r="A20">
        <v>6.8</v>
      </c>
      <c r="B20">
        <f t="shared" si="3"/>
        <v>0</v>
      </c>
      <c r="C20">
        <f t="shared" si="4"/>
        <v>0</v>
      </c>
      <c r="D20">
        <f t="shared" si="5"/>
        <v>0</v>
      </c>
      <c r="E20">
        <f t="shared" si="6"/>
        <v>0</v>
      </c>
      <c r="F20">
        <f t="shared" si="7"/>
        <v>0</v>
      </c>
      <c r="G20">
        <f t="shared" si="8"/>
        <v>0</v>
      </c>
      <c r="H20">
        <f t="shared" si="8"/>
        <v>0</v>
      </c>
      <c r="I20">
        <f t="shared" si="8"/>
        <v>0</v>
      </c>
      <c r="J20">
        <f t="shared" si="8"/>
        <v>0</v>
      </c>
      <c r="O20" s="2"/>
    </row>
    <row r="21" spans="1:16" x14ac:dyDescent="0.2">
      <c r="A21">
        <v>8.1999999999999993</v>
      </c>
      <c r="B21">
        <f t="shared" si="3"/>
        <v>0</v>
      </c>
      <c r="C21">
        <f t="shared" si="4"/>
        <v>0</v>
      </c>
      <c r="D21">
        <f t="shared" si="5"/>
        <v>0</v>
      </c>
      <c r="E21">
        <f t="shared" si="6"/>
        <v>0</v>
      </c>
      <c r="F21">
        <f t="shared" si="7"/>
        <v>0</v>
      </c>
      <c r="G21">
        <f t="shared" si="8"/>
        <v>0</v>
      </c>
      <c r="H21">
        <f t="shared" si="8"/>
        <v>0</v>
      </c>
      <c r="I21">
        <f t="shared" si="8"/>
        <v>0</v>
      </c>
      <c r="J21">
        <f t="shared" si="8"/>
        <v>0</v>
      </c>
      <c r="M21" s="118" t="s">
        <v>456</v>
      </c>
      <c r="N21" s="336">
        <f>Rshunt</f>
        <v>0</v>
      </c>
      <c r="O21" s="2">
        <f>IF(N21=0,0,IF(N21&gt;(INT(0.5+100*POWER(10,IF(96*(LOG(N21)-INT(LOG(N21)))-ROUND(96*(LOG(N21)-INT(LOG(N21))),0)&lt;0,ROUND(96*(LOG(N21)-INT(LOG(N21))),0)-1,ROUND(96*(LOG(N21)-INT(LOG(N21))),0))/96))*POWER(10,INT(LOG(N21))-2)+INT(0.5+100*POWER(10,(IF(96*(LOG(N21)-INT(LOG(N21)))-ROUND(96*(LOG(N21)-INT(LOG(N21))),0)&lt;0,ROUND(96*(LOG(N21)-INT(LOG(N21))),0)-1,ROUND(96*(LOG(N21)-INT(LOG(N21))),0))+1)/96))*POWER(10,INT(LOG(N21))-2))/2,INT(0.5+100*POWER(10,(IF(96*(LOG(N21)-INT(LOG(N21)))-ROUND(96*(LOG(N21)-INT(LOG(N21))),0)&lt;0,ROUND(96*(LOG(N21)-INT(LOG(N21))),0)-1,ROUND(96*(LOG(N21)-INT(LOG(N21))),0))+1)/96))*POWER(10,INT(LOG(N21))-2),INT(0.5+100*POWER(10,IF(96*(LOG(N21)-INT(LOG(N21)))-ROUND(96*(LOG(N21)-INT(LOG(N21))),0)&lt;0,ROUND(96*(LOG(N21)-INT(LOG(N21))),0)-1,ROUND(96*(LOG(N21)-INT(LOG(N21))),0))/96))*POWER(10,INT(LOG(N21))-2)))</f>
        <v>0</v>
      </c>
      <c r="P21" s="45" t="s">
        <v>439</v>
      </c>
    </row>
    <row r="22" spans="1:16" x14ac:dyDescent="0.2">
      <c r="A22">
        <v>10</v>
      </c>
      <c r="B22">
        <f t="shared" si="3"/>
        <v>0</v>
      </c>
      <c r="C22">
        <f t="shared" si="4"/>
        <v>0</v>
      </c>
      <c r="D22">
        <f t="shared" si="5"/>
        <v>0</v>
      </c>
      <c r="E22">
        <f t="shared" si="6"/>
        <v>0</v>
      </c>
      <c r="F22">
        <f t="shared" si="7"/>
        <v>0</v>
      </c>
      <c r="G22">
        <f t="shared" si="8"/>
        <v>0</v>
      </c>
      <c r="H22">
        <f t="shared" si="8"/>
        <v>0</v>
      </c>
      <c r="I22">
        <f t="shared" si="8"/>
        <v>0</v>
      </c>
      <c r="J22">
        <f t="shared" si="8"/>
        <v>0</v>
      </c>
    </row>
    <row r="23" spans="1:16" x14ac:dyDescent="0.2">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x14ac:dyDescent="0.2">
      <c r="A24">
        <v>15</v>
      </c>
      <c r="B24">
        <f t="shared" si="3"/>
        <v>0</v>
      </c>
      <c r="C24">
        <f t="shared" si="4"/>
        <v>0</v>
      </c>
      <c r="D24">
        <f t="shared" si="5"/>
        <v>0</v>
      </c>
      <c r="E24">
        <f t="shared" si="6"/>
        <v>0</v>
      </c>
      <c r="F24">
        <f t="shared" si="7"/>
        <v>0</v>
      </c>
      <c r="G24">
        <f t="shared" si="8"/>
        <v>0</v>
      </c>
      <c r="H24">
        <f t="shared" si="8"/>
        <v>0</v>
      </c>
      <c r="I24">
        <f t="shared" si="8"/>
        <v>0</v>
      </c>
      <c r="J24">
        <f t="shared" si="8"/>
        <v>0</v>
      </c>
      <c r="M24" s="118"/>
      <c r="O24" s="2"/>
      <c r="P24" s="45"/>
    </row>
    <row r="25" spans="1:16" x14ac:dyDescent="0.2">
      <c r="A25">
        <v>18</v>
      </c>
      <c r="B25">
        <f t="shared" si="3"/>
        <v>0</v>
      </c>
      <c r="C25">
        <f t="shared" si="4"/>
        <v>0</v>
      </c>
      <c r="D25">
        <f t="shared" si="5"/>
        <v>0</v>
      </c>
      <c r="E25">
        <f t="shared" si="6"/>
        <v>0</v>
      </c>
      <c r="F25">
        <f t="shared" si="7"/>
        <v>0</v>
      </c>
      <c r="G25">
        <f t="shared" si="8"/>
        <v>0</v>
      </c>
      <c r="H25">
        <f t="shared" si="8"/>
        <v>0</v>
      </c>
      <c r="I25">
        <f t="shared" si="8"/>
        <v>0</v>
      </c>
      <c r="J25">
        <f t="shared" si="8"/>
        <v>0</v>
      </c>
    </row>
    <row r="26" spans="1:16" x14ac:dyDescent="0.2">
      <c r="A26">
        <v>22</v>
      </c>
      <c r="B26">
        <f t="shared" si="3"/>
        <v>0</v>
      </c>
      <c r="C26">
        <f t="shared" si="4"/>
        <v>0</v>
      </c>
      <c r="D26">
        <f t="shared" si="5"/>
        <v>0</v>
      </c>
      <c r="E26">
        <f t="shared" si="6"/>
        <v>0</v>
      </c>
      <c r="F26">
        <f t="shared" si="7"/>
        <v>0</v>
      </c>
      <c r="G26">
        <f t="shared" si="8"/>
        <v>0</v>
      </c>
      <c r="H26">
        <f t="shared" si="8"/>
        <v>0</v>
      </c>
      <c r="I26">
        <f t="shared" si="8"/>
        <v>0</v>
      </c>
      <c r="J26">
        <f t="shared" si="8"/>
        <v>0</v>
      </c>
    </row>
    <row r="27" spans="1:16" x14ac:dyDescent="0.2">
      <c r="A27">
        <v>27</v>
      </c>
      <c r="B27">
        <f t="shared" si="3"/>
        <v>0</v>
      </c>
      <c r="C27">
        <f t="shared" si="4"/>
        <v>0</v>
      </c>
      <c r="D27">
        <f t="shared" si="5"/>
        <v>0</v>
      </c>
      <c r="E27">
        <f t="shared" si="6"/>
        <v>0</v>
      </c>
      <c r="F27">
        <f t="shared" si="7"/>
        <v>0</v>
      </c>
      <c r="G27">
        <f t="shared" si="8"/>
        <v>0</v>
      </c>
      <c r="H27">
        <f t="shared" si="8"/>
        <v>0</v>
      </c>
      <c r="I27">
        <f t="shared" si="8"/>
        <v>0</v>
      </c>
      <c r="J27">
        <f t="shared" si="8"/>
        <v>0</v>
      </c>
      <c r="M27" s="3" t="s">
        <v>205</v>
      </c>
      <c r="N27" t="str">
        <f>O7/1000&amp;" kΩ"</f>
        <v>8.06 kΩ</v>
      </c>
      <c r="O27">
        <f>O7/1000</f>
        <v>8.06</v>
      </c>
      <c r="P27" s="45" t="s">
        <v>309</v>
      </c>
    </row>
    <row r="28" spans="1:16" x14ac:dyDescent="0.2">
      <c r="A28">
        <v>33</v>
      </c>
      <c r="B28">
        <f t="shared" si="3"/>
        <v>0</v>
      </c>
      <c r="C28">
        <f t="shared" si="4"/>
        <v>0</v>
      </c>
      <c r="D28">
        <f t="shared" si="5"/>
        <v>0</v>
      </c>
      <c r="E28">
        <f t="shared" si="6"/>
        <v>0</v>
      </c>
      <c r="F28">
        <f t="shared" si="7"/>
        <v>0</v>
      </c>
      <c r="G28">
        <f t="shared" si="8"/>
        <v>0</v>
      </c>
      <c r="H28">
        <f t="shared" si="8"/>
        <v>0</v>
      </c>
      <c r="I28">
        <f t="shared" si="8"/>
        <v>0</v>
      </c>
      <c r="J28">
        <f t="shared" si="8"/>
        <v>0</v>
      </c>
      <c r="M28" s="3" t="s">
        <v>202</v>
      </c>
      <c r="N28" t="str">
        <f>C4*1000000000&amp;" nF"</f>
        <v>0.0039 nF</v>
      </c>
      <c r="O28">
        <f>C4*1000000000000</f>
        <v>3.9</v>
      </c>
      <c r="P28" s="118" t="s">
        <v>172</v>
      </c>
    </row>
    <row r="29" spans="1:16" x14ac:dyDescent="0.2">
      <c r="A29">
        <v>39</v>
      </c>
      <c r="B29">
        <f t="shared" si="3"/>
        <v>0</v>
      </c>
      <c r="C29">
        <f t="shared" si="4"/>
        <v>0</v>
      </c>
      <c r="D29">
        <f t="shared" si="5"/>
        <v>0</v>
      </c>
      <c r="E29">
        <f t="shared" si="6"/>
        <v>0</v>
      </c>
      <c r="F29">
        <f t="shared" si="7"/>
        <v>0</v>
      </c>
      <c r="G29">
        <f t="shared" si="8"/>
        <v>0</v>
      </c>
      <c r="H29">
        <f t="shared" si="8"/>
        <v>0</v>
      </c>
      <c r="I29">
        <f t="shared" si="8"/>
        <v>0</v>
      </c>
      <c r="J29">
        <f t="shared" si="8"/>
        <v>0</v>
      </c>
      <c r="M29" s="3" t="s">
        <v>203</v>
      </c>
      <c r="N29" t="str">
        <f>D4*1000000000000&amp;" pF"</f>
        <v>220 pF</v>
      </c>
      <c r="O29">
        <f>D4*1000000000000</f>
        <v>220</v>
      </c>
      <c r="P29" s="118" t="s">
        <v>32</v>
      </c>
    </row>
    <row r="30" spans="1:16" x14ac:dyDescent="0.2">
      <c r="A30">
        <v>47</v>
      </c>
      <c r="B30">
        <f t="shared" si="3"/>
        <v>0</v>
      </c>
      <c r="C30">
        <f t="shared" si="4"/>
        <v>0</v>
      </c>
      <c r="D30">
        <f t="shared" si="5"/>
        <v>0</v>
      </c>
      <c r="E30">
        <f t="shared" si="6"/>
        <v>0</v>
      </c>
      <c r="F30">
        <f t="shared" si="7"/>
        <v>0</v>
      </c>
      <c r="G30">
        <f t="shared" si="8"/>
        <v>0</v>
      </c>
      <c r="H30">
        <f t="shared" si="8"/>
        <v>0</v>
      </c>
      <c r="I30">
        <f t="shared" si="8"/>
        <v>0</v>
      </c>
      <c r="J30">
        <f t="shared" si="8"/>
        <v>0</v>
      </c>
      <c r="M30" s="3"/>
      <c r="P30" s="45"/>
    </row>
    <row r="31" spans="1:16" x14ac:dyDescent="0.2">
      <c r="A31">
        <v>56</v>
      </c>
      <c r="B31">
        <f t="shared" si="3"/>
        <v>0</v>
      </c>
      <c r="C31">
        <f t="shared" si="4"/>
        <v>0</v>
      </c>
      <c r="D31">
        <f t="shared" si="5"/>
        <v>0</v>
      </c>
      <c r="E31">
        <f t="shared" si="6"/>
        <v>0</v>
      </c>
      <c r="F31">
        <f t="shared" si="7"/>
        <v>0</v>
      </c>
      <c r="G31">
        <f t="shared" si="8"/>
        <v>0</v>
      </c>
      <c r="H31">
        <f t="shared" si="8"/>
        <v>0</v>
      </c>
      <c r="I31">
        <f t="shared" si="8"/>
        <v>0</v>
      </c>
      <c r="J31">
        <f t="shared" si="8"/>
        <v>0</v>
      </c>
      <c r="M31" s="3"/>
      <c r="P31" s="118"/>
    </row>
    <row r="32" spans="1:16" x14ac:dyDescent="0.2">
      <c r="A32">
        <v>68</v>
      </c>
      <c r="B32">
        <f t="shared" si="3"/>
        <v>0</v>
      </c>
      <c r="C32">
        <f t="shared" si="4"/>
        <v>0</v>
      </c>
      <c r="D32">
        <f t="shared" si="5"/>
        <v>0</v>
      </c>
      <c r="E32">
        <f t="shared" si="6"/>
        <v>0</v>
      </c>
      <c r="F32">
        <f t="shared" si="7"/>
        <v>0</v>
      </c>
      <c r="G32">
        <f t="shared" si="8"/>
        <v>0</v>
      </c>
      <c r="H32">
        <f t="shared" si="8"/>
        <v>0</v>
      </c>
      <c r="I32">
        <f t="shared" si="8"/>
        <v>0</v>
      </c>
      <c r="J32">
        <f t="shared" si="8"/>
        <v>0</v>
      </c>
    </row>
    <row r="33" spans="1:13" x14ac:dyDescent="0.2">
      <c r="A33">
        <v>82</v>
      </c>
      <c r="B33">
        <f t="shared" si="3"/>
        <v>0</v>
      </c>
      <c r="C33">
        <f t="shared" si="4"/>
        <v>0</v>
      </c>
      <c r="D33">
        <f t="shared" si="5"/>
        <v>0</v>
      </c>
      <c r="E33">
        <f t="shared" si="6"/>
        <v>0</v>
      </c>
      <c r="F33">
        <f t="shared" si="7"/>
        <v>0</v>
      </c>
      <c r="G33">
        <f t="shared" si="8"/>
        <v>0</v>
      </c>
      <c r="H33">
        <f t="shared" si="8"/>
        <v>0</v>
      </c>
      <c r="I33">
        <f t="shared" si="8"/>
        <v>0</v>
      </c>
      <c r="J33">
        <f t="shared" si="8"/>
        <v>0</v>
      </c>
    </row>
    <row r="34" spans="1:13" x14ac:dyDescent="0.2">
      <c r="A34">
        <f>A22*10</f>
        <v>100</v>
      </c>
      <c r="B34">
        <f t="shared" si="3"/>
        <v>0</v>
      </c>
      <c r="C34">
        <f t="shared" si="4"/>
        <v>0</v>
      </c>
      <c r="D34">
        <f t="shared" si="5"/>
        <v>0</v>
      </c>
      <c r="E34">
        <f t="shared" si="6"/>
        <v>0</v>
      </c>
      <c r="F34">
        <f t="shared" si="7"/>
        <v>0</v>
      </c>
      <c r="G34">
        <f t="shared" si="8"/>
        <v>0</v>
      </c>
      <c r="H34">
        <f t="shared" si="8"/>
        <v>0</v>
      </c>
      <c r="I34">
        <f t="shared" si="8"/>
        <v>0</v>
      </c>
      <c r="J34">
        <f t="shared" si="8"/>
        <v>0</v>
      </c>
      <c r="M34" s="118"/>
    </row>
    <row r="35" spans="1:13" x14ac:dyDescent="0.2">
      <c r="A35">
        <f t="shared" ref="A35:A98" si="10">A23*10</f>
        <v>120</v>
      </c>
      <c r="B35">
        <f t="shared" si="3"/>
        <v>0</v>
      </c>
      <c r="C35">
        <f t="shared" si="4"/>
        <v>0</v>
      </c>
      <c r="D35">
        <f t="shared" si="5"/>
        <v>0</v>
      </c>
      <c r="E35">
        <f t="shared" si="6"/>
        <v>0</v>
      </c>
      <c r="F35">
        <f t="shared" si="7"/>
        <v>0</v>
      </c>
      <c r="G35">
        <f t="shared" si="8"/>
        <v>0</v>
      </c>
      <c r="H35">
        <f t="shared" si="8"/>
        <v>0</v>
      </c>
      <c r="I35">
        <f t="shared" si="8"/>
        <v>0</v>
      </c>
      <c r="J35">
        <f t="shared" si="8"/>
        <v>0</v>
      </c>
      <c r="M35" s="118"/>
    </row>
    <row r="36" spans="1:13" x14ac:dyDescent="0.2">
      <c r="A36">
        <f t="shared" si="10"/>
        <v>150</v>
      </c>
      <c r="B36">
        <f t="shared" si="3"/>
        <v>0</v>
      </c>
      <c r="C36">
        <f t="shared" si="4"/>
        <v>0</v>
      </c>
      <c r="D36">
        <f t="shared" si="5"/>
        <v>0</v>
      </c>
      <c r="E36">
        <f t="shared" si="6"/>
        <v>0</v>
      </c>
      <c r="F36">
        <f t="shared" si="7"/>
        <v>0</v>
      </c>
      <c r="G36">
        <f t="shared" si="8"/>
        <v>150</v>
      </c>
      <c r="H36">
        <f t="shared" si="8"/>
        <v>0</v>
      </c>
      <c r="I36">
        <f t="shared" si="8"/>
        <v>0</v>
      </c>
      <c r="J36">
        <f t="shared" si="8"/>
        <v>0</v>
      </c>
    </row>
    <row r="37" spans="1:13" x14ac:dyDescent="0.2">
      <c r="A37">
        <f t="shared" si="10"/>
        <v>180</v>
      </c>
      <c r="B37">
        <f t="shared" si="3"/>
        <v>0</v>
      </c>
      <c r="C37">
        <f t="shared" si="4"/>
        <v>0</v>
      </c>
      <c r="D37">
        <f t="shared" si="5"/>
        <v>220</v>
      </c>
      <c r="E37">
        <f t="shared" si="6"/>
        <v>0</v>
      </c>
      <c r="F37">
        <f t="shared" si="7"/>
        <v>0</v>
      </c>
      <c r="G37">
        <f t="shared" si="8"/>
        <v>0</v>
      </c>
      <c r="H37">
        <f t="shared" si="8"/>
        <v>0</v>
      </c>
      <c r="I37">
        <f t="shared" si="8"/>
        <v>0</v>
      </c>
      <c r="J37">
        <f t="shared" si="8"/>
        <v>0</v>
      </c>
    </row>
    <row r="38" spans="1:13" x14ac:dyDescent="0.2">
      <c r="A38">
        <f t="shared" si="10"/>
        <v>220</v>
      </c>
      <c r="B38">
        <f t="shared" si="3"/>
        <v>0</v>
      </c>
      <c r="C38">
        <f t="shared" si="4"/>
        <v>0</v>
      </c>
      <c r="D38">
        <f t="shared" si="5"/>
        <v>0</v>
      </c>
      <c r="E38">
        <f t="shared" si="6"/>
        <v>0</v>
      </c>
      <c r="F38">
        <f t="shared" si="7"/>
        <v>0</v>
      </c>
      <c r="G38">
        <f t="shared" si="8"/>
        <v>0</v>
      </c>
      <c r="H38">
        <f t="shared" si="8"/>
        <v>0</v>
      </c>
      <c r="I38">
        <f t="shared" si="8"/>
        <v>0</v>
      </c>
      <c r="J38">
        <f t="shared" si="8"/>
        <v>0</v>
      </c>
    </row>
    <row r="39" spans="1:13" x14ac:dyDescent="0.2">
      <c r="A39">
        <f t="shared" si="10"/>
        <v>270</v>
      </c>
      <c r="B39">
        <f t="shared" si="3"/>
        <v>0</v>
      </c>
      <c r="C39">
        <f t="shared" ref="C39:C70" si="11">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3" x14ac:dyDescent="0.2">
      <c r="A40">
        <f t="shared" si="10"/>
        <v>330</v>
      </c>
      <c r="B40">
        <f t="shared" si="3"/>
        <v>0</v>
      </c>
      <c r="C40">
        <f t="shared" si="11"/>
        <v>0</v>
      </c>
      <c r="D40">
        <f t="shared" si="5"/>
        <v>0</v>
      </c>
      <c r="E40">
        <f t="shared" si="6"/>
        <v>0</v>
      </c>
      <c r="F40">
        <f t="shared" si="7"/>
        <v>0</v>
      </c>
      <c r="G40">
        <f t="shared" si="8"/>
        <v>0</v>
      </c>
      <c r="H40">
        <f t="shared" si="8"/>
        <v>0</v>
      </c>
      <c r="I40">
        <f t="shared" si="8"/>
        <v>0</v>
      </c>
      <c r="J40">
        <f t="shared" si="8"/>
        <v>0</v>
      </c>
    </row>
    <row r="41" spans="1:13" x14ac:dyDescent="0.2">
      <c r="A41">
        <f t="shared" si="10"/>
        <v>390</v>
      </c>
      <c r="B41">
        <f t="shared" si="3"/>
        <v>0</v>
      </c>
      <c r="C41">
        <f t="shared" si="11"/>
        <v>0</v>
      </c>
      <c r="D41">
        <f t="shared" si="5"/>
        <v>0</v>
      </c>
      <c r="E41">
        <f t="shared" si="6"/>
        <v>0</v>
      </c>
      <c r="F41">
        <f t="shared" si="7"/>
        <v>0</v>
      </c>
      <c r="G41">
        <f t="shared" si="8"/>
        <v>0</v>
      </c>
      <c r="H41">
        <f t="shared" si="8"/>
        <v>0</v>
      </c>
      <c r="I41">
        <f t="shared" si="8"/>
        <v>0</v>
      </c>
      <c r="J41">
        <f t="shared" si="8"/>
        <v>0</v>
      </c>
    </row>
    <row r="42" spans="1:13" x14ac:dyDescent="0.2">
      <c r="A42">
        <f t="shared" si="10"/>
        <v>470</v>
      </c>
      <c r="B42">
        <f t="shared" si="3"/>
        <v>0</v>
      </c>
      <c r="C42">
        <f t="shared" si="11"/>
        <v>0</v>
      </c>
      <c r="D42">
        <f t="shared" si="5"/>
        <v>0</v>
      </c>
      <c r="E42">
        <f t="shared" si="6"/>
        <v>0</v>
      </c>
      <c r="F42">
        <f t="shared" si="7"/>
        <v>0</v>
      </c>
      <c r="G42">
        <f t="shared" si="8"/>
        <v>0</v>
      </c>
      <c r="H42">
        <f t="shared" si="8"/>
        <v>0</v>
      </c>
      <c r="I42">
        <f t="shared" si="8"/>
        <v>0</v>
      </c>
      <c r="J42">
        <f t="shared" si="8"/>
        <v>0</v>
      </c>
    </row>
    <row r="43" spans="1:13" x14ac:dyDescent="0.2">
      <c r="A43">
        <f t="shared" si="10"/>
        <v>560</v>
      </c>
      <c r="B43">
        <f t="shared" si="3"/>
        <v>0</v>
      </c>
      <c r="C43">
        <f t="shared" si="11"/>
        <v>0</v>
      </c>
      <c r="D43">
        <f t="shared" si="5"/>
        <v>0</v>
      </c>
      <c r="E43">
        <f t="shared" si="6"/>
        <v>0</v>
      </c>
      <c r="F43">
        <f t="shared" si="7"/>
        <v>0</v>
      </c>
      <c r="G43">
        <f t="shared" si="8"/>
        <v>0</v>
      </c>
      <c r="H43">
        <f t="shared" si="8"/>
        <v>0</v>
      </c>
      <c r="I43">
        <f t="shared" si="8"/>
        <v>0</v>
      </c>
      <c r="J43">
        <f t="shared" si="8"/>
        <v>0</v>
      </c>
    </row>
    <row r="44" spans="1:13" x14ac:dyDescent="0.2">
      <c r="A44">
        <f t="shared" si="10"/>
        <v>680</v>
      </c>
      <c r="B44">
        <f t="shared" si="3"/>
        <v>0</v>
      </c>
      <c r="C44">
        <f t="shared" si="11"/>
        <v>0</v>
      </c>
      <c r="D44">
        <f t="shared" si="5"/>
        <v>0</v>
      </c>
      <c r="E44">
        <f t="shared" si="6"/>
        <v>0</v>
      </c>
      <c r="F44">
        <f t="shared" si="7"/>
        <v>0</v>
      </c>
      <c r="G44">
        <f t="shared" si="8"/>
        <v>0</v>
      </c>
      <c r="H44">
        <f t="shared" si="8"/>
        <v>0</v>
      </c>
      <c r="I44">
        <f t="shared" si="8"/>
        <v>0</v>
      </c>
      <c r="J44">
        <f t="shared" si="8"/>
        <v>0</v>
      </c>
    </row>
    <row r="45" spans="1:13" x14ac:dyDescent="0.2">
      <c r="A45">
        <f>A33*10</f>
        <v>820</v>
      </c>
      <c r="B45">
        <f t="shared" si="3"/>
        <v>0</v>
      </c>
      <c r="C45">
        <f t="shared" si="11"/>
        <v>0</v>
      </c>
      <c r="D45">
        <f t="shared" si="5"/>
        <v>0</v>
      </c>
      <c r="E45">
        <f t="shared" si="6"/>
        <v>0</v>
      </c>
      <c r="F45">
        <f t="shared" si="7"/>
        <v>0</v>
      </c>
      <c r="G45">
        <f t="shared" si="8"/>
        <v>0</v>
      </c>
      <c r="H45">
        <f t="shared" si="8"/>
        <v>0</v>
      </c>
      <c r="I45">
        <f t="shared" si="8"/>
        <v>0</v>
      </c>
      <c r="J45">
        <f t="shared" si="8"/>
        <v>0</v>
      </c>
    </row>
    <row r="46" spans="1:13" x14ac:dyDescent="0.2">
      <c r="A46">
        <f t="shared" si="10"/>
        <v>1000</v>
      </c>
      <c r="B46">
        <f t="shared" si="3"/>
        <v>0</v>
      </c>
      <c r="C46">
        <f t="shared" si="11"/>
        <v>0</v>
      </c>
      <c r="D46">
        <f t="shared" si="5"/>
        <v>0</v>
      </c>
      <c r="E46">
        <f t="shared" si="6"/>
        <v>0</v>
      </c>
      <c r="F46">
        <f t="shared" si="7"/>
        <v>0</v>
      </c>
      <c r="G46">
        <f t="shared" si="8"/>
        <v>0</v>
      </c>
      <c r="H46">
        <f t="shared" si="8"/>
        <v>0</v>
      </c>
      <c r="I46">
        <f t="shared" si="8"/>
        <v>0</v>
      </c>
      <c r="J46">
        <f t="shared" si="8"/>
        <v>0</v>
      </c>
    </row>
    <row r="47" spans="1:13" x14ac:dyDescent="0.2">
      <c r="A47">
        <f t="shared" si="10"/>
        <v>1200</v>
      </c>
      <c r="B47">
        <f t="shared" si="3"/>
        <v>0</v>
      </c>
      <c r="C47">
        <f t="shared" si="11"/>
        <v>0</v>
      </c>
      <c r="D47">
        <f t="shared" si="5"/>
        <v>0</v>
      </c>
      <c r="E47">
        <f t="shared" si="6"/>
        <v>0</v>
      </c>
      <c r="F47">
        <f t="shared" si="7"/>
        <v>0</v>
      </c>
      <c r="G47">
        <f t="shared" si="8"/>
        <v>0</v>
      </c>
      <c r="H47">
        <f t="shared" si="8"/>
        <v>0</v>
      </c>
      <c r="I47">
        <f t="shared" si="8"/>
        <v>0</v>
      </c>
      <c r="J47">
        <f t="shared" si="8"/>
        <v>0</v>
      </c>
    </row>
    <row r="48" spans="1:13" x14ac:dyDescent="0.2">
      <c r="A48">
        <f t="shared" si="10"/>
        <v>1500</v>
      </c>
      <c r="B48">
        <f t="shared" si="3"/>
        <v>0</v>
      </c>
      <c r="C48">
        <f t="shared" si="11"/>
        <v>0</v>
      </c>
      <c r="D48">
        <f t="shared" si="5"/>
        <v>0</v>
      </c>
      <c r="E48">
        <f t="shared" si="6"/>
        <v>0</v>
      </c>
      <c r="F48">
        <f t="shared" si="7"/>
        <v>0</v>
      </c>
      <c r="G48">
        <f t="shared" si="8"/>
        <v>0</v>
      </c>
      <c r="H48">
        <f t="shared" si="8"/>
        <v>0</v>
      </c>
      <c r="I48">
        <f t="shared" si="8"/>
        <v>0</v>
      </c>
      <c r="J48">
        <f t="shared" si="8"/>
        <v>0</v>
      </c>
    </row>
    <row r="49" spans="1:10" x14ac:dyDescent="0.2">
      <c r="A49">
        <f t="shared" si="10"/>
        <v>1800</v>
      </c>
      <c r="B49">
        <f t="shared" si="3"/>
        <v>0</v>
      </c>
      <c r="C49">
        <f t="shared" si="11"/>
        <v>0</v>
      </c>
      <c r="D49">
        <f t="shared" si="5"/>
        <v>0</v>
      </c>
      <c r="E49">
        <f t="shared" si="6"/>
        <v>0</v>
      </c>
      <c r="F49">
        <f t="shared" si="7"/>
        <v>0</v>
      </c>
      <c r="G49">
        <f t="shared" si="8"/>
        <v>0</v>
      </c>
      <c r="H49">
        <f t="shared" si="8"/>
        <v>0</v>
      </c>
      <c r="I49">
        <f t="shared" si="8"/>
        <v>0</v>
      </c>
      <c r="J49">
        <f t="shared" si="8"/>
        <v>0</v>
      </c>
    </row>
    <row r="50" spans="1:10" x14ac:dyDescent="0.2">
      <c r="A50">
        <f t="shared" si="10"/>
        <v>2200</v>
      </c>
      <c r="B50">
        <f t="shared" si="3"/>
        <v>0</v>
      </c>
      <c r="C50">
        <f t="shared" si="11"/>
        <v>0</v>
      </c>
      <c r="D50">
        <f t="shared" si="5"/>
        <v>0</v>
      </c>
      <c r="E50">
        <f t="shared" si="6"/>
        <v>0</v>
      </c>
      <c r="F50">
        <f t="shared" si="7"/>
        <v>0</v>
      </c>
      <c r="G50">
        <f t="shared" si="8"/>
        <v>0</v>
      </c>
      <c r="H50">
        <f t="shared" si="8"/>
        <v>0</v>
      </c>
      <c r="I50">
        <f t="shared" si="8"/>
        <v>0</v>
      </c>
      <c r="J50">
        <f t="shared" si="8"/>
        <v>0</v>
      </c>
    </row>
    <row r="51" spans="1:10" x14ac:dyDescent="0.2">
      <c r="A51">
        <f t="shared" si="10"/>
        <v>2700</v>
      </c>
      <c r="B51">
        <f t="shared" si="3"/>
        <v>0</v>
      </c>
      <c r="C51">
        <f t="shared" si="11"/>
        <v>0</v>
      </c>
      <c r="D51">
        <f t="shared" si="5"/>
        <v>0</v>
      </c>
      <c r="E51">
        <f t="shared" si="6"/>
        <v>0</v>
      </c>
      <c r="F51">
        <f t="shared" si="7"/>
        <v>0</v>
      </c>
      <c r="G51">
        <f t="shared" si="8"/>
        <v>0</v>
      </c>
      <c r="H51">
        <f t="shared" si="8"/>
        <v>0</v>
      </c>
      <c r="I51">
        <f t="shared" si="8"/>
        <v>0</v>
      </c>
      <c r="J51">
        <f t="shared" si="8"/>
        <v>0</v>
      </c>
    </row>
    <row r="52" spans="1:10" x14ac:dyDescent="0.2">
      <c r="A52">
        <f t="shared" si="10"/>
        <v>3300</v>
      </c>
      <c r="B52">
        <f t="shared" si="3"/>
        <v>0</v>
      </c>
      <c r="C52">
        <f t="shared" si="11"/>
        <v>0</v>
      </c>
      <c r="D52">
        <f t="shared" si="5"/>
        <v>0</v>
      </c>
      <c r="E52">
        <f t="shared" si="6"/>
        <v>0</v>
      </c>
      <c r="F52">
        <f t="shared" si="7"/>
        <v>0</v>
      </c>
      <c r="G52">
        <f t="shared" si="8"/>
        <v>0</v>
      </c>
      <c r="H52">
        <f t="shared" si="8"/>
        <v>0</v>
      </c>
      <c r="I52">
        <f t="shared" si="8"/>
        <v>0</v>
      </c>
      <c r="J52">
        <f t="shared" si="8"/>
        <v>0</v>
      </c>
    </row>
    <row r="53" spans="1:10" x14ac:dyDescent="0.2">
      <c r="A53">
        <f t="shared" si="10"/>
        <v>3900</v>
      </c>
      <c r="B53">
        <f t="shared" si="3"/>
        <v>0</v>
      </c>
      <c r="C53">
        <f t="shared" si="11"/>
        <v>3900</v>
      </c>
      <c r="D53">
        <f t="shared" si="5"/>
        <v>0</v>
      </c>
      <c r="E53">
        <f t="shared" si="6"/>
        <v>0</v>
      </c>
      <c r="F53">
        <f t="shared" si="7"/>
        <v>0</v>
      </c>
      <c r="G53">
        <f t="shared" si="8"/>
        <v>0</v>
      </c>
      <c r="H53">
        <f t="shared" si="8"/>
        <v>0</v>
      </c>
      <c r="I53">
        <f t="shared" si="8"/>
        <v>0</v>
      </c>
      <c r="J53">
        <f t="shared" si="8"/>
        <v>0</v>
      </c>
    </row>
    <row r="54" spans="1:10" x14ac:dyDescent="0.2">
      <c r="A54">
        <f t="shared" si="10"/>
        <v>4700</v>
      </c>
      <c r="B54">
        <f t="shared" si="3"/>
        <v>0</v>
      </c>
      <c r="C54">
        <f t="shared" si="11"/>
        <v>0</v>
      </c>
      <c r="D54">
        <f t="shared" si="5"/>
        <v>0</v>
      </c>
      <c r="E54">
        <f t="shared" si="6"/>
        <v>0</v>
      </c>
      <c r="F54">
        <f t="shared" si="7"/>
        <v>0</v>
      </c>
      <c r="G54">
        <f t="shared" si="8"/>
        <v>0</v>
      </c>
      <c r="H54">
        <f t="shared" si="8"/>
        <v>0</v>
      </c>
      <c r="I54">
        <f t="shared" si="8"/>
        <v>0</v>
      </c>
      <c r="J54">
        <f t="shared" si="8"/>
        <v>0</v>
      </c>
    </row>
    <row r="55" spans="1:10" x14ac:dyDescent="0.2">
      <c r="A55">
        <f t="shared" si="10"/>
        <v>5600</v>
      </c>
      <c r="B55">
        <f t="shared" si="3"/>
        <v>0</v>
      </c>
      <c r="C55">
        <f t="shared" si="11"/>
        <v>0</v>
      </c>
      <c r="D55">
        <f t="shared" si="5"/>
        <v>0</v>
      </c>
      <c r="E55">
        <f t="shared" si="6"/>
        <v>0</v>
      </c>
      <c r="F55">
        <f t="shared" si="7"/>
        <v>0</v>
      </c>
      <c r="G55">
        <f t="shared" si="8"/>
        <v>0</v>
      </c>
      <c r="H55">
        <f t="shared" si="8"/>
        <v>0</v>
      </c>
      <c r="I55">
        <f t="shared" si="8"/>
        <v>0</v>
      </c>
      <c r="J55">
        <f t="shared" si="8"/>
        <v>0</v>
      </c>
    </row>
    <row r="56" spans="1:10" x14ac:dyDescent="0.2">
      <c r="A56">
        <f t="shared" si="10"/>
        <v>6800</v>
      </c>
      <c r="B56">
        <f t="shared" si="3"/>
        <v>0</v>
      </c>
      <c r="C56">
        <f t="shared" si="11"/>
        <v>0</v>
      </c>
      <c r="D56">
        <f t="shared" si="5"/>
        <v>0</v>
      </c>
      <c r="E56">
        <f t="shared" si="6"/>
        <v>0</v>
      </c>
      <c r="F56">
        <f t="shared" si="7"/>
        <v>0</v>
      </c>
      <c r="G56">
        <f t="shared" si="8"/>
        <v>0</v>
      </c>
      <c r="H56">
        <f t="shared" si="8"/>
        <v>0</v>
      </c>
      <c r="I56">
        <f t="shared" si="8"/>
        <v>0</v>
      </c>
      <c r="J56">
        <f t="shared" si="8"/>
        <v>0</v>
      </c>
    </row>
    <row r="57" spans="1:10" x14ac:dyDescent="0.2">
      <c r="A57">
        <f t="shared" si="10"/>
        <v>8200</v>
      </c>
      <c r="B57">
        <f t="shared" si="3"/>
        <v>0</v>
      </c>
      <c r="C57">
        <f t="shared" si="11"/>
        <v>0</v>
      </c>
      <c r="D57">
        <f t="shared" si="5"/>
        <v>0</v>
      </c>
      <c r="E57">
        <f t="shared" si="6"/>
        <v>0</v>
      </c>
      <c r="F57">
        <f t="shared" si="7"/>
        <v>0</v>
      </c>
      <c r="G57">
        <f t="shared" si="8"/>
        <v>0</v>
      </c>
      <c r="H57">
        <f t="shared" si="8"/>
        <v>8200</v>
      </c>
      <c r="I57">
        <f t="shared" si="8"/>
        <v>0</v>
      </c>
      <c r="J57">
        <f t="shared" si="8"/>
        <v>8200</v>
      </c>
    </row>
    <row r="58" spans="1:10" x14ac:dyDescent="0.2">
      <c r="A58">
        <f t="shared" si="10"/>
        <v>10000</v>
      </c>
      <c r="B58">
        <f t="shared" si="3"/>
        <v>0</v>
      </c>
      <c r="C58">
        <f t="shared" si="11"/>
        <v>0</v>
      </c>
      <c r="D58">
        <f t="shared" si="5"/>
        <v>0</v>
      </c>
      <c r="E58">
        <f t="shared" si="6"/>
        <v>0</v>
      </c>
      <c r="F58">
        <f t="shared" si="7"/>
        <v>0</v>
      </c>
      <c r="G58">
        <f t="shared" si="8"/>
        <v>0</v>
      </c>
      <c r="H58">
        <f t="shared" si="8"/>
        <v>0</v>
      </c>
      <c r="I58">
        <f t="shared" si="8"/>
        <v>0</v>
      </c>
      <c r="J58">
        <f t="shared" si="8"/>
        <v>0</v>
      </c>
    </row>
    <row r="59" spans="1:10" x14ac:dyDescent="0.2">
      <c r="A59">
        <f t="shared" si="10"/>
        <v>12000</v>
      </c>
      <c r="B59">
        <f t="shared" si="3"/>
        <v>0</v>
      </c>
      <c r="C59">
        <f t="shared" si="11"/>
        <v>0</v>
      </c>
      <c r="D59">
        <f t="shared" si="5"/>
        <v>0</v>
      </c>
      <c r="E59">
        <f t="shared" si="6"/>
        <v>0</v>
      </c>
      <c r="F59">
        <f t="shared" si="7"/>
        <v>0</v>
      </c>
      <c r="G59">
        <f t="shared" si="8"/>
        <v>0</v>
      </c>
      <c r="H59">
        <f t="shared" si="8"/>
        <v>0</v>
      </c>
      <c r="I59">
        <f t="shared" si="8"/>
        <v>0</v>
      </c>
      <c r="J59">
        <f t="shared" si="8"/>
        <v>0</v>
      </c>
    </row>
    <row r="60" spans="1:10" x14ac:dyDescent="0.2">
      <c r="A60">
        <f t="shared" si="10"/>
        <v>15000</v>
      </c>
      <c r="B60">
        <f t="shared" si="3"/>
        <v>0</v>
      </c>
      <c r="C60">
        <f t="shared" si="11"/>
        <v>0</v>
      </c>
      <c r="D60">
        <f t="shared" si="5"/>
        <v>0</v>
      </c>
      <c r="E60">
        <f t="shared" si="6"/>
        <v>0</v>
      </c>
      <c r="F60">
        <f t="shared" si="7"/>
        <v>0</v>
      </c>
      <c r="G60">
        <f t="shared" si="8"/>
        <v>0</v>
      </c>
      <c r="H60">
        <f t="shared" si="8"/>
        <v>0</v>
      </c>
      <c r="I60">
        <f t="shared" si="8"/>
        <v>0</v>
      </c>
      <c r="J60">
        <f t="shared" si="8"/>
        <v>0</v>
      </c>
    </row>
    <row r="61" spans="1:10" x14ac:dyDescent="0.2">
      <c r="A61">
        <f t="shared" si="10"/>
        <v>18000</v>
      </c>
      <c r="B61">
        <f t="shared" si="3"/>
        <v>0</v>
      </c>
      <c r="C61">
        <f t="shared" si="11"/>
        <v>0</v>
      </c>
      <c r="D61">
        <f t="shared" si="5"/>
        <v>0</v>
      </c>
      <c r="E61">
        <f t="shared" si="6"/>
        <v>0</v>
      </c>
      <c r="F61">
        <f t="shared" si="7"/>
        <v>0</v>
      </c>
      <c r="G61">
        <f t="shared" si="8"/>
        <v>0</v>
      </c>
      <c r="H61">
        <f t="shared" si="8"/>
        <v>0</v>
      </c>
      <c r="I61">
        <f t="shared" si="8"/>
        <v>0</v>
      </c>
      <c r="J61">
        <f t="shared" si="8"/>
        <v>0</v>
      </c>
    </row>
    <row r="62" spans="1:10" x14ac:dyDescent="0.2">
      <c r="A62">
        <f t="shared" si="10"/>
        <v>22000</v>
      </c>
      <c r="B62">
        <f t="shared" si="3"/>
        <v>0</v>
      </c>
      <c r="C62">
        <f t="shared" si="11"/>
        <v>0</v>
      </c>
      <c r="D62">
        <f t="shared" si="5"/>
        <v>0</v>
      </c>
      <c r="E62">
        <f t="shared" si="6"/>
        <v>0</v>
      </c>
      <c r="F62">
        <f t="shared" si="7"/>
        <v>0</v>
      </c>
      <c r="G62">
        <f t="shared" si="8"/>
        <v>0</v>
      </c>
      <c r="H62">
        <f t="shared" si="8"/>
        <v>0</v>
      </c>
      <c r="I62">
        <f t="shared" si="8"/>
        <v>0</v>
      </c>
      <c r="J62">
        <f t="shared" si="8"/>
        <v>0</v>
      </c>
    </row>
    <row r="63" spans="1:10" x14ac:dyDescent="0.2">
      <c r="A63">
        <f t="shared" si="10"/>
        <v>27000</v>
      </c>
      <c r="B63">
        <f t="shared" si="3"/>
        <v>0</v>
      </c>
      <c r="C63">
        <f t="shared" si="11"/>
        <v>0</v>
      </c>
      <c r="D63">
        <f t="shared" si="5"/>
        <v>0</v>
      </c>
      <c r="E63">
        <f t="shared" si="6"/>
        <v>0</v>
      </c>
      <c r="F63">
        <f t="shared" si="7"/>
        <v>0</v>
      </c>
      <c r="G63">
        <f t="shared" si="8"/>
        <v>0</v>
      </c>
      <c r="H63">
        <f t="shared" si="8"/>
        <v>0</v>
      </c>
      <c r="I63">
        <f t="shared" si="8"/>
        <v>0</v>
      </c>
      <c r="J63">
        <f t="shared" si="8"/>
        <v>0</v>
      </c>
    </row>
    <row r="64" spans="1:10" x14ac:dyDescent="0.2">
      <c r="A64">
        <f t="shared" si="10"/>
        <v>33000</v>
      </c>
      <c r="B64">
        <f t="shared" si="3"/>
        <v>0</v>
      </c>
      <c r="C64">
        <f t="shared" si="11"/>
        <v>0</v>
      </c>
      <c r="D64">
        <f t="shared" si="5"/>
        <v>0</v>
      </c>
      <c r="E64">
        <f t="shared" si="6"/>
        <v>0</v>
      </c>
      <c r="F64">
        <f t="shared" si="7"/>
        <v>0</v>
      </c>
      <c r="G64">
        <f t="shared" si="8"/>
        <v>0</v>
      </c>
      <c r="H64">
        <f t="shared" si="8"/>
        <v>0</v>
      </c>
      <c r="I64">
        <f t="shared" si="8"/>
        <v>0</v>
      </c>
      <c r="J64">
        <f t="shared" si="8"/>
        <v>0</v>
      </c>
    </row>
    <row r="65" spans="1:10" x14ac:dyDescent="0.2">
      <c r="A65">
        <f t="shared" si="10"/>
        <v>39000</v>
      </c>
      <c r="B65">
        <f t="shared" si="3"/>
        <v>0</v>
      </c>
      <c r="C65">
        <f t="shared" si="11"/>
        <v>0</v>
      </c>
      <c r="D65">
        <f t="shared" si="5"/>
        <v>0</v>
      </c>
      <c r="E65">
        <f t="shared" si="6"/>
        <v>0</v>
      </c>
      <c r="F65">
        <f t="shared" si="7"/>
        <v>0</v>
      </c>
      <c r="G65">
        <f t="shared" si="8"/>
        <v>0</v>
      </c>
      <c r="H65">
        <f t="shared" si="8"/>
        <v>0</v>
      </c>
      <c r="I65">
        <f t="shared" si="8"/>
        <v>0</v>
      </c>
      <c r="J65">
        <f t="shared" si="8"/>
        <v>0</v>
      </c>
    </row>
    <row r="66" spans="1:10" x14ac:dyDescent="0.2">
      <c r="A66">
        <f t="shared" si="10"/>
        <v>47000</v>
      </c>
      <c r="B66">
        <f t="shared" si="3"/>
        <v>0</v>
      </c>
      <c r="C66">
        <f t="shared" si="11"/>
        <v>0</v>
      </c>
      <c r="D66">
        <f t="shared" si="5"/>
        <v>0</v>
      </c>
      <c r="E66">
        <f t="shared" si="6"/>
        <v>0</v>
      </c>
      <c r="F66">
        <f t="shared" si="7"/>
        <v>0</v>
      </c>
      <c r="G66">
        <f t="shared" si="8"/>
        <v>0</v>
      </c>
      <c r="H66">
        <f t="shared" si="8"/>
        <v>0</v>
      </c>
      <c r="I66">
        <f t="shared" si="8"/>
        <v>0</v>
      </c>
      <c r="J66">
        <f t="shared" si="8"/>
        <v>0</v>
      </c>
    </row>
    <row r="67" spans="1:10" x14ac:dyDescent="0.2">
      <c r="A67">
        <f t="shared" si="10"/>
        <v>56000</v>
      </c>
      <c r="B67">
        <f t="shared" si="3"/>
        <v>0</v>
      </c>
      <c r="C67">
        <f t="shared" si="11"/>
        <v>0</v>
      </c>
      <c r="D67">
        <f t="shared" si="5"/>
        <v>0</v>
      </c>
      <c r="E67">
        <f t="shared" si="6"/>
        <v>0</v>
      </c>
      <c r="F67">
        <f t="shared" si="7"/>
        <v>0</v>
      </c>
      <c r="G67">
        <f t="shared" si="8"/>
        <v>0</v>
      </c>
      <c r="H67">
        <f t="shared" si="8"/>
        <v>0</v>
      </c>
      <c r="I67">
        <f t="shared" si="8"/>
        <v>0</v>
      </c>
      <c r="J67">
        <f t="shared" si="8"/>
        <v>0</v>
      </c>
    </row>
    <row r="68" spans="1:10" x14ac:dyDescent="0.2">
      <c r="A68">
        <f t="shared" si="10"/>
        <v>68000</v>
      </c>
      <c r="B68">
        <f t="shared" si="3"/>
        <v>0</v>
      </c>
      <c r="C68">
        <f t="shared" si="11"/>
        <v>0</v>
      </c>
      <c r="D68">
        <f t="shared" si="5"/>
        <v>0</v>
      </c>
      <c r="E68">
        <f t="shared" si="6"/>
        <v>0</v>
      </c>
      <c r="F68">
        <f t="shared" si="7"/>
        <v>0</v>
      </c>
      <c r="G68">
        <f t="shared" si="8"/>
        <v>0</v>
      </c>
      <c r="H68">
        <f t="shared" si="8"/>
        <v>0</v>
      </c>
      <c r="I68">
        <f t="shared" si="8"/>
        <v>0</v>
      </c>
      <c r="J68">
        <f t="shared" si="8"/>
        <v>0</v>
      </c>
    </row>
    <row r="69" spans="1:10" x14ac:dyDescent="0.2">
      <c r="A69">
        <f t="shared" si="10"/>
        <v>82000</v>
      </c>
      <c r="B69">
        <f t="shared" si="3"/>
        <v>100000</v>
      </c>
      <c r="C69">
        <f t="shared" si="11"/>
        <v>0</v>
      </c>
      <c r="D69">
        <f t="shared" si="5"/>
        <v>0</v>
      </c>
      <c r="E69">
        <f t="shared" si="6"/>
        <v>0</v>
      </c>
      <c r="F69">
        <f t="shared" si="7"/>
        <v>0</v>
      </c>
      <c r="G69">
        <f t="shared" si="8"/>
        <v>0</v>
      </c>
      <c r="H69">
        <f t="shared" si="8"/>
        <v>0</v>
      </c>
      <c r="I69">
        <f t="shared" si="8"/>
        <v>0</v>
      </c>
      <c r="J69">
        <f t="shared" ref="J69:J132" si="12">IF(IF((J$3*10^12-$A70)*(J$3*10^12-$A69)*-1&lt;0,0,1)*IF(ABS(J$3*10^12-$A70)&gt;(J$3*10^12-$A69),$A69,$A70)=J70,0,IF((J$3*10^12-$A70)*(J$3*10^12-$A69)*-1&lt;0,0,1)*IF(ABS(J$3*10^12-$A70)&gt;(J$3*10^12-$A69),$A69,$A70))</f>
        <v>0</v>
      </c>
    </row>
    <row r="70" spans="1:10" x14ac:dyDescent="0.2">
      <c r="A70">
        <f t="shared" si="10"/>
        <v>100000</v>
      </c>
      <c r="B70">
        <f t="shared" si="3"/>
        <v>0</v>
      </c>
      <c r="C70">
        <f t="shared" si="11"/>
        <v>0</v>
      </c>
      <c r="D70">
        <f t="shared" ref="D70:I70" si="13">IF(IF((D$3*10^12-$A71)*(D$3*10^12-$A70)*-1&lt;0,0,1)*IF(ABS(D$3*10^12-$A71)&gt;(D$3*10^12-$A70),$A70,$A71)=D71,0,IF((D$3*10^12-$A71)*(D$3*10^12-$A70)*-1&lt;0,0,1)*IF(ABS(D$3*10^12-$A71)&gt;(D$3*10^12-$A70),$A70,$A71))</f>
        <v>0</v>
      </c>
      <c r="E70">
        <f t="shared" si="13"/>
        <v>0</v>
      </c>
      <c r="F70">
        <f t="shared" si="13"/>
        <v>0</v>
      </c>
      <c r="G70">
        <f t="shared" si="13"/>
        <v>0</v>
      </c>
      <c r="H70">
        <f t="shared" si="13"/>
        <v>0</v>
      </c>
      <c r="I70">
        <f t="shared" si="13"/>
        <v>0</v>
      </c>
      <c r="J70">
        <f t="shared" si="12"/>
        <v>0</v>
      </c>
    </row>
    <row r="71" spans="1:10" x14ac:dyDescent="0.2">
      <c r="A71">
        <f t="shared" si="10"/>
        <v>120000</v>
      </c>
      <c r="B71">
        <f t="shared" ref="B71:B134" si="14">IF(IF((B$3*10^12-$A72)*(B$3*10^12-$A71)*-1&lt;0,0,1)*IF(ABS(B$3*10^12-$A72)&gt;(B$3*10^12-$A71),$A71,$A72)=B72,0,IF((B$3*10^12-$A72)*(B$3*10^12-$A71)*-1&lt;0,0,1)*IF(ABS(B$3*10^12-$A72)&gt;(B$3*10^12-$A71),$A71,$A72))</f>
        <v>0</v>
      </c>
      <c r="C71">
        <f t="shared" ref="C71:E134" si="15">IF(IF((C$3*10^12-$A72)*(C$3*10^12-$A71)*-1&lt;0,0,1)*IF(ABS(C$3*10^12-$A72)&gt;(C$3*10^12-$A71),$A71,$A72)=C72,0,IF((C$3*10^12-$A72)*(C$3*10^12-$A71)*-1&lt;0,0,1)*IF(ABS(C$3*10^12-$A72)&gt;(C$3*10^12-$A71),$A71,$A72))</f>
        <v>0</v>
      </c>
      <c r="D71">
        <f t="shared" si="15"/>
        <v>0</v>
      </c>
      <c r="E71">
        <f t="shared" si="15"/>
        <v>0</v>
      </c>
      <c r="F71">
        <f t="shared" ref="F71:F102" si="16">IF(IF((F$3*10^12-$A72)*(F$3*10^12-$A71)*-1&lt;0,0,1)*IF(ABS(F$3*10^12-$A72)&gt;(F$3*10^12-$A71),$A71,$A72)=F72,0,IF((F$3*10^12-$A72)*(F$3*10^12-$A71)*-1&lt;0,0,1)*IF(ABS(F$3*10^12-$A72)&gt;(F$3*10^12-$A71),$A71,$A72))</f>
        <v>0</v>
      </c>
      <c r="G71">
        <f t="shared" ref="G71:G102" si="17">IF(IF((G$3*10^12-$A72)*(G$3*10^12-$A71)*-1&lt;0,0,1)*IF(ABS(G$3*10^12-$A72)&gt;(G$3*10^12-$A71),$A71,$A72)=G72,0,IF((G$3*10^12-$A72)*(G$3*10^12-$A71)*-1&lt;0,0,1)*IF(ABS(G$3*10^12-$A72)&gt;(G$3*10^12-$A71),$A71,$A72))</f>
        <v>0</v>
      </c>
      <c r="H71">
        <f t="shared" ref="H71:H102" si="18">IF(IF((H$3*10^12-$A72)*(H$3*10^12-$A71)*-1&lt;0,0,1)*IF(ABS(H$3*10^12-$A72)&gt;(H$3*10^12-$A71),$A71,$A72)=H72,0,IF((H$3*10^12-$A72)*(H$3*10^12-$A71)*-1&lt;0,0,1)*IF(ABS(H$3*10^12-$A72)&gt;(H$3*10^12-$A71),$A71,$A72))</f>
        <v>0</v>
      </c>
      <c r="I71">
        <f t="shared" ref="I71:I102" si="19">IF(IF((I$3*10^12-$A72)*(I$3*10^12-$A71)*-1&lt;0,0,1)*IF(ABS(I$3*10^12-$A72)&gt;(I$3*10^12-$A71),$A71,$A72)=I72,0,IF((I$3*10^12-$A72)*(I$3*10^12-$A71)*-1&lt;0,0,1)*IF(ABS(I$3*10^12-$A72)&gt;(I$3*10^12-$A71),$A71,$A72))</f>
        <v>0</v>
      </c>
      <c r="J71">
        <f t="shared" si="12"/>
        <v>0</v>
      </c>
    </row>
    <row r="72" spans="1:10" x14ac:dyDescent="0.2">
      <c r="A72">
        <f t="shared" si="10"/>
        <v>150000</v>
      </c>
      <c r="B72">
        <f t="shared" si="14"/>
        <v>0</v>
      </c>
      <c r="C72">
        <f t="shared" si="15"/>
        <v>0</v>
      </c>
      <c r="D72">
        <f t="shared" si="15"/>
        <v>0</v>
      </c>
      <c r="E72">
        <f t="shared" si="15"/>
        <v>0</v>
      </c>
      <c r="F72">
        <f t="shared" si="16"/>
        <v>0</v>
      </c>
      <c r="G72">
        <f t="shared" si="17"/>
        <v>0</v>
      </c>
      <c r="H72">
        <f t="shared" si="18"/>
        <v>0</v>
      </c>
      <c r="I72">
        <f t="shared" si="19"/>
        <v>0</v>
      </c>
      <c r="J72">
        <f t="shared" si="12"/>
        <v>0</v>
      </c>
    </row>
    <row r="73" spans="1:10" x14ac:dyDescent="0.2">
      <c r="A73">
        <f t="shared" si="10"/>
        <v>180000</v>
      </c>
      <c r="B73">
        <f t="shared" si="14"/>
        <v>0</v>
      </c>
      <c r="C73">
        <f t="shared" si="15"/>
        <v>0</v>
      </c>
      <c r="D73">
        <f t="shared" si="15"/>
        <v>0</v>
      </c>
      <c r="E73">
        <f t="shared" si="15"/>
        <v>0</v>
      </c>
      <c r="F73">
        <f t="shared" si="16"/>
        <v>0</v>
      </c>
      <c r="G73">
        <f t="shared" si="17"/>
        <v>0</v>
      </c>
      <c r="H73">
        <f t="shared" si="18"/>
        <v>0</v>
      </c>
      <c r="I73">
        <f t="shared" si="19"/>
        <v>0</v>
      </c>
      <c r="J73">
        <f t="shared" si="12"/>
        <v>0</v>
      </c>
    </row>
    <row r="74" spans="1:10" x14ac:dyDescent="0.2">
      <c r="A74">
        <f t="shared" si="10"/>
        <v>220000</v>
      </c>
      <c r="B74">
        <f t="shared" si="14"/>
        <v>0</v>
      </c>
      <c r="C74">
        <f t="shared" si="15"/>
        <v>0</v>
      </c>
      <c r="D74">
        <f t="shared" si="15"/>
        <v>0</v>
      </c>
      <c r="E74">
        <f t="shared" si="15"/>
        <v>0</v>
      </c>
      <c r="F74">
        <f t="shared" si="16"/>
        <v>0</v>
      </c>
      <c r="G74">
        <f t="shared" si="17"/>
        <v>0</v>
      </c>
      <c r="H74">
        <f t="shared" si="18"/>
        <v>0</v>
      </c>
      <c r="I74">
        <f t="shared" si="19"/>
        <v>0</v>
      </c>
      <c r="J74">
        <f t="shared" si="12"/>
        <v>0</v>
      </c>
    </row>
    <row r="75" spans="1:10" x14ac:dyDescent="0.2">
      <c r="A75">
        <f t="shared" si="10"/>
        <v>270000</v>
      </c>
      <c r="B75">
        <f t="shared" si="14"/>
        <v>0</v>
      </c>
      <c r="C75">
        <f t="shared" si="15"/>
        <v>0</v>
      </c>
      <c r="D75">
        <f t="shared" si="15"/>
        <v>0</v>
      </c>
      <c r="E75">
        <f t="shared" si="15"/>
        <v>0</v>
      </c>
      <c r="F75">
        <f t="shared" si="16"/>
        <v>0</v>
      </c>
      <c r="G75">
        <f t="shared" si="17"/>
        <v>0</v>
      </c>
      <c r="H75">
        <f t="shared" si="18"/>
        <v>0</v>
      </c>
      <c r="I75">
        <f t="shared" si="19"/>
        <v>0</v>
      </c>
      <c r="J75">
        <f t="shared" si="12"/>
        <v>0</v>
      </c>
    </row>
    <row r="76" spans="1:10" x14ac:dyDescent="0.2">
      <c r="A76">
        <f t="shared" si="10"/>
        <v>330000</v>
      </c>
      <c r="B76">
        <f t="shared" si="14"/>
        <v>0</v>
      </c>
      <c r="C76">
        <f t="shared" si="15"/>
        <v>0</v>
      </c>
      <c r="D76">
        <f t="shared" si="15"/>
        <v>0</v>
      </c>
      <c r="E76">
        <f t="shared" si="15"/>
        <v>0</v>
      </c>
      <c r="F76">
        <f t="shared" si="16"/>
        <v>0</v>
      </c>
      <c r="G76">
        <f t="shared" si="17"/>
        <v>0</v>
      </c>
      <c r="H76">
        <f t="shared" si="18"/>
        <v>0</v>
      </c>
      <c r="I76">
        <f t="shared" si="19"/>
        <v>0</v>
      </c>
      <c r="J76">
        <f t="shared" si="12"/>
        <v>0</v>
      </c>
    </row>
    <row r="77" spans="1:10" x14ac:dyDescent="0.2">
      <c r="A77">
        <f t="shared" si="10"/>
        <v>390000</v>
      </c>
      <c r="B77">
        <f t="shared" si="14"/>
        <v>0</v>
      </c>
      <c r="C77">
        <f t="shared" si="15"/>
        <v>0</v>
      </c>
      <c r="D77">
        <f t="shared" si="15"/>
        <v>0</v>
      </c>
      <c r="E77">
        <f t="shared" si="15"/>
        <v>0</v>
      </c>
      <c r="F77">
        <f t="shared" si="16"/>
        <v>0</v>
      </c>
      <c r="G77">
        <f t="shared" si="17"/>
        <v>0</v>
      </c>
      <c r="H77">
        <f t="shared" si="18"/>
        <v>0</v>
      </c>
      <c r="I77">
        <f t="shared" si="19"/>
        <v>0</v>
      </c>
      <c r="J77">
        <f t="shared" si="12"/>
        <v>0</v>
      </c>
    </row>
    <row r="78" spans="1:10" x14ac:dyDescent="0.2">
      <c r="A78">
        <f t="shared" si="10"/>
        <v>470000</v>
      </c>
      <c r="B78">
        <f t="shared" si="14"/>
        <v>0</v>
      </c>
      <c r="C78">
        <f t="shared" si="15"/>
        <v>0</v>
      </c>
      <c r="D78">
        <f t="shared" si="15"/>
        <v>0</v>
      </c>
      <c r="E78">
        <f t="shared" si="15"/>
        <v>0</v>
      </c>
      <c r="F78">
        <f t="shared" si="16"/>
        <v>0</v>
      </c>
      <c r="G78">
        <f t="shared" si="17"/>
        <v>0</v>
      </c>
      <c r="H78">
        <f t="shared" si="18"/>
        <v>0</v>
      </c>
      <c r="I78">
        <f t="shared" si="19"/>
        <v>0</v>
      </c>
      <c r="J78">
        <f t="shared" si="12"/>
        <v>0</v>
      </c>
    </row>
    <row r="79" spans="1:10" x14ac:dyDescent="0.2">
      <c r="A79">
        <f t="shared" si="10"/>
        <v>560000</v>
      </c>
      <c r="B79">
        <f t="shared" si="14"/>
        <v>0</v>
      </c>
      <c r="C79">
        <f t="shared" si="15"/>
        <v>0</v>
      </c>
      <c r="D79">
        <f t="shared" si="15"/>
        <v>0</v>
      </c>
      <c r="E79">
        <f t="shared" si="15"/>
        <v>0</v>
      </c>
      <c r="F79">
        <f t="shared" si="16"/>
        <v>0</v>
      </c>
      <c r="G79">
        <f t="shared" si="17"/>
        <v>0</v>
      </c>
      <c r="H79">
        <f t="shared" si="18"/>
        <v>0</v>
      </c>
      <c r="I79">
        <f t="shared" si="19"/>
        <v>0</v>
      </c>
      <c r="J79">
        <f t="shared" si="12"/>
        <v>0</v>
      </c>
    </row>
    <row r="80" spans="1:10" x14ac:dyDescent="0.2">
      <c r="A80">
        <f t="shared" si="10"/>
        <v>680000</v>
      </c>
      <c r="B80">
        <f t="shared" si="14"/>
        <v>0</v>
      </c>
      <c r="C80">
        <f t="shared" si="15"/>
        <v>0</v>
      </c>
      <c r="D80">
        <f t="shared" si="15"/>
        <v>0</v>
      </c>
      <c r="E80">
        <f t="shared" si="15"/>
        <v>0</v>
      </c>
      <c r="F80">
        <f t="shared" si="16"/>
        <v>0</v>
      </c>
      <c r="G80">
        <f t="shared" si="17"/>
        <v>0</v>
      </c>
      <c r="H80">
        <f t="shared" si="18"/>
        <v>0</v>
      </c>
      <c r="I80">
        <f t="shared" si="19"/>
        <v>0</v>
      </c>
      <c r="J80">
        <f t="shared" si="12"/>
        <v>0</v>
      </c>
    </row>
    <row r="81" spans="1:10" x14ac:dyDescent="0.2">
      <c r="A81">
        <f t="shared" si="10"/>
        <v>820000</v>
      </c>
      <c r="B81">
        <f t="shared" si="14"/>
        <v>0</v>
      </c>
      <c r="C81">
        <f t="shared" si="15"/>
        <v>0</v>
      </c>
      <c r="D81">
        <f t="shared" si="15"/>
        <v>0</v>
      </c>
      <c r="E81">
        <f t="shared" si="15"/>
        <v>0</v>
      </c>
      <c r="F81">
        <f t="shared" si="16"/>
        <v>0</v>
      </c>
      <c r="G81">
        <f t="shared" si="17"/>
        <v>0</v>
      </c>
      <c r="H81">
        <f t="shared" si="18"/>
        <v>0</v>
      </c>
      <c r="I81">
        <f t="shared" si="19"/>
        <v>0</v>
      </c>
      <c r="J81">
        <f t="shared" si="12"/>
        <v>0</v>
      </c>
    </row>
    <row r="82" spans="1:10" x14ac:dyDescent="0.2">
      <c r="A82">
        <f t="shared" si="10"/>
        <v>1000000</v>
      </c>
      <c r="B82">
        <f t="shared" si="14"/>
        <v>0</v>
      </c>
      <c r="C82">
        <f t="shared" si="15"/>
        <v>0</v>
      </c>
      <c r="D82">
        <f t="shared" si="15"/>
        <v>0</v>
      </c>
      <c r="E82">
        <f t="shared" si="15"/>
        <v>0</v>
      </c>
      <c r="F82">
        <f t="shared" si="16"/>
        <v>0</v>
      </c>
      <c r="G82">
        <f t="shared" si="17"/>
        <v>0</v>
      </c>
      <c r="H82">
        <f t="shared" si="18"/>
        <v>0</v>
      </c>
      <c r="I82">
        <f t="shared" si="19"/>
        <v>0</v>
      </c>
      <c r="J82">
        <f t="shared" si="12"/>
        <v>0</v>
      </c>
    </row>
    <row r="83" spans="1:10" x14ac:dyDescent="0.2">
      <c r="A83">
        <f t="shared" si="10"/>
        <v>1200000</v>
      </c>
      <c r="B83">
        <f t="shared" si="14"/>
        <v>0</v>
      </c>
      <c r="C83">
        <f t="shared" si="15"/>
        <v>0</v>
      </c>
      <c r="D83">
        <f t="shared" si="15"/>
        <v>0</v>
      </c>
      <c r="E83">
        <f t="shared" si="15"/>
        <v>0</v>
      </c>
      <c r="F83">
        <f t="shared" si="16"/>
        <v>0</v>
      </c>
      <c r="G83">
        <f t="shared" si="17"/>
        <v>0</v>
      </c>
      <c r="H83">
        <f t="shared" si="18"/>
        <v>0</v>
      </c>
      <c r="I83">
        <f t="shared" si="19"/>
        <v>0</v>
      </c>
      <c r="J83">
        <f t="shared" si="12"/>
        <v>0</v>
      </c>
    </row>
    <row r="84" spans="1:10" x14ac:dyDescent="0.2">
      <c r="A84">
        <f t="shared" si="10"/>
        <v>1500000</v>
      </c>
      <c r="B84">
        <f t="shared" si="14"/>
        <v>0</v>
      </c>
      <c r="C84">
        <f t="shared" si="15"/>
        <v>0</v>
      </c>
      <c r="D84">
        <f t="shared" si="15"/>
        <v>0</v>
      </c>
      <c r="E84">
        <f t="shared" si="15"/>
        <v>0</v>
      </c>
      <c r="F84">
        <f t="shared" si="16"/>
        <v>0</v>
      </c>
      <c r="G84">
        <f t="shared" si="17"/>
        <v>0</v>
      </c>
      <c r="H84">
        <f t="shared" si="18"/>
        <v>0</v>
      </c>
      <c r="I84">
        <f t="shared" si="19"/>
        <v>0</v>
      </c>
      <c r="J84">
        <f t="shared" si="12"/>
        <v>0</v>
      </c>
    </row>
    <row r="85" spans="1:10" x14ac:dyDescent="0.2">
      <c r="A85">
        <f t="shared" si="10"/>
        <v>1800000</v>
      </c>
      <c r="B85">
        <f t="shared" si="14"/>
        <v>0</v>
      </c>
      <c r="C85">
        <f t="shared" si="15"/>
        <v>0</v>
      </c>
      <c r="D85">
        <f t="shared" si="15"/>
        <v>0</v>
      </c>
      <c r="E85">
        <f t="shared" si="15"/>
        <v>0</v>
      </c>
      <c r="F85">
        <f t="shared" si="16"/>
        <v>0</v>
      </c>
      <c r="G85">
        <f t="shared" si="17"/>
        <v>0</v>
      </c>
      <c r="H85">
        <f t="shared" si="18"/>
        <v>0</v>
      </c>
      <c r="I85">
        <f t="shared" si="19"/>
        <v>0</v>
      </c>
      <c r="J85">
        <f t="shared" si="12"/>
        <v>0</v>
      </c>
    </row>
    <row r="86" spans="1:10" x14ac:dyDescent="0.2">
      <c r="A86">
        <f t="shared" si="10"/>
        <v>2200000</v>
      </c>
      <c r="B86">
        <f t="shared" si="14"/>
        <v>0</v>
      </c>
      <c r="C86">
        <f t="shared" si="15"/>
        <v>0</v>
      </c>
      <c r="D86">
        <f t="shared" si="15"/>
        <v>0</v>
      </c>
      <c r="E86">
        <f t="shared" si="15"/>
        <v>0</v>
      </c>
      <c r="F86">
        <f t="shared" si="16"/>
        <v>0</v>
      </c>
      <c r="G86">
        <f t="shared" si="17"/>
        <v>0</v>
      </c>
      <c r="H86">
        <f t="shared" si="18"/>
        <v>0</v>
      </c>
      <c r="I86">
        <f t="shared" si="19"/>
        <v>0</v>
      </c>
      <c r="J86">
        <f t="shared" si="12"/>
        <v>0</v>
      </c>
    </row>
    <row r="87" spans="1:10" x14ac:dyDescent="0.2">
      <c r="A87">
        <f t="shared" si="10"/>
        <v>2700000</v>
      </c>
      <c r="B87">
        <f t="shared" si="14"/>
        <v>0</v>
      </c>
      <c r="C87">
        <f t="shared" si="15"/>
        <v>0</v>
      </c>
      <c r="D87">
        <f t="shared" si="15"/>
        <v>0</v>
      </c>
      <c r="E87">
        <f t="shared" si="15"/>
        <v>0</v>
      </c>
      <c r="F87">
        <f t="shared" si="16"/>
        <v>0</v>
      </c>
      <c r="G87">
        <f t="shared" si="17"/>
        <v>0</v>
      </c>
      <c r="H87">
        <f t="shared" si="18"/>
        <v>0</v>
      </c>
      <c r="I87">
        <f t="shared" si="19"/>
        <v>0</v>
      </c>
      <c r="J87">
        <f t="shared" si="12"/>
        <v>0</v>
      </c>
    </row>
    <row r="88" spans="1:10" x14ac:dyDescent="0.2">
      <c r="A88">
        <f t="shared" si="10"/>
        <v>3300000</v>
      </c>
      <c r="B88">
        <f t="shared" si="14"/>
        <v>0</v>
      </c>
      <c r="C88">
        <f t="shared" si="15"/>
        <v>0</v>
      </c>
      <c r="D88">
        <f t="shared" si="15"/>
        <v>0</v>
      </c>
      <c r="E88">
        <f t="shared" si="15"/>
        <v>0</v>
      </c>
      <c r="F88">
        <f t="shared" si="16"/>
        <v>0</v>
      </c>
      <c r="G88">
        <f t="shared" si="17"/>
        <v>0</v>
      </c>
      <c r="H88">
        <f t="shared" si="18"/>
        <v>0</v>
      </c>
      <c r="I88">
        <f t="shared" si="19"/>
        <v>0</v>
      </c>
      <c r="J88">
        <f t="shared" si="12"/>
        <v>0</v>
      </c>
    </row>
    <row r="89" spans="1:10" x14ac:dyDescent="0.2">
      <c r="A89">
        <f t="shared" si="10"/>
        <v>3900000</v>
      </c>
      <c r="B89">
        <f t="shared" si="14"/>
        <v>0</v>
      </c>
      <c r="C89">
        <f t="shared" si="15"/>
        <v>0</v>
      </c>
      <c r="D89">
        <f t="shared" si="15"/>
        <v>0</v>
      </c>
      <c r="E89">
        <f t="shared" si="15"/>
        <v>0</v>
      </c>
      <c r="F89">
        <f t="shared" si="16"/>
        <v>0</v>
      </c>
      <c r="G89">
        <f t="shared" si="17"/>
        <v>0</v>
      </c>
      <c r="H89">
        <f t="shared" si="18"/>
        <v>0</v>
      </c>
      <c r="I89">
        <f t="shared" si="19"/>
        <v>0</v>
      </c>
      <c r="J89">
        <f t="shared" si="12"/>
        <v>0</v>
      </c>
    </row>
    <row r="90" spans="1:10" x14ac:dyDescent="0.2">
      <c r="A90">
        <f t="shared" si="10"/>
        <v>4700000</v>
      </c>
      <c r="B90">
        <f t="shared" si="14"/>
        <v>0</v>
      </c>
      <c r="C90">
        <f t="shared" si="15"/>
        <v>0</v>
      </c>
      <c r="D90">
        <f t="shared" si="15"/>
        <v>0</v>
      </c>
      <c r="E90">
        <f t="shared" si="15"/>
        <v>0</v>
      </c>
      <c r="F90">
        <f t="shared" si="16"/>
        <v>0</v>
      </c>
      <c r="G90">
        <f t="shared" si="17"/>
        <v>0</v>
      </c>
      <c r="H90">
        <f t="shared" si="18"/>
        <v>0</v>
      </c>
      <c r="I90">
        <f t="shared" si="19"/>
        <v>0</v>
      </c>
      <c r="J90">
        <f t="shared" si="12"/>
        <v>0</v>
      </c>
    </row>
    <row r="91" spans="1:10" x14ac:dyDescent="0.2">
      <c r="A91">
        <f t="shared" si="10"/>
        <v>5600000</v>
      </c>
      <c r="B91">
        <f t="shared" si="14"/>
        <v>0</v>
      </c>
      <c r="C91">
        <f t="shared" si="15"/>
        <v>0</v>
      </c>
      <c r="D91">
        <f t="shared" si="15"/>
        <v>0</v>
      </c>
      <c r="E91">
        <f t="shared" si="15"/>
        <v>0</v>
      </c>
      <c r="F91">
        <f t="shared" si="16"/>
        <v>0</v>
      </c>
      <c r="G91">
        <f t="shared" si="17"/>
        <v>0</v>
      </c>
      <c r="H91">
        <f t="shared" si="18"/>
        <v>0</v>
      </c>
      <c r="I91">
        <f t="shared" si="19"/>
        <v>0</v>
      </c>
      <c r="J91">
        <f t="shared" si="12"/>
        <v>0</v>
      </c>
    </row>
    <row r="92" spans="1:10" x14ac:dyDescent="0.2">
      <c r="A92">
        <f t="shared" si="10"/>
        <v>6800000</v>
      </c>
      <c r="B92">
        <f t="shared" si="14"/>
        <v>0</v>
      </c>
      <c r="C92">
        <f t="shared" si="15"/>
        <v>0</v>
      </c>
      <c r="D92">
        <f t="shared" si="15"/>
        <v>0</v>
      </c>
      <c r="E92">
        <f t="shared" si="15"/>
        <v>0</v>
      </c>
      <c r="F92">
        <f t="shared" si="16"/>
        <v>0</v>
      </c>
      <c r="G92">
        <f t="shared" si="17"/>
        <v>0</v>
      </c>
      <c r="H92">
        <f t="shared" si="18"/>
        <v>0</v>
      </c>
      <c r="I92">
        <f t="shared" si="19"/>
        <v>0</v>
      </c>
      <c r="J92">
        <f t="shared" si="12"/>
        <v>0</v>
      </c>
    </row>
    <row r="93" spans="1:10" x14ac:dyDescent="0.2">
      <c r="A93">
        <f t="shared" si="10"/>
        <v>8200000</v>
      </c>
      <c r="B93">
        <f t="shared" si="14"/>
        <v>0</v>
      </c>
      <c r="C93">
        <f t="shared" si="15"/>
        <v>0</v>
      </c>
      <c r="D93">
        <f t="shared" si="15"/>
        <v>0</v>
      </c>
      <c r="E93">
        <f t="shared" si="15"/>
        <v>0</v>
      </c>
      <c r="F93">
        <f t="shared" si="16"/>
        <v>0</v>
      </c>
      <c r="G93">
        <f t="shared" si="17"/>
        <v>0</v>
      </c>
      <c r="H93">
        <f t="shared" si="18"/>
        <v>0</v>
      </c>
      <c r="I93">
        <f t="shared" si="19"/>
        <v>0</v>
      </c>
      <c r="J93">
        <f t="shared" si="12"/>
        <v>0</v>
      </c>
    </row>
    <row r="94" spans="1:10" x14ac:dyDescent="0.2">
      <c r="A94">
        <f t="shared" si="10"/>
        <v>10000000</v>
      </c>
      <c r="B94">
        <f t="shared" si="14"/>
        <v>0</v>
      </c>
      <c r="C94">
        <f t="shared" si="15"/>
        <v>0</v>
      </c>
      <c r="D94">
        <f t="shared" si="15"/>
        <v>0</v>
      </c>
      <c r="E94">
        <f t="shared" si="15"/>
        <v>0</v>
      </c>
      <c r="F94">
        <f t="shared" si="16"/>
        <v>0</v>
      </c>
      <c r="G94">
        <f t="shared" si="17"/>
        <v>0</v>
      </c>
      <c r="H94">
        <f t="shared" si="18"/>
        <v>0</v>
      </c>
      <c r="I94">
        <f t="shared" si="19"/>
        <v>0</v>
      </c>
      <c r="J94">
        <f t="shared" si="12"/>
        <v>0</v>
      </c>
    </row>
    <row r="95" spans="1:10" x14ac:dyDescent="0.2">
      <c r="A95">
        <f t="shared" si="10"/>
        <v>12000000</v>
      </c>
      <c r="B95">
        <f t="shared" si="14"/>
        <v>0</v>
      </c>
      <c r="C95">
        <f t="shared" si="15"/>
        <v>0</v>
      </c>
      <c r="D95">
        <f t="shared" si="15"/>
        <v>0</v>
      </c>
      <c r="E95">
        <f t="shared" si="15"/>
        <v>0</v>
      </c>
      <c r="F95">
        <f t="shared" si="16"/>
        <v>0</v>
      </c>
      <c r="G95">
        <f t="shared" si="17"/>
        <v>0</v>
      </c>
      <c r="H95">
        <f t="shared" si="18"/>
        <v>0</v>
      </c>
      <c r="I95">
        <f t="shared" si="19"/>
        <v>0</v>
      </c>
      <c r="J95">
        <f t="shared" si="12"/>
        <v>0</v>
      </c>
    </row>
    <row r="96" spans="1:10" x14ac:dyDescent="0.2">
      <c r="A96">
        <f t="shared" si="10"/>
        <v>15000000</v>
      </c>
      <c r="B96">
        <f t="shared" si="14"/>
        <v>0</v>
      </c>
      <c r="C96">
        <f t="shared" si="15"/>
        <v>0</v>
      </c>
      <c r="D96">
        <f t="shared" si="15"/>
        <v>0</v>
      </c>
      <c r="E96">
        <f t="shared" si="15"/>
        <v>0</v>
      </c>
      <c r="F96">
        <f t="shared" si="16"/>
        <v>0</v>
      </c>
      <c r="G96">
        <f t="shared" si="17"/>
        <v>0</v>
      </c>
      <c r="H96">
        <f t="shared" si="18"/>
        <v>0</v>
      </c>
      <c r="I96">
        <f t="shared" si="19"/>
        <v>0</v>
      </c>
      <c r="J96">
        <f t="shared" si="12"/>
        <v>0</v>
      </c>
    </row>
    <row r="97" spans="1:10" x14ac:dyDescent="0.2">
      <c r="A97">
        <f t="shared" si="10"/>
        <v>18000000</v>
      </c>
      <c r="B97">
        <f t="shared" si="14"/>
        <v>0</v>
      </c>
      <c r="C97">
        <f t="shared" si="15"/>
        <v>0</v>
      </c>
      <c r="D97">
        <f t="shared" si="15"/>
        <v>0</v>
      </c>
      <c r="E97">
        <f t="shared" si="15"/>
        <v>0</v>
      </c>
      <c r="F97">
        <f t="shared" si="16"/>
        <v>0</v>
      </c>
      <c r="G97">
        <f t="shared" si="17"/>
        <v>0</v>
      </c>
      <c r="H97">
        <f t="shared" si="18"/>
        <v>0</v>
      </c>
      <c r="I97">
        <f t="shared" si="19"/>
        <v>0</v>
      </c>
      <c r="J97">
        <f t="shared" si="12"/>
        <v>0</v>
      </c>
    </row>
    <row r="98" spans="1:10" x14ac:dyDescent="0.2">
      <c r="A98">
        <f t="shared" si="10"/>
        <v>22000000</v>
      </c>
      <c r="B98">
        <f t="shared" si="14"/>
        <v>0</v>
      </c>
      <c r="C98">
        <f t="shared" si="15"/>
        <v>0</v>
      </c>
      <c r="D98">
        <f t="shared" si="15"/>
        <v>0</v>
      </c>
      <c r="E98">
        <f t="shared" si="15"/>
        <v>0</v>
      </c>
      <c r="F98">
        <f t="shared" si="16"/>
        <v>0</v>
      </c>
      <c r="G98">
        <f t="shared" si="17"/>
        <v>0</v>
      </c>
      <c r="H98">
        <f t="shared" si="18"/>
        <v>0</v>
      </c>
      <c r="I98">
        <f t="shared" si="19"/>
        <v>0</v>
      </c>
      <c r="J98">
        <f t="shared" si="12"/>
        <v>0</v>
      </c>
    </row>
    <row r="99" spans="1:10" x14ac:dyDescent="0.2">
      <c r="A99">
        <f t="shared" ref="A99:A159" si="20">A87*10</f>
        <v>27000000</v>
      </c>
      <c r="B99">
        <f t="shared" si="14"/>
        <v>0</v>
      </c>
      <c r="C99">
        <f t="shared" si="15"/>
        <v>0</v>
      </c>
      <c r="D99">
        <f t="shared" si="15"/>
        <v>0</v>
      </c>
      <c r="E99">
        <f t="shared" si="15"/>
        <v>0</v>
      </c>
      <c r="F99">
        <f t="shared" si="16"/>
        <v>0</v>
      </c>
      <c r="G99">
        <f t="shared" si="17"/>
        <v>0</v>
      </c>
      <c r="H99">
        <f t="shared" si="18"/>
        <v>0</v>
      </c>
      <c r="I99">
        <f t="shared" si="19"/>
        <v>0</v>
      </c>
      <c r="J99">
        <f t="shared" si="12"/>
        <v>0</v>
      </c>
    </row>
    <row r="100" spans="1:10" x14ac:dyDescent="0.2">
      <c r="A100">
        <f t="shared" si="20"/>
        <v>33000000</v>
      </c>
      <c r="B100">
        <f t="shared" si="14"/>
        <v>0</v>
      </c>
      <c r="C100">
        <f t="shared" si="15"/>
        <v>0</v>
      </c>
      <c r="D100">
        <f t="shared" si="15"/>
        <v>0</v>
      </c>
      <c r="E100">
        <f t="shared" si="15"/>
        <v>0</v>
      </c>
      <c r="F100">
        <f t="shared" si="16"/>
        <v>0</v>
      </c>
      <c r="G100">
        <f t="shared" si="17"/>
        <v>0</v>
      </c>
      <c r="H100">
        <f t="shared" si="18"/>
        <v>0</v>
      </c>
      <c r="I100">
        <f t="shared" si="19"/>
        <v>0</v>
      </c>
      <c r="J100">
        <f t="shared" si="12"/>
        <v>0</v>
      </c>
    </row>
    <row r="101" spans="1:10" x14ac:dyDescent="0.2">
      <c r="A101">
        <f t="shared" si="20"/>
        <v>39000000</v>
      </c>
      <c r="B101">
        <f t="shared" si="14"/>
        <v>0</v>
      </c>
      <c r="C101">
        <f t="shared" si="15"/>
        <v>0</v>
      </c>
      <c r="D101">
        <f t="shared" si="15"/>
        <v>0</v>
      </c>
      <c r="E101">
        <f t="shared" si="15"/>
        <v>0</v>
      </c>
      <c r="F101">
        <f t="shared" si="16"/>
        <v>0</v>
      </c>
      <c r="G101">
        <f t="shared" si="17"/>
        <v>0</v>
      </c>
      <c r="H101">
        <f t="shared" si="18"/>
        <v>0</v>
      </c>
      <c r="I101">
        <f t="shared" si="19"/>
        <v>0</v>
      </c>
      <c r="J101">
        <f t="shared" si="12"/>
        <v>0</v>
      </c>
    </row>
    <row r="102" spans="1:10" x14ac:dyDescent="0.2">
      <c r="A102">
        <f t="shared" si="20"/>
        <v>47000000</v>
      </c>
      <c r="B102">
        <f t="shared" si="14"/>
        <v>0</v>
      </c>
      <c r="C102">
        <f t="shared" si="15"/>
        <v>0</v>
      </c>
      <c r="D102">
        <f t="shared" si="15"/>
        <v>0</v>
      </c>
      <c r="E102">
        <f t="shared" si="15"/>
        <v>0</v>
      </c>
      <c r="F102">
        <f t="shared" si="16"/>
        <v>0</v>
      </c>
      <c r="G102">
        <f t="shared" si="17"/>
        <v>0</v>
      </c>
      <c r="H102">
        <f t="shared" si="18"/>
        <v>0</v>
      </c>
      <c r="I102">
        <f t="shared" si="19"/>
        <v>0</v>
      </c>
      <c r="J102">
        <f t="shared" si="12"/>
        <v>0</v>
      </c>
    </row>
    <row r="103" spans="1:10" x14ac:dyDescent="0.2">
      <c r="A103">
        <f t="shared" si="20"/>
        <v>56000000</v>
      </c>
      <c r="B103">
        <f t="shared" si="14"/>
        <v>0</v>
      </c>
      <c r="C103">
        <f t="shared" si="15"/>
        <v>0</v>
      </c>
      <c r="D103">
        <f t="shared" si="15"/>
        <v>0</v>
      </c>
      <c r="E103">
        <f t="shared" si="15"/>
        <v>0</v>
      </c>
      <c r="F103">
        <f t="shared" ref="F103:F134" si="21">IF(IF((F$3*10^12-$A104)*(F$3*10^12-$A103)*-1&lt;0,0,1)*IF(ABS(F$3*10^12-$A104)&gt;(F$3*10^12-$A103),$A103,$A104)=F104,0,IF((F$3*10^12-$A104)*(F$3*10^12-$A103)*-1&lt;0,0,1)*IF(ABS(F$3*10^12-$A104)&gt;(F$3*10^12-$A103),$A103,$A104))</f>
        <v>0</v>
      </c>
      <c r="G103">
        <f t="shared" ref="G103:G134" si="22">IF(IF((G$3*10^12-$A104)*(G$3*10^12-$A103)*-1&lt;0,0,1)*IF(ABS(G$3*10^12-$A104)&gt;(G$3*10^12-$A103),$A103,$A104)=G104,0,IF((G$3*10^12-$A104)*(G$3*10^12-$A103)*-1&lt;0,0,1)*IF(ABS(G$3*10^12-$A104)&gt;(G$3*10^12-$A103),$A103,$A104))</f>
        <v>0</v>
      </c>
      <c r="H103">
        <f t="shared" ref="H103:H134" si="23">IF(IF((H$3*10^12-$A104)*(H$3*10^12-$A103)*-1&lt;0,0,1)*IF(ABS(H$3*10^12-$A104)&gt;(H$3*10^12-$A103),$A103,$A104)=H104,0,IF((H$3*10^12-$A104)*(H$3*10^12-$A103)*-1&lt;0,0,1)*IF(ABS(H$3*10^12-$A104)&gt;(H$3*10^12-$A103),$A103,$A104))</f>
        <v>0</v>
      </c>
      <c r="I103">
        <f t="shared" ref="I103:I134" si="24">IF(IF((I$3*10^12-$A104)*(I$3*10^12-$A103)*-1&lt;0,0,1)*IF(ABS(I$3*10^12-$A104)&gt;(I$3*10^12-$A103),$A103,$A104)=I104,0,IF((I$3*10^12-$A104)*(I$3*10^12-$A103)*-1&lt;0,0,1)*IF(ABS(I$3*10^12-$A104)&gt;(I$3*10^12-$A103),$A103,$A104))</f>
        <v>0</v>
      </c>
      <c r="J103">
        <f t="shared" si="12"/>
        <v>0</v>
      </c>
    </row>
    <row r="104" spans="1:10" x14ac:dyDescent="0.2">
      <c r="A104">
        <f t="shared" si="20"/>
        <v>68000000</v>
      </c>
      <c r="B104">
        <f t="shared" si="14"/>
        <v>0</v>
      </c>
      <c r="C104">
        <f t="shared" si="15"/>
        <v>0</v>
      </c>
      <c r="D104">
        <f t="shared" si="15"/>
        <v>0</v>
      </c>
      <c r="E104">
        <f t="shared" si="15"/>
        <v>0</v>
      </c>
      <c r="F104">
        <f t="shared" si="21"/>
        <v>0</v>
      </c>
      <c r="G104">
        <f t="shared" si="22"/>
        <v>0</v>
      </c>
      <c r="H104">
        <f t="shared" si="23"/>
        <v>0</v>
      </c>
      <c r="I104">
        <f t="shared" si="24"/>
        <v>0</v>
      </c>
      <c r="J104">
        <f t="shared" si="12"/>
        <v>0</v>
      </c>
    </row>
    <row r="105" spans="1:10" x14ac:dyDescent="0.2">
      <c r="A105">
        <f t="shared" si="20"/>
        <v>82000000</v>
      </c>
      <c r="B105">
        <f t="shared" si="14"/>
        <v>0</v>
      </c>
      <c r="C105">
        <f t="shared" si="15"/>
        <v>0</v>
      </c>
      <c r="D105">
        <f t="shared" si="15"/>
        <v>0</v>
      </c>
      <c r="E105">
        <f t="shared" si="15"/>
        <v>0</v>
      </c>
      <c r="F105">
        <f t="shared" si="21"/>
        <v>0</v>
      </c>
      <c r="G105">
        <f t="shared" si="22"/>
        <v>0</v>
      </c>
      <c r="H105">
        <f t="shared" si="23"/>
        <v>0</v>
      </c>
      <c r="I105">
        <f t="shared" si="24"/>
        <v>0</v>
      </c>
      <c r="J105">
        <f t="shared" si="12"/>
        <v>0</v>
      </c>
    </row>
    <row r="106" spans="1:10" x14ac:dyDescent="0.2">
      <c r="A106">
        <f t="shared" si="20"/>
        <v>100000000</v>
      </c>
      <c r="B106">
        <f t="shared" si="14"/>
        <v>0</v>
      </c>
      <c r="C106">
        <f t="shared" si="15"/>
        <v>0</v>
      </c>
      <c r="D106">
        <f t="shared" si="15"/>
        <v>0</v>
      </c>
      <c r="E106">
        <f t="shared" si="15"/>
        <v>0</v>
      </c>
      <c r="F106">
        <f t="shared" si="21"/>
        <v>100000000</v>
      </c>
      <c r="G106">
        <f t="shared" si="22"/>
        <v>0</v>
      </c>
      <c r="H106">
        <f t="shared" si="23"/>
        <v>0</v>
      </c>
      <c r="I106">
        <f t="shared" si="24"/>
        <v>0</v>
      </c>
      <c r="J106">
        <f t="shared" si="12"/>
        <v>0</v>
      </c>
    </row>
    <row r="107" spans="1:10" x14ac:dyDescent="0.2">
      <c r="A107">
        <f t="shared" si="20"/>
        <v>120000000</v>
      </c>
      <c r="B107">
        <f t="shared" si="14"/>
        <v>0</v>
      </c>
      <c r="C107">
        <f t="shared" si="15"/>
        <v>0</v>
      </c>
      <c r="D107">
        <f t="shared" si="15"/>
        <v>0</v>
      </c>
      <c r="E107">
        <f t="shared" si="15"/>
        <v>0</v>
      </c>
      <c r="F107">
        <f t="shared" si="21"/>
        <v>0</v>
      </c>
      <c r="G107">
        <f t="shared" si="22"/>
        <v>0</v>
      </c>
      <c r="H107">
        <f t="shared" si="23"/>
        <v>0</v>
      </c>
      <c r="I107">
        <f t="shared" si="24"/>
        <v>0</v>
      </c>
      <c r="J107">
        <f t="shared" si="12"/>
        <v>0</v>
      </c>
    </row>
    <row r="108" spans="1:10" x14ac:dyDescent="0.2">
      <c r="A108">
        <f t="shared" si="20"/>
        <v>150000000</v>
      </c>
      <c r="B108">
        <f t="shared" si="14"/>
        <v>0</v>
      </c>
      <c r="C108">
        <f t="shared" si="15"/>
        <v>0</v>
      </c>
      <c r="D108">
        <f t="shared" si="15"/>
        <v>0</v>
      </c>
      <c r="E108">
        <f t="shared" si="15"/>
        <v>0</v>
      </c>
      <c r="F108">
        <f t="shared" si="21"/>
        <v>0</v>
      </c>
      <c r="G108">
        <f t="shared" si="22"/>
        <v>0</v>
      </c>
      <c r="H108">
        <f t="shared" si="23"/>
        <v>0</v>
      </c>
      <c r="I108">
        <f t="shared" si="24"/>
        <v>0</v>
      </c>
      <c r="J108">
        <f t="shared" si="12"/>
        <v>0</v>
      </c>
    </row>
    <row r="109" spans="1:10" x14ac:dyDescent="0.2">
      <c r="A109">
        <f t="shared" si="20"/>
        <v>180000000</v>
      </c>
      <c r="B109">
        <f t="shared" si="14"/>
        <v>0</v>
      </c>
      <c r="C109">
        <f t="shared" si="15"/>
        <v>0</v>
      </c>
      <c r="D109">
        <f t="shared" si="15"/>
        <v>0</v>
      </c>
      <c r="E109">
        <f t="shared" si="15"/>
        <v>0</v>
      </c>
      <c r="F109">
        <f t="shared" si="21"/>
        <v>0</v>
      </c>
      <c r="G109">
        <f t="shared" si="22"/>
        <v>0</v>
      </c>
      <c r="H109">
        <f t="shared" si="23"/>
        <v>0</v>
      </c>
      <c r="I109">
        <f t="shared" si="24"/>
        <v>0</v>
      </c>
      <c r="J109">
        <f t="shared" si="12"/>
        <v>0</v>
      </c>
    </row>
    <row r="110" spans="1:10" x14ac:dyDescent="0.2">
      <c r="A110">
        <f t="shared" si="20"/>
        <v>220000000</v>
      </c>
      <c r="B110">
        <f t="shared" si="14"/>
        <v>0</v>
      </c>
      <c r="C110">
        <f t="shared" si="15"/>
        <v>0</v>
      </c>
      <c r="D110">
        <f t="shared" si="15"/>
        <v>0</v>
      </c>
      <c r="E110">
        <f t="shared" si="15"/>
        <v>0</v>
      </c>
      <c r="F110">
        <f t="shared" si="21"/>
        <v>0</v>
      </c>
      <c r="G110">
        <f t="shared" si="22"/>
        <v>0</v>
      </c>
      <c r="H110">
        <f t="shared" si="23"/>
        <v>0</v>
      </c>
      <c r="I110">
        <f t="shared" si="24"/>
        <v>0</v>
      </c>
      <c r="J110">
        <f t="shared" si="12"/>
        <v>0</v>
      </c>
    </row>
    <row r="111" spans="1:10" x14ac:dyDescent="0.2">
      <c r="A111">
        <f t="shared" si="20"/>
        <v>270000000</v>
      </c>
      <c r="B111">
        <f t="shared" si="14"/>
        <v>0</v>
      </c>
      <c r="C111">
        <f t="shared" si="15"/>
        <v>0</v>
      </c>
      <c r="D111">
        <f t="shared" si="15"/>
        <v>0</v>
      </c>
      <c r="E111">
        <f t="shared" si="15"/>
        <v>270000000</v>
      </c>
      <c r="F111">
        <f t="shared" si="21"/>
        <v>0</v>
      </c>
      <c r="G111">
        <f t="shared" si="22"/>
        <v>0</v>
      </c>
      <c r="H111">
        <f t="shared" si="23"/>
        <v>0</v>
      </c>
      <c r="I111">
        <f t="shared" si="24"/>
        <v>0</v>
      </c>
      <c r="J111">
        <f t="shared" si="12"/>
        <v>0</v>
      </c>
    </row>
    <row r="112" spans="1:10" x14ac:dyDescent="0.2">
      <c r="A112">
        <f t="shared" si="20"/>
        <v>330000000</v>
      </c>
      <c r="B112">
        <f t="shared" si="14"/>
        <v>0</v>
      </c>
      <c r="C112">
        <f t="shared" si="15"/>
        <v>0</v>
      </c>
      <c r="D112">
        <f t="shared" si="15"/>
        <v>0</v>
      </c>
      <c r="E112">
        <f t="shared" si="15"/>
        <v>0</v>
      </c>
      <c r="F112">
        <f t="shared" si="21"/>
        <v>0</v>
      </c>
      <c r="G112">
        <f t="shared" si="22"/>
        <v>0</v>
      </c>
      <c r="H112">
        <f t="shared" si="23"/>
        <v>0</v>
      </c>
      <c r="I112">
        <f t="shared" si="24"/>
        <v>0</v>
      </c>
      <c r="J112">
        <f t="shared" si="12"/>
        <v>0</v>
      </c>
    </row>
    <row r="113" spans="1:10" x14ac:dyDescent="0.2">
      <c r="A113">
        <f t="shared" si="20"/>
        <v>390000000</v>
      </c>
      <c r="B113">
        <f t="shared" si="14"/>
        <v>0</v>
      </c>
      <c r="C113">
        <f t="shared" si="15"/>
        <v>0</v>
      </c>
      <c r="D113">
        <f t="shared" si="15"/>
        <v>0</v>
      </c>
      <c r="E113">
        <f t="shared" si="15"/>
        <v>0</v>
      </c>
      <c r="F113">
        <f t="shared" si="21"/>
        <v>0</v>
      </c>
      <c r="G113">
        <f t="shared" si="22"/>
        <v>0</v>
      </c>
      <c r="H113">
        <f t="shared" si="23"/>
        <v>0</v>
      </c>
      <c r="I113">
        <f t="shared" si="24"/>
        <v>0</v>
      </c>
      <c r="J113">
        <f t="shared" si="12"/>
        <v>0</v>
      </c>
    </row>
    <row r="114" spans="1:10" x14ac:dyDescent="0.2">
      <c r="A114">
        <f t="shared" si="20"/>
        <v>470000000</v>
      </c>
      <c r="B114">
        <f t="shared" si="14"/>
        <v>0</v>
      </c>
      <c r="C114">
        <f t="shared" si="15"/>
        <v>0</v>
      </c>
      <c r="D114">
        <f t="shared" si="15"/>
        <v>0</v>
      </c>
      <c r="E114">
        <f t="shared" si="15"/>
        <v>0</v>
      </c>
      <c r="F114">
        <f t="shared" si="21"/>
        <v>0</v>
      </c>
      <c r="G114">
        <f t="shared" si="22"/>
        <v>0</v>
      </c>
      <c r="H114">
        <f t="shared" si="23"/>
        <v>0</v>
      </c>
      <c r="I114">
        <f t="shared" si="24"/>
        <v>0</v>
      </c>
      <c r="J114">
        <f t="shared" si="12"/>
        <v>0</v>
      </c>
    </row>
    <row r="115" spans="1:10" x14ac:dyDescent="0.2">
      <c r="A115">
        <f t="shared" si="20"/>
        <v>560000000</v>
      </c>
      <c r="B115">
        <f t="shared" si="14"/>
        <v>0</v>
      </c>
      <c r="C115">
        <f t="shared" si="15"/>
        <v>0</v>
      </c>
      <c r="D115">
        <f t="shared" si="15"/>
        <v>0</v>
      </c>
      <c r="E115">
        <f t="shared" si="15"/>
        <v>0</v>
      </c>
      <c r="F115">
        <f t="shared" si="21"/>
        <v>0</v>
      </c>
      <c r="G115">
        <f t="shared" si="22"/>
        <v>0</v>
      </c>
      <c r="H115">
        <f t="shared" si="23"/>
        <v>0</v>
      </c>
      <c r="I115">
        <f t="shared" si="24"/>
        <v>0</v>
      </c>
      <c r="J115">
        <f t="shared" si="12"/>
        <v>0</v>
      </c>
    </row>
    <row r="116" spans="1:10" x14ac:dyDescent="0.2">
      <c r="A116">
        <f t="shared" si="20"/>
        <v>680000000</v>
      </c>
      <c r="B116">
        <f t="shared" si="14"/>
        <v>0</v>
      </c>
      <c r="C116">
        <f t="shared" si="15"/>
        <v>0</v>
      </c>
      <c r="D116">
        <f t="shared" si="15"/>
        <v>0</v>
      </c>
      <c r="E116">
        <f t="shared" si="15"/>
        <v>0</v>
      </c>
      <c r="F116">
        <f t="shared" si="21"/>
        <v>0</v>
      </c>
      <c r="G116">
        <f t="shared" si="22"/>
        <v>0</v>
      </c>
      <c r="H116">
        <f t="shared" si="23"/>
        <v>0</v>
      </c>
      <c r="I116">
        <f t="shared" si="24"/>
        <v>0</v>
      </c>
      <c r="J116">
        <f t="shared" si="12"/>
        <v>0</v>
      </c>
    </row>
    <row r="117" spans="1:10" x14ac:dyDescent="0.2">
      <c r="A117">
        <f t="shared" si="20"/>
        <v>820000000</v>
      </c>
      <c r="B117">
        <f t="shared" si="14"/>
        <v>0</v>
      </c>
      <c r="C117">
        <f t="shared" si="15"/>
        <v>0</v>
      </c>
      <c r="D117">
        <f t="shared" si="15"/>
        <v>0</v>
      </c>
      <c r="E117">
        <f t="shared" si="15"/>
        <v>0</v>
      </c>
      <c r="F117">
        <f t="shared" si="21"/>
        <v>0</v>
      </c>
      <c r="G117">
        <f t="shared" si="22"/>
        <v>0</v>
      </c>
      <c r="H117">
        <f t="shared" si="23"/>
        <v>0</v>
      </c>
      <c r="I117">
        <f t="shared" si="24"/>
        <v>0</v>
      </c>
      <c r="J117">
        <f t="shared" si="12"/>
        <v>0</v>
      </c>
    </row>
    <row r="118" spans="1:10" x14ac:dyDescent="0.2">
      <c r="A118">
        <f t="shared" si="20"/>
        <v>1000000000</v>
      </c>
      <c r="B118">
        <f t="shared" si="14"/>
        <v>0</v>
      </c>
      <c r="C118">
        <f t="shared" si="15"/>
        <v>0</v>
      </c>
      <c r="D118">
        <f t="shared" si="15"/>
        <v>0</v>
      </c>
      <c r="E118">
        <f t="shared" si="15"/>
        <v>0</v>
      </c>
      <c r="F118">
        <f t="shared" si="21"/>
        <v>0</v>
      </c>
      <c r="G118">
        <f t="shared" si="22"/>
        <v>0</v>
      </c>
      <c r="H118">
        <f t="shared" si="23"/>
        <v>0</v>
      </c>
      <c r="I118">
        <f t="shared" si="24"/>
        <v>0</v>
      </c>
      <c r="J118">
        <f t="shared" si="12"/>
        <v>0</v>
      </c>
    </row>
    <row r="119" spans="1:10" x14ac:dyDescent="0.2">
      <c r="A119">
        <f t="shared" si="20"/>
        <v>1200000000</v>
      </c>
      <c r="B119">
        <f t="shared" si="14"/>
        <v>0</v>
      </c>
      <c r="C119">
        <f t="shared" si="15"/>
        <v>0</v>
      </c>
      <c r="D119">
        <f t="shared" si="15"/>
        <v>0</v>
      </c>
      <c r="E119">
        <f t="shared" si="15"/>
        <v>0</v>
      </c>
      <c r="F119">
        <f t="shared" si="21"/>
        <v>0</v>
      </c>
      <c r="G119">
        <f t="shared" si="22"/>
        <v>0</v>
      </c>
      <c r="H119">
        <f t="shared" si="23"/>
        <v>0</v>
      </c>
      <c r="I119">
        <f t="shared" si="24"/>
        <v>0</v>
      </c>
      <c r="J119">
        <f t="shared" si="12"/>
        <v>0</v>
      </c>
    </row>
    <row r="120" spans="1:10" x14ac:dyDescent="0.2">
      <c r="A120">
        <f t="shared" si="20"/>
        <v>1500000000</v>
      </c>
      <c r="B120">
        <f t="shared" si="14"/>
        <v>0</v>
      </c>
      <c r="C120">
        <f t="shared" si="15"/>
        <v>0</v>
      </c>
      <c r="D120">
        <f t="shared" si="15"/>
        <v>0</v>
      </c>
      <c r="E120">
        <f t="shared" si="15"/>
        <v>0</v>
      </c>
      <c r="F120">
        <f t="shared" si="21"/>
        <v>0</v>
      </c>
      <c r="G120">
        <f t="shared" si="22"/>
        <v>0</v>
      </c>
      <c r="H120">
        <f t="shared" si="23"/>
        <v>0</v>
      </c>
      <c r="I120">
        <f t="shared" si="24"/>
        <v>0</v>
      </c>
      <c r="J120">
        <f t="shared" si="12"/>
        <v>0</v>
      </c>
    </row>
    <row r="121" spans="1:10" x14ac:dyDescent="0.2">
      <c r="A121">
        <f t="shared" si="20"/>
        <v>1800000000</v>
      </c>
      <c r="B121">
        <f t="shared" si="14"/>
        <v>0</v>
      </c>
      <c r="C121">
        <f t="shared" si="15"/>
        <v>0</v>
      </c>
      <c r="D121">
        <f t="shared" si="15"/>
        <v>0</v>
      </c>
      <c r="E121">
        <f t="shared" si="15"/>
        <v>0</v>
      </c>
      <c r="F121">
        <f t="shared" si="21"/>
        <v>0</v>
      </c>
      <c r="G121">
        <f t="shared" si="22"/>
        <v>0</v>
      </c>
      <c r="H121">
        <f t="shared" si="23"/>
        <v>0</v>
      </c>
      <c r="I121">
        <f t="shared" si="24"/>
        <v>0</v>
      </c>
      <c r="J121">
        <f t="shared" si="12"/>
        <v>0</v>
      </c>
    </row>
    <row r="122" spans="1:10" x14ac:dyDescent="0.2">
      <c r="A122">
        <f t="shared" si="20"/>
        <v>2200000000</v>
      </c>
      <c r="B122">
        <f t="shared" si="14"/>
        <v>0</v>
      </c>
      <c r="C122">
        <f t="shared" si="15"/>
        <v>0</v>
      </c>
      <c r="D122">
        <f t="shared" si="15"/>
        <v>0</v>
      </c>
      <c r="E122">
        <f t="shared" si="15"/>
        <v>0</v>
      </c>
      <c r="F122">
        <f t="shared" si="21"/>
        <v>0</v>
      </c>
      <c r="G122">
        <f t="shared" si="22"/>
        <v>0</v>
      </c>
      <c r="H122">
        <f t="shared" si="23"/>
        <v>0</v>
      </c>
      <c r="I122">
        <f t="shared" si="24"/>
        <v>0</v>
      </c>
      <c r="J122">
        <f t="shared" si="12"/>
        <v>0</v>
      </c>
    </row>
    <row r="123" spans="1:10" x14ac:dyDescent="0.2">
      <c r="A123">
        <f t="shared" si="20"/>
        <v>2700000000</v>
      </c>
      <c r="B123">
        <f t="shared" si="14"/>
        <v>0</v>
      </c>
      <c r="C123">
        <f t="shared" si="15"/>
        <v>0</v>
      </c>
      <c r="D123">
        <f t="shared" si="15"/>
        <v>0</v>
      </c>
      <c r="E123">
        <f t="shared" si="15"/>
        <v>0</v>
      </c>
      <c r="F123">
        <f t="shared" si="21"/>
        <v>0</v>
      </c>
      <c r="G123">
        <f t="shared" si="22"/>
        <v>0</v>
      </c>
      <c r="H123">
        <f t="shared" si="23"/>
        <v>0</v>
      </c>
      <c r="I123">
        <f t="shared" si="24"/>
        <v>0</v>
      </c>
      <c r="J123">
        <f t="shared" si="12"/>
        <v>0</v>
      </c>
    </row>
    <row r="124" spans="1:10" x14ac:dyDescent="0.2">
      <c r="A124">
        <f t="shared" si="20"/>
        <v>3300000000</v>
      </c>
      <c r="B124">
        <f t="shared" si="14"/>
        <v>0</v>
      </c>
      <c r="C124">
        <f t="shared" si="15"/>
        <v>0</v>
      </c>
      <c r="D124">
        <f t="shared" si="15"/>
        <v>0</v>
      </c>
      <c r="E124">
        <f t="shared" si="15"/>
        <v>0</v>
      </c>
      <c r="F124">
        <f t="shared" si="21"/>
        <v>0</v>
      </c>
      <c r="G124">
        <f t="shared" si="22"/>
        <v>0</v>
      </c>
      <c r="H124">
        <f t="shared" si="23"/>
        <v>0</v>
      </c>
      <c r="I124">
        <f t="shared" si="24"/>
        <v>0</v>
      </c>
      <c r="J124">
        <f t="shared" si="12"/>
        <v>0</v>
      </c>
    </row>
    <row r="125" spans="1:10" x14ac:dyDescent="0.2">
      <c r="A125">
        <f t="shared" si="20"/>
        <v>3900000000</v>
      </c>
      <c r="B125">
        <f t="shared" si="14"/>
        <v>0</v>
      </c>
      <c r="C125">
        <f t="shared" si="15"/>
        <v>0</v>
      </c>
      <c r="D125">
        <f t="shared" si="15"/>
        <v>0</v>
      </c>
      <c r="E125">
        <f t="shared" si="15"/>
        <v>0</v>
      </c>
      <c r="F125">
        <f t="shared" si="21"/>
        <v>0</v>
      </c>
      <c r="G125">
        <f t="shared" si="22"/>
        <v>0</v>
      </c>
      <c r="H125">
        <f t="shared" si="23"/>
        <v>0</v>
      </c>
      <c r="I125">
        <f t="shared" si="24"/>
        <v>0</v>
      </c>
      <c r="J125">
        <f t="shared" si="12"/>
        <v>0</v>
      </c>
    </row>
    <row r="126" spans="1:10" x14ac:dyDescent="0.2">
      <c r="A126">
        <f t="shared" si="20"/>
        <v>4700000000</v>
      </c>
      <c r="B126">
        <f t="shared" si="14"/>
        <v>0</v>
      </c>
      <c r="C126">
        <f t="shared" si="15"/>
        <v>0</v>
      </c>
      <c r="D126">
        <f t="shared" si="15"/>
        <v>0</v>
      </c>
      <c r="E126">
        <f t="shared" si="15"/>
        <v>0</v>
      </c>
      <c r="F126">
        <f t="shared" si="21"/>
        <v>0</v>
      </c>
      <c r="G126">
        <f t="shared" si="22"/>
        <v>0</v>
      </c>
      <c r="H126">
        <f t="shared" si="23"/>
        <v>0</v>
      </c>
      <c r="I126">
        <f t="shared" si="24"/>
        <v>0</v>
      </c>
      <c r="J126">
        <f t="shared" si="12"/>
        <v>0</v>
      </c>
    </row>
    <row r="127" spans="1:10" x14ac:dyDescent="0.2">
      <c r="A127">
        <f t="shared" si="20"/>
        <v>5600000000</v>
      </c>
      <c r="B127">
        <f t="shared" si="14"/>
        <v>0</v>
      </c>
      <c r="C127">
        <f t="shared" si="15"/>
        <v>0</v>
      </c>
      <c r="D127">
        <f t="shared" si="15"/>
        <v>0</v>
      </c>
      <c r="E127">
        <f t="shared" si="15"/>
        <v>0</v>
      </c>
      <c r="F127">
        <f t="shared" si="21"/>
        <v>0</v>
      </c>
      <c r="G127">
        <f t="shared" si="22"/>
        <v>0</v>
      </c>
      <c r="H127">
        <f t="shared" si="23"/>
        <v>0</v>
      </c>
      <c r="I127">
        <f t="shared" si="24"/>
        <v>0</v>
      </c>
      <c r="J127">
        <f t="shared" si="12"/>
        <v>0</v>
      </c>
    </row>
    <row r="128" spans="1:10" x14ac:dyDescent="0.2">
      <c r="A128">
        <f t="shared" si="20"/>
        <v>6800000000</v>
      </c>
      <c r="B128">
        <f t="shared" si="14"/>
        <v>0</v>
      </c>
      <c r="C128">
        <f t="shared" si="15"/>
        <v>0</v>
      </c>
      <c r="D128">
        <f t="shared" si="15"/>
        <v>0</v>
      </c>
      <c r="E128">
        <f t="shared" si="15"/>
        <v>0</v>
      </c>
      <c r="F128">
        <f t="shared" si="21"/>
        <v>0</v>
      </c>
      <c r="G128">
        <f t="shared" si="22"/>
        <v>0</v>
      </c>
      <c r="H128">
        <f t="shared" si="23"/>
        <v>0</v>
      </c>
      <c r="I128">
        <f t="shared" si="24"/>
        <v>0</v>
      </c>
      <c r="J128">
        <f t="shared" si="12"/>
        <v>0</v>
      </c>
    </row>
    <row r="129" spans="1:10" x14ac:dyDescent="0.2">
      <c r="A129">
        <f t="shared" si="20"/>
        <v>8200000000</v>
      </c>
      <c r="B129">
        <f t="shared" si="14"/>
        <v>0</v>
      </c>
      <c r="C129">
        <f t="shared" si="15"/>
        <v>0</v>
      </c>
      <c r="D129">
        <f t="shared" si="15"/>
        <v>0</v>
      </c>
      <c r="E129">
        <f t="shared" si="15"/>
        <v>0</v>
      </c>
      <c r="F129">
        <f t="shared" si="21"/>
        <v>0</v>
      </c>
      <c r="G129">
        <f t="shared" si="22"/>
        <v>0</v>
      </c>
      <c r="H129">
        <f t="shared" si="23"/>
        <v>0</v>
      </c>
      <c r="I129">
        <f t="shared" si="24"/>
        <v>0</v>
      </c>
      <c r="J129">
        <f t="shared" si="12"/>
        <v>0</v>
      </c>
    </row>
    <row r="130" spans="1:10" x14ac:dyDescent="0.2">
      <c r="A130">
        <f t="shared" si="20"/>
        <v>10000000000</v>
      </c>
      <c r="B130">
        <f t="shared" si="14"/>
        <v>0</v>
      </c>
      <c r="C130">
        <f t="shared" si="15"/>
        <v>0</v>
      </c>
      <c r="D130">
        <f t="shared" si="15"/>
        <v>0</v>
      </c>
      <c r="E130">
        <f t="shared" si="15"/>
        <v>0</v>
      </c>
      <c r="F130">
        <f t="shared" si="21"/>
        <v>0</v>
      </c>
      <c r="G130">
        <f t="shared" si="22"/>
        <v>0</v>
      </c>
      <c r="H130">
        <f t="shared" si="23"/>
        <v>0</v>
      </c>
      <c r="I130">
        <f t="shared" si="24"/>
        <v>0</v>
      </c>
      <c r="J130">
        <f t="shared" si="12"/>
        <v>0</v>
      </c>
    </row>
    <row r="131" spans="1:10" x14ac:dyDescent="0.2">
      <c r="A131">
        <f t="shared" si="20"/>
        <v>12000000000</v>
      </c>
      <c r="B131">
        <f t="shared" si="14"/>
        <v>0</v>
      </c>
      <c r="C131">
        <f t="shared" si="15"/>
        <v>0</v>
      </c>
      <c r="D131">
        <f t="shared" si="15"/>
        <v>0</v>
      </c>
      <c r="E131">
        <f t="shared" si="15"/>
        <v>0</v>
      </c>
      <c r="F131">
        <f t="shared" si="21"/>
        <v>0</v>
      </c>
      <c r="G131">
        <f t="shared" si="22"/>
        <v>0</v>
      </c>
      <c r="H131">
        <f t="shared" si="23"/>
        <v>0</v>
      </c>
      <c r="I131">
        <f t="shared" si="24"/>
        <v>0</v>
      </c>
      <c r="J131">
        <f t="shared" si="12"/>
        <v>0</v>
      </c>
    </row>
    <row r="132" spans="1:10" x14ac:dyDescent="0.2">
      <c r="A132">
        <f t="shared" si="20"/>
        <v>15000000000</v>
      </c>
      <c r="B132">
        <f t="shared" si="14"/>
        <v>0</v>
      </c>
      <c r="C132">
        <f t="shared" si="15"/>
        <v>0</v>
      </c>
      <c r="D132">
        <f t="shared" si="15"/>
        <v>0</v>
      </c>
      <c r="E132">
        <f t="shared" si="15"/>
        <v>0</v>
      </c>
      <c r="F132">
        <f t="shared" si="21"/>
        <v>0</v>
      </c>
      <c r="G132">
        <f t="shared" si="22"/>
        <v>0</v>
      </c>
      <c r="H132">
        <f t="shared" si="23"/>
        <v>0</v>
      </c>
      <c r="I132">
        <f t="shared" si="24"/>
        <v>0</v>
      </c>
      <c r="J132">
        <f t="shared" si="12"/>
        <v>0</v>
      </c>
    </row>
    <row r="133" spans="1:10" x14ac:dyDescent="0.2">
      <c r="A133">
        <f t="shared" si="20"/>
        <v>18000000000</v>
      </c>
      <c r="B133">
        <f t="shared" si="14"/>
        <v>0</v>
      </c>
      <c r="C133">
        <f t="shared" si="15"/>
        <v>0</v>
      </c>
      <c r="D133">
        <f t="shared" si="15"/>
        <v>0</v>
      </c>
      <c r="E133">
        <f t="shared" si="15"/>
        <v>0</v>
      </c>
      <c r="F133">
        <f t="shared" si="21"/>
        <v>0</v>
      </c>
      <c r="G133">
        <f t="shared" si="22"/>
        <v>0</v>
      </c>
      <c r="H133">
        <f t="shared" si="23"/>
        <v>0</v>
      </c>
      <c r="I133">
        <f t="shared" si="24"/>
        <v>0</v>
      </c>
      <c r="J133">
        <f>IF(IF((J$3*10^12-$A134)*(J$3*10^12-$A133)*-1&lt;0,0,1)*IF(ABS(J$3*10^12-$A134)&gt;(J$3*10^12-$A133),$A133,$A134)=J134,0,IF((J$3*10^12-$A134)*(J$3*10^12-$A133)*-1&lt;0,0,1)*IF(ABS(J$3*10^12-$A134)&gt;(J$3*10^12-$A133),$A133,$A134))</f>
        <v>0</v>
      </c>
    </row>
    <row r="134" spans="1:10" x14ac:dyDescent="0.2">
      <c r="A134">
        <f t="shared" si="20"/>
        <v>22000000000</v>
      </c>
      <c r="B134">
        <f t="shared" si="14"/>
        <v>0</v>
      </c>
      <c r="C134">
        <f t="shared" si="15"/>
        <v>0</v>
      </c>
      <c r="D134">
        <f t="shared" si="15"/>
        <v>0</v>
      </c>
      <c r="E134">
        <f t="shared" ref="E134:J159" si="25">IF(IF((E$3*10^12-$A135)*(E$3*10^12-$A134)*-1&lt;0,0,1)*IF(ABS(E$3*10^12-$A135)&gt;(E$3*10^12-$A134),$A134,$A135)=E135,0,IF((E$3*10^12-$A135)*(E$3*10^12-$A134)*-1&lt;0,0,1)*IF(ABS(E$3*10^12-$A135)&gt;(E$3*10^12-$A134),$A134,$A135))</f>
        <v>0</v>
      </c>
      <c r="F134">
        <f t="shared" si="21"/>
        <v>0</v>
      </c>
      <c r="G134">
        <f t="shared" si="22"/>
        <v>0</v>
      </c>
      <c r="H134">
        <f t="shared" si="23"/>
        <v>0</v>
      </c>
      <c r="I134">
        <f t="shared" si="24"/>
        <v>0</v>
      </c>
      <c r="J134">
        <f>IF(IF((J$3*10^12-$A135)*(J$3*10^12-$A134)*-1&lt;0,0,1)*IF(ABS(J$3*10^12-$A135)&gt;(J$3*10^12-$A134),$A134,$A135)=J135,0,IF((J$3*10^12-$A135)*(J$3*10^12-$A134)*-1&lt;0,0,1)*IF(ABS(J$3*10^12-$A135)&gt;(J$3*10^12-$A134),$A134,$A135))</f>
        <v>0</v>
      </c>
    </row>
    <row r="135" spans="1:10" x14ac:dyDescent="0.2">
      <c r="A135">
        <f t="shared" si="20"/>
        <v>27000000000</v>
      </c>
      <c r="B135">
        <f t="shared" ref="B135:B159" si="26">IF(IF((B$3*10^12-$A136)*(B$3*10^12-$A135)*-1&lt;0,0,1)*IF(ABS(B$3*10^12-$A136)&gt;(B$3*10^12-$A135),$A135,$A136)=B136,0,IF((B$3*10^12-$A136)*(B$3*10^12-$A135)*-1&lt;0,0,1)*IF(ABS(B$3*10^12-$A136)&gt;(B$3*10^12-$A135),$A135,$A136))</f>
        <v>0</v>
      </c>
      <c r="C135">
        <f t="shared" ref="C135:D159" si="27">IF(IF((C$3*10^12-$A136)*(C$3*10^12-$A135)*-1&lt;0,0,1)*IF(ABS(C$3*10^12-$A136)&gt;(C$3*10^12-$A135),$A135,$A136)=C136,0,IF((C$3*10^12-$A136)*(C$3*10^12-$A135)*-1&lt;0,0,1)*IF(ABS(C$3*10^12-$A136)&gt;(C$3*10^12-$A135),$A135,$A136))</f>
        <v>0</v>
      </c>
      <c r="D135">
        <f t="shared" si="27"/>
        <v>0</v>
      </c>
      <c r="E135">
        <f t="shared" si="25"/>
        <v>0</v>
      </c>
      <c r="F135">
        <f t="shared" si="25"/>
        <v>0</v>
      </c>
      <c r="G135">
        <f t="shared" si="25"/>
        <v>0</v>
      </c>
      <c r="H135">
        <f t="shared" si="25"/>
        <v>0</v>
      </c>
      <c r="I135">
        <f t="shared" si="25"/>
        <v>0</v>
      </c>
      <c r="J135">
        <f t="shared" si="25"/>
        <v>0</v>
      </c>
    </row>
    <row r="136" spans="1:10" x14ac:dyDescent="0.2">
      <c r="A136">
        <f t="shared" si="20"/>
        <v>33000000000</v>
      </c>
      <c r="B136">
        <f t="shared" si="26"/>
        <v>0</v>
      </c>
      <c r="C136">
        <f t="shared" si="27"/>
        <v>0</v>
      </c>
      <c r="D136">
        <f t="shared" si="27"/>
        <v>0</v>
      </c>
      <c r="E136">
        <f t="shared" si="25"/>
        <v>0</v>
      </c>
      <c r="F136">
        <f t="shared" si="25"/>
        <v>0</v>
      </c>
      <c r="G136">
        <f t="shared" si="25"/>
        <v>0</v>
      </c>
      <c r="H136">
        <f t="shared" si="25"/>
        <v>0</v>
      </c>
      <c r="I136">
        <f t="shared" si="25"/>
        <v>0</v>
      </c>
      <c r="J136">
        <f t="shared" si="25"/>
        <v>0</v>
      </c>
    </row>
    <row r="137" spans="1:10" x14ac:dyDescent="0.2">
      <c r="A137">
        <f t="shared" si="20"/>
        <v>39000000000</v>
      </c>
      <c r="B137">
        <f t="shared" si="26"/>
        <v>0</v>
      </c>
      <c r="C137">
        <f t="shared" si="27"/>
        <v>0</v>
      </c>
      <c r="D137">
        <f t="shared" si="27"/>
        <v>0</v>
      </c>
      <c r="E137">
        <f t="shared" si="25"/>
        <v>0</v>
      </c>
      <c r="F137">
        <f t="shared" si="25"/>
        <v>0</v>
      </c>
      <c r="G137">
        <f t="shared" si="25"/>
        <v>0</v>
      </c>
      <c r="H137">
        <f t="shared" si="25"/>
        <v>0</v>
      </c>
      <c r="I137">
        <f t="shared" si="25"/>
        <v>0</v>
      </c>
      <c r="J137">
        <f t="shared" si="25"/>
        <v>0</v>
      </c>
    </row>
    <row r="138" spans="1:10" x14ac:dyDescent="0.2">
      <c r="A138">
        <f t="shared" si="20"/>
        <v>47000000000</v>
      </c>
      <c r="B138">
        <f t="shared" si="26"/>
        <v>0</v>
      </c>
      <c r="C138">
        <f t="shared" si="27"/>
        <v>0</v>
      </c>
      <c r="D138">
        <f t="shared" si="27"/>
        <v>0</v>
      </c>
      <c r="E138">
        <f t="shared" si="25"/>
        <v>0</v>
      </c>
      <c r="F138">
        <f t="shared" si="25"/>
        <v>0</v>
      </c>
      <c r="G138">
        <f t="shared" si="25"/>
        <v>0</v>
      </c>
      <c r="H138">
        <f t="shared" si="25"/>
        <v>0</v>
      </c>
      <c r="I138">
        <f t="shared" si="25"/>
        <v>0</v>
      </c>
      <c r="J138">
        <f t="shared" si="25"/>
        <v>0</v>
      </c>
    </row>
    <row r="139" spans="1:10" x14ac:dyDescent="0.2">
      <c r="A139">
        <f t="shared" si="20"/>
        <v>56000000000</v>
      </c>
      <c r="B139">
        <f t="shared" si="26"/>
        <v>0</v>
      </c>
      <c r="C139">
        <f t="shared" si="27"/>
        <v>0</v>
      </c>
      <c r="D139">
        <f t="shared" si="27"/>
        <v>0</v>
      </c>
      <c r="E139">
        <f t="shared" si="25"/>
        <v>0</v>
      </c>
      <c r="F139">
        <f t="shared" si="25"/>
        <v>0</v>
      </c>
      <c r="G139">
        <f t="shared" si="25"/>
        <v>0</v>
      </c>
      <c r="H139">
        <f t="shared" si="25"/>
        <v>0</v>
      </c>
      <c r="I139">
        <f t="shared" si="25"/>
        <v>0</v>
      </c>
      <c r="J139">
        <f t="shared" si="25"/>
        <v>0</v>
      </c>
    </row>
    <row r="140" spans="1:10" x14ac:dyDescent="0.2">
      <c r="A140">
        <f t="shared" si="20"/>
        <v>68000000000</v>
      </c>
      <c r="B140">
        <f t="shared" si="26"/>
        <v>0</v>
      </c>
      <c r="C140">
        <f t="shared" si="27"/>
        <v>0</v>
      </c>
      <c r="D140">
        <f t="shared" si="27"/>
        <v>0</v>
      </c>
      <c r="E140">
        <f t="shared" si="25"/>
        <v>0</v>
      </c>
      <c r="F140">
        <f t="shared" si="25"/>
        <v>0</v>
      </c>
      <c r="G140">
        <f t="shared" si="25"/>
        <v>0</v>
      </c>
      <c r="H140">
        <f t="shared" si="25"/>
        <v>0</v>
      </c>
      <c r="I140">
        <f t="shared" si="25"/>
        <v>0</v>
      </c>
      <c r="J140">
        <f t="shared" si="25"/>
        <v>0</v>
      </c>
    </row>
    <row r="141" spans="1:10" x14ac:dyDescent="0.2">
      <c r="A141">
        <f t="shared" si="20"/>
        <v>82000000000</v>
      </c>
      <c r="B141">
        <f t="shared" si="26"/>
        <v>0</v>
      </c>
      <c r="C141">
        <f t="shared" si="27"/>
        <v>0</v>
      </c>
      <c r="D141">
        <f t="shared" si="27"/>
        <v>0</v>
      </c>
      <c r="E141">
        <f t="shared" si="25"/>
        <v>0</v>
      </c>
      <c r="F141">
        <f t="shared" si="25"/>
        <v>0</v>
      </c>
      <c r="G141">
        <f t="shared" si="25"/>
        <v>0</v>
      </c>
      <c r="H141">
        <f t="shared" si="25"/>
        <v>0</v>
      </c>
      <c r="I141">
        <f t="shared" si="25"/>
        <v>0</v>
      </c>
      <c r="J141">
        <f t="shared" si="25"/>
        <v>0</v>
      </c>
    </row>
    <row r="142" spans="1:10" x14ac:dyDescent="0.2">
      <c r="A142">
        <f t="shared" si="20"/>
        <v>100000000000</v>
      </c>
      <c r="B142">
        <f t="shared" si="26"/>
        <v>0</v>
      </c>
      <c r="C142">
        <f t="shared" si="27"/>
        <v>0</v>
      </c>
      <c r="D142">
        <f t="shared" si="27"/>
        <v>0</v>
      </c>
      <c r="E142">
        <f t="shared" si="25"/>
        <v>0</v>
      </c>
      <c r="F142">
        <f t="shared" si="25"/>
        <v>0</v>
      </c>
      <c r="G142">
        <f t="shared" si="25"/>
        <v>0</v>
      </c>
      <c r="H142">
        <f t="shared" si="25"/>
        <v>0</v>
      </c>
      <c r="I142">
        <f t="shared" si="25"/>
        <v>0</v>
      </c>
      <c r="J142">
        <f t="shared" si="25"/>
        <v>0</v>
      </c>
    </row>
    <row r="143" spans="1:10" x14ac:dyDescent="0.2">
      <c r="A143">
        <f t="shared" si="20"/>
        <v>120000000000</v>
      </c>
      <c r="B143">
        <f t="shared" si="26"/>
        <v>0</v>
      </c>
      <c r="C143">
        <f t="shared" si="27"/>
        <v>0</v>
      </c>
      <c r="D143">
        <f t="shared" si="27"/>
        <v>0</v>
      </c>
      <c r="E143">
        <f t="shared" si="25"/>
        <v>0</v>
      </c>
      <c r="F143">
        <f t="shared" si="25"/>
        <v>0</v>
      </c>
      <c r="G143">
        <f t="shared" si="25"/>
        <v>0</v>
      </c>
      <c r="H143">
        <f t="shared" si="25"/>
        <v>0</v>
      </c>
      <c r="I143">
        <f t="shared" si="25"/>
        <v>0</v>
      </c>
      <c r="J143">
        <f t="shared" si="25"/>
        <v>0</v>
      </c>
    </row>
    <row r="144" spans="1:10" x14ac:dyDescent="0.2">
      <c r="A144">
        <f t="shared" si="20"/>
        <v>150000000000</v>
      </c>
      <c r="B144">
        <f t="shared" si="26"/>
        <v>0</v>
      </c>
      <c r="C144">
        <f t="shared" si="27"/>
        <v>0</v>
      </c>
      <c r="D144">
        <f t="shared" si="27"/>
        <v>0</v>
      </c>
      <c r="E144">
        <f t="shared" si="25"/>
        <v>0</v>
      </c>
      <c r="F144">
        <f t="shared" si="25"/>
        <v>0</v>
      </c>
      <c r="G144">
        <f t="shared" si="25"/>
        <v>0</v>
      </c>
      <c r="H144">
        <f t="shared" si="25"/>
        <v>0</v>
      </c>
      <c r="I144">
        <f t="shared" si="25"/>
        <v>0</v>
      </c>
      <c r="J144">
        <f t="shared" si="25"/>
        <v>0</v>
      </c>
    </row>
    <row r="145" spans="1:10" x14ac:dyDescent="0.2">
      <c r="A145">
        <f t="shared" si="20"/>
        <v>180000000000</v>
      </c>
      <c r="B145">
        <f t="shared" si="26"/>
        <v>0</v>
      </c>
      <c r="C145">
        <f t="shared" si="27"/>
        <v>0</v>
      </c>
      <c r="D145">
        <f t="shared" si="27"/>
        <v>0</v>
      </c>
      <c r="E145">
        <f t="shared" si="25"/>
        <v>0</v>
      </c>
      <c r="F145">
        <f t="shared" si="25"/>
        <v>0</v>
      </c>
      <c r="G145">
        <f t="shared" si="25"/>
        <v>0</v>
      </c>
      <c r="H145">
        <f t="shared" si="25"/>
        <v>0</v>
      </c>
      <c r="I145">
        <f t="shared" si="25"/>
        <v>0</v>
      </c>
      <c r="J145">
        <f t="shared" si="25"/>
        <v>0</v>
      </c>
    </row>
    <row r="146" spans="1:10" x14ac:dyDescent="0.2">
      <c r="A146">
        <f t="shared" si="20"/>
        <v>220000000000</v>
      </c>
      <c r="B146">
        <f t="shared" si="26"/>
        <v>0</v>
      </c>
      <c r="C146">
        <f t="shared" si="27"/>
        <v>0</v>
      </c>
      <c r="D146">
        <f t="shared" si="27"/>
        <v>0</v>
      </c>
      <c r="E146">
        <f t="shared" si="25"/>
        <v>0</v>
      </c>
      <c r="F146">
        <f t="shared" si="25"/>
        <v>0</v>
      </c>
      <c r="G146">
        <f t="shared" si="25"/>
        <v>0</v>
      </c>
      <c r="H146">
        <f t="shared" si="25"/>
        <v>0</v>
      </c>
      <c r="I146">
        <f t="shared" si="25"/>
        <v>0</v>
      </c>
      <c r="J146">
        <f t="shared" si="25"/>
        <v>0</v>
      </c>
    </row>
    <row r="147" spans="1:10" x14ac:dyDescent="0.2">
      <c r="A147">
        <f t="shared" si="20"/>
        <v>270000000000</v>
      </c>
      <c r="B147">
        <f t="shared" si="26"/>
        <v>0</v>
      </c>
      <c r="C147">
        <f t="shared" si="27"/>
        <v>0</v>
      </c>
      <c r="D147">
        <f t="shared" si="27"/>
        <v>0</v>
      </c>
      <c r="E147">
        <f t="shared" si="25"/>
        <v>0</v>
      </c>
      <c r="F147">
        <f t="shared" si="25"/>
        <v>0</v>
      </c>
      <c r="G147">
        <f t="shared" si="25"/>
        <v>0</v>
      </c>
      <c r="H147">
        <f t="shared" si="25"/>
        <v>0</v>
      </c>
      <c r="I147">
        <f t="shared" si="25"/>
        <v>0</v>
      </c>
      <c r="J147">
        <f t="shared" si="25"/>
        <v>0</v>
      </c>
    </row>
    <row r="148" spans="1:10" x14ac:dyDescent="0.2">
      <c r="A148">
        <f t="shared" si="20"/>
        <v>330000000000</v>
      </c>
      <c r="B148">
        <f t="shared" si="26"/>
        <v>0</v>
      </c>
      <c r="C148">
        <f t="shared" si="27"/>
        <v>0</v>
      </c>
      <c r="D148">
        <f t="shared" si="27"/>
        <v>0</v>
      </c>
      <c r="E148">
        <f t="shared" si="25"/>
        <v>0</v>
      </c>
      <c r="F148">
        <f t="shared" si="25"/>
        <v>0</v>
      </c>
      <c r="G148">
        <f t="shared" si="25"/>
        <v>0</v>
      </c>
      <c r="H148">
        <f t="shared" si="25"/>
        <v>0</v>
      </c>
      <c r="I148">
        <f t="shared" si="25"/>
        <v>0</v>
      </c>
      <c r="J148">
        <f t="shared" si="25"/>
        <v>0</v>
      </c>
    </row>
    <row r="149" spans="1:10" x14ac:dyDescent="0.2">
      <c r="A149">
        <f t="shared" si="20"/>
        <v>390000000000</v>
      </c>
      <c r="B149">
        <f t="shared" si="26"/>
        <v>0</v>
      </c>
      <c r="C149">
        <f t="shared" si="27"/>
        <v>0</v>
      </c>
      <c r="D149">
        <f t="shared" si="27"/>
        <v>0</v>
      </c>
      <c r="E149">
        <f t="shared" si="25"/>
        <v>0</v>
      </c>
      <c r="F149">
        <f t="shared" si="25"/>
        <v>0</v>
      </c>
      <c r="G149">
        <f t="shared" si="25"/>
        <v>0</v>
      </c>
      <c r="H149">
        <f t="shared" si="25"/>
        <v>0</v>
      </c>
      <c r="I149">
        <f t="shared" si="25"/>
        <v>0</v>
      </c>
      <c r="J149">
        <f t="shared" si="25"/>
        <v>0</v>
      </c>
    </row>
    <row r="150" spans="1:10" x14ac:dyDescent="0.2">
      <c r="A150">
        <f t="shared" si="20"/>
        <v>470000000000</v>
      </c>
      <c r="B150">
        <f t="shared" si="26"/>
        <v>0</v>
      </c>
      <c r="C150">
        <f t="shared" si="27"/>
        <v>0</v>
      </c>
      <c r="D150">
        <f t="shared" si="27"/>
        <v>0</v>
      </c>
      <c r="E150">
        <f t="shared" si="25"/>
        <v>0</v>
      </c>
      <c r="F150">
        <f t="shared" si="25"/>
        <v>0</v>
      </c>
      <c r="G150">
        <f t="shared" si="25"/>
        <v>0</v>
      </c>
      <c r="H150">
        <f t="shared" si="25"/>
        <v>0</v>
      </c>
      <c r="I150">
        <f t="shared" si="25"/>
        <v>0</v>
      </c>
      <c r="J150">
        <f t="shared" si="25"/>
        <v>0</v>
      </c>
    </row>
    <row r="151" spans="1:10" x14ac:dyDescent="0.2">
      <c r="A151">
        <f t="shared" si="20"/>
        <v>560000000000</v>
      </c>
      <c r="B151">
        <f t="shared" si="26"/>
        <v>0</v>
      </c>
      <c r="C151">
        <f t="shared" si="27"/>
        <v>0</v>
      </c>
      <c r="D151">
        <f t="shared" si="27"/>
        <v>0</v>
      </c>
      <c r="E151">
        <f t="shared" si="25"/>
        <v>0</v>
      </c>
      <c r="F151">
        <f t="shared" si="25"/>
        <v>0</v>
      </c>
      <c r="G151">
        <f t="shared" si="25"/>
        <v>0</v>
      </c>
      <c r="H151">
        <f t="shared" si="25"/>
        <v>0</v>
      </c>
      <c r="I151">
        <f t="shared" si="25"/>
        <v>0</v>
      </c>
      <c r="J151">
        <f t="shared" si="25"/>
        <v>0</v>
      </c>
    </row>
    <row r="152" spans="1:10" x14ac:dyDescent="0.2">
      <c r="A152">
        <f t="shared" si="20"/>
        <v>680000000000</v>
      </c>
      <c r="B152">
        <f t="shared" si="26"/>
        <v>0</v>
      </c>
      <c r="C152">
        <f t="shared" si="27"/>
        <v>0</v>
      </c>
      <c r="D152">
        <f t="shared" si="27"/>
        <v>0</v>
      </c>
      <c r="E152">
        <f t="shared" si="25"/>
        <v>0</v>
      </c>
      <c r="F152">
        <f t="shared" si="25"/>
        <v>0</v>
      </c>
      <c r="G152">
        <f t="shared" si="25"/>
        <v>0</v>
      </c>
      <c r="H152">
        <f t="shared" si="25"/>
        <v>0</v>
      </c>
      <c r="I152">
        <f t="shared" si="25"/>
        <v>0</v>
      </c>
      <c r="J152">
        <f t="shared" si="25"/>
        <v>0</v>
      </c>
    </row>
    <row r="153" spans="1:10" x14ac:dyDescent="0.2">
      <c r="A153">
        <f t="shared" si="20"/>
        <v>820000000000</v>
      </c>
      <c r="B153">
        <f t="shared" si="26"/>
        <v>0</v>
      </c>
      <c r="C153">
        <f t="shared" si="27"/>
        <v>0</v>
      </c>
      <c r="D153">
        <f t="shared" si="27"/>
        <v>0</v>
      </c>
      <c r="E153">
        <f t="shared" si="25"/>
        <v>0</v>
      </c>
      <c r="F153">
        <f t="shared" si="25"/>
        <v>0</v>
      </c>
      <c r="G153">
        <f t="shared" si="25"/>
        <v>0</v>
      </c>
      <c r="H153">
        <f t="shared" si="25"/>
        <v>0</v>
      </c>
      <c r="I153">
        <f t="shared" si="25"/>
        <v>0</v>
      </c>
      <c r="J153">
        <f t="shared" si="25"/>
        <v>0</v>
      </c>
    </row>
    <row r="154" spans="1:10" x14ac:dyDescent="0.2">
      <c r="A154">
        <f t="shared" si="20"/>
        <v>1000000000000</v>
      </c>
      <c r="B154">
        <f t="shared" si="26"/>
        <v>0</v>
      </c>
      <c r="C154">
        <f t="shared" si="27"/>
        <v>0</v>
      </c>
      <c r="D154">
        <f t="shared" si="27"/>
        <v>0</v>
      </c>
      <c r="E154">
        <f t="shared" si="25"/>
        <v>0</v>
      </c>
      <c r="F154">
        <f t="shared" si="25"/>
        <v>0</v>
      </c>
      <c r="G154">
        <f t="shared" si="25"/>
        <v>0</v>
      </c>
      <c r="H154">
        <f t="shared" si="25"/>
        <v>0</v>
      </c>
      <c r="I154">
        <f t="shared" si="25"/>
        <v>0</v>
      </c>
      <c r="J154">
        <f t="shared" si="25"/>
        <v>0</v>
      </c>
    </row>
    <row r="155" spans="1:10" x14ac:dyDescent="0.2">
      <c r="A155">
        <f t="shared" si="20"/>
        <v>1200000000000</v>
      </c>
      <c r="B155">
        <f t="shared" si="26"/>
        <v>0</v>
      </c>
      <c r="C155">
        <f t="shared" si="27"/>
        <v>0</v>
      </c>
      <c r="D155">
        <f t="shared" si="27"/>
        <v>0</v>
      </c>
      <c r="E155">
        <f t="shared" si="25"/>
        <v>0</v>
      </c>
      <c r="F155">
        <f t="shared" si="25"/>
        <v>0</v>
      </c>
      <c r="G155">
        <f t="shared" si="25"/>
        <v>0</v>
      </c>
      <c r="H155">
        <f t="shared" si="25"/>
        <v>0</v>
      </c>
      <c r="I155">
        <f t="shared" si="25"/>
        <v>0</v>
      </c>
      <c r="J155">
        <f t="shared" si="25"/>
        <v>0</v>
      </c>
    </row>
    <row r="156" spans="1:10" x14ac:dyDescent="0.2">
      <c r="A156">
        <f t="shared" si="20"/>
        <v>1500000000000</v>
      </c>
      <c r="B156">
        <f t="shared" si="26"/>
        <v>0</v>
      </c>
      <c r="C156">
        <f t="shared" si="27"/>
        <v>0</v>
      </c>
      <c r="D156">
        <f t="shared" si="27"/>
        <v>0</v>
      </c>
      <c r="E156">
        <f t="shared" si="25"/>
        <v>0</v>
      </c>
      <c r="F156">
        <f t="shared" si="25"/>
        <v>0</v>
      </c>
      <c r="G156">
        <f t="shared" si="25"/>
        <v>0</v>
      </c>
      <c r="H156">
        <f t="shared" si="25"/>
        <v>0</v>
      </c>
      <c r="I156">
        <f t="shared" si="25"/>
        <v>0</v>
      </c>
      <c r="J156">
        <f t="shared" si="25"/>
        <v>0</v>
      </c>
    </row>
    <row r="157" spans="1:10" x14ac:dyDescent="0.2">
      <c r="A157">
        <f t="shared" si="20"/>
        <v>1800000000000</v>
      </c>
      <c r="B157">
        <f t="shared" si="26"/>
        <v>0</v>
      </c>
      <c r="C157">
        <f t="shared" si="27"/>
        <v>0</v>
      </c>
      <c r="D157">
        <f t="shared" si="27"/>
        <v>0</v>
      </c>
      <c r="E157">
        <f t="shared" si="25"/>
        <v>0</v>
      </c>
      <c r="F157">
        <f t="shared" si="25"/>
        <v>0</v>
      </c>
      <c r="G157">
        <f t="shared" si="25"/>
        <v>0</v>
      </c>
      <c r="H157">
        <f t="shared" si="25"/>
        <v>0</v>
      </c>
      <c r="I157">
        <f t="shared" si="25"/>
        <v>0</v>
      </c>
      <c r="J157">
        <f t="shared" si="25"/>
        <v>0</v>
      </c>
    </row>
    <row r="158" spans="1:10" x14ac:dyDescent="0.2">
      <c r="A158">
        <f t="shared" si="20"/>
        <v>2200000000000</v>
      </c>
      <c r="B158">
        <f t="shared" si="26"/>
        <v>0</v>
      </c>
      <c r="C158">
        <f t="shared" si="27"/>
        <v>0</v>
      </c>
      <c r="D158">
        <f t="shared" si="27"/>
        <v>0</v>
      </c>
      <c r="E158">
        <f t="shared" si="25"/>
        <v>0</v>
      </c>
      <c r="F158">
        <f t="shared" si="25"/>
        <v>0</v>
      </c>
      <c r="G158">
        <f t="shared" si="25"/>
        <v>0</v>
      </c>
      <c r="H158">
        <f t="shared" si="25"/>
        <v>0</v>
      </c>
      <c r="I158">
        <f t="shared" si="25"/>
        <v>0</v>
      </c>
      <c r="J158">
        <f t="shared" si="25"/>
        <v>0</v>
      </c>
    </row>
    <row r="159" spans="1:10" x14ac:dyDescent="0.2">
      <c r="A159" s="43">
        <f t="shared" si="20"/>
        <v>2700000000000</v>
      </c>
      <c r="B159">
        <f t="shared" si="26"/>
        <v>2700000000000</v>
      </c>
      <c r="C159">
        <f t="shared" si="27"/>
        <v>2700000000000</v>
      </c>
      <c r="D159">
        <f t="shared" si="27"/>
        <v>2700000000000</v>
      </c>
      <c r="E159">
        <f t="shared" si="25"/>
        <v>2700000000000</v>
      </c>
      <c r="F159">
        <f t="shared" si="25"/>
        <v>2700000000000</v>
      </c>
      <c r="G159">
        <f t="shared" si="25"/>
        <v>2700000000000</v>
      </c>
      <c r="H159">
        <f t="shared" si="25"/>
        <v>2700000000000</v>
      </c>
      <c r="I159">
        <f t="shared" si="25"/>
        <v>0</v>
      </c>
      <c r="J159">
        <f t="shared" si="25"/>
        <v>2700000000000</v>
      </c>
    </row>
  </sheetData>
  <phoneticPr fontId="5"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E7"/>
  <sheetViews>
    <sheetView workbookViewId="0">
      <selection activeCell="M42" sqref="M42"/>
    </sheetView>
  </sheetViews>
  <sheetFormatPr defaultRowHeight="12.75" x14ac:dyDescent="0.2"/>
  <cols>
    <col min="1" max="1" width="18.5703125" customWidth="1"/>
    <col min="2" max="2" width="9.28515625" customWidth="1"/>
    <col min="4" max="4" width="11.140625" customWidth="1"/>
  </cols>
  <sheetData>
    <row r="1" spans="1:5" x14ac:dyDescent="0.2">
      <c r="C1" t="s">
        <v>219</v>
      </c>
      <c r="D1" t="s">
        <v>218</v>
      </c>
    </row>
    <row r="2" spans="1:5" x14ac:dyDescent="0.2">
      <c r="A2" t="s">
        <v>216</v>
      </c>
      <c r="B2" s="47">
        <v>85</v>
      </c>
      <c r="C2" t="s">
        <v>217</v>
      </c>
      <c r="D2">
        <f>B2*1000000</f>
        <v>85000000</v>
      </c>
      <c r="E2" t="s">
        <v>10</v>
      </c>
    </row>
    <row r="3" spans="1:5" x14ac:dyDescent="0.2">
      <c r="A3" t="s">
        <v>220</v>
      </c>
      <c r="B3" s="47">
        <v>3000</v>
      </c>
      <c r="C3" t="s">
        <v>32</v>
      </c>
      <c r="D3">
        <f>B3*0.000000000001</f>
        <v>3E-9</v>
      </c>
      <c r="E3" t="s">
        <v>26</v>
      </c>
    </row>
    <row r="4" spans="1:5" x14ac:dyDescent="0.2">
      <c r="A4" t="s">
        <v>222</v>
      </c>
      <c r="B4" s="48">
        <f>1000000000*1/((D2*2*3.14159)^2*D3)</f>
        <v>1.1686430773614742</v>
      </c>
      <c r="C4" t="s">
        <v>223</v>
      </c>
      <c r="D4">
        <f>B4/1000000000</f>
        <v>1.1686430773614743E-9</v>
      </c>
      <c r="E4" t="s">
        <v>20</v>
      </c>
    </row>
    <row r="5" spans="1:5" x14ac:dyDescent="0.2">
      <c r="A5" t="s">
        <v>221</v>
      </c>
      <c r="B5">
        <f>4*B3</f>
        <v>12000</v>
      </c>
      <c r="C5" t="s">
        <v>32</v>
      </c>
      <c r="D5">
        <f>B5*0.000000000001</f>
        <v>1.2E-8</v>
      </c>
      <c r="E5" t="s">
        <v>26</v>
      </c>
    </row>
    <row r="6" spans="1:5" x14ac:dyDescent="0.2">
      <c r="A6" t="s">
        <v>224</v>
      </c>
      <c r="B6" s="4">
        <f>SQRT(D4/D3)</f>
        <v>0.62413755891936573</v>
      </c>
      <c r="C6" s="4" t="s">
        <v>169</v>
      </c>
      <c r="D6" s="4">
        <f>B6</f>
        <v>0.62413755891936573</v>
      </c>
      <c r="E6" t="s">
        <v>169</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3:E16"/>
  <sheetViews>
    <sheetView workbookViewId="0">
      <selection activeCell="G37" sqref="G37"/>
    </sheetView>
  </sheetViews>
  <sheetFormatPr defaultRowHeight="12.75" x14ac:dyDescent="0.2"/>
  <sheetData>
    <row r="3" spans="1:5" x14ac:dyDescent="0.2">
      <c r="A3" t="s">
        <v>186</v>
      </c>
      <c r="B3" t="e">
        <f>Iripple1</f>
        <v>#NAME?</v>
      </c>
    </row>
    <row r="4" spans="1:5" x14ac:dyDescent="0.2">
      <c r="A4" t="s">
        <v>7</v>
      </c>
      <c r="B4">
        <f>Fsw</f>
        <v>224000</v>
      </c>
    </row>
    <row r="6" spans="1:5" x14ac:dyDescent="0.2">
      <c r="A6" t="s">
        <v>173</v>
      </c>
      <c r="B6" s="41">
        <v>0.5</v>
      </c>
      <c r="C6" t="s">
        <v>67</v>
      </c>
      <c r="D6">
        <f>B6/1000</f>
        <v>5.0000000000000001E-4</v>
      </c>
      <c r="E6" t="s">
        <v>21</v>
      </c>
    </row>
    <row r="7" spans="1:5" x14ac:dyDescent="0.2">
      <c r="A7" t="s">
        <v>184</v>
      </c>
      <c r="B7" s="41">
        <v>20</v>
      </c>
      <c r="C7" t="s">
        <v>25</v>
      </c>
      <c r="D7">
        <f>B7/1000000</f>
        <v>2.0000000000000002E-5</v>
      </c>
      <c r="E7" t="s">
        <v>26</v>
      </c>
    </row>
    <row r="9" spans="1:5" x14ac:dyDescent="0.2">
      <c r="A9" t="s">
        <v>174</v>
      </c>
      <c r="B9" s="41">
        <v>20</v>
      </c>
      <c r="C9" t="s">
        <v>67</v>
      </c>
      <c r="D9">
        <f>B9/1000</f>
        <v>0.02</v>
      </c>
      <c r="E9" t="s">
        <v>21</v>
      </c>
    </row>
    <row r="10" spans="1:5" x14ac:dyDescent="0.2">
      <c r="A10" t="s">
        <v>185</v>
      </c>
      <c r="B10" s="41">
        <v>68</v>
      </c>
      <c r="C10" t="s">
        <v>25</v>
      </c>
      <c r="D10">
        <f>B10/1000000</f>
        <v>6.7999999999999999E-5</v>
      </c>
      <c r="E10" t="s">
        <v>26</v>
      </c>
    </row>
    <row r="12" spans="1:5" x14ac:dyDescent="0.2">
      <c r="A12" t="s">
        <v>188</v>
      </c>
      <c r="B12">
        <f>(D7/(D7+D10))*SQRT((D9*D10*B4)^2+1)/SQRT((((D6+D9)*D7*D10/(D10+D7))*B4)^2+1)</f>
        <v>0.23698883162701304</v>
      </c>
      <c r="C12" t="s">
        <v>187</v>
      </c>
    </row>
    <row r="13" spans="1:5" x14ac:dyDescent="0.2">
      <c r="A13" t="s">
        <v>189</v>
      </c>
      <c r="B13">
        <f>1-B12</f>
        <v>0.76301116837298699</v>
      </c>
      <c r="C13" t="s">
        <v>187</v>
      </c>
    </row>
    <row r="15" spans="1:5" x14ac:dyDescent="0.2">
      <c r="A15" t="s">
        <v>188</v>
      </c>
      <c r="B15" t="e">
        <f>B12*(Iripple1/(2*SQRT(3)))</f>
        <v>#NAME?</v>
      </c>
      <c r="C15" t="s">
        <v>2</v>
      </c>
    </row>
    <row r="16" spans="1:5" x14ac:dyDescent="0.2">
      <c r="A16" t="s">
        <v>189</v>
      </c>
      <c r="B16" t="e">
        <f>B13*(Iripple1/(2*SQRT(3)))</f>
        <v>#NAME?</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252</vt:i4>
      </vt:variant>
    </vt:vector>
  </HeadingPairs>
  <TitlesOfParts>
    <vt:vector size="264" baseType="lpstr">
      <vt:lpstr>Design Converter</vt:lpstr>
      <vt:lpstr>BOM &amp; Schematic</vt:lpstr>
      <vt:lpstr>EVMs</vt:lpstr>
      <vt:lpstr>Variable Management</vt:lpstr>
      <vt:lpstr>Schematic Management</vt:lpstr>
      <vt:lpstr>Efficiency Plot Management</vt:lpstr>
      <vt:lpstr>Efficiency vs VIN Calculations</vt:lpstr>
      <vt:lpstr>Efficiency vs Load Calculations</vt:lpstr>
      <vt:lpstr>Stability Calculations</vt:lpstr>
      <vt:lpstr>Standard Value Calculator</vt:lpstr>
      <vt:lpstr>Snubber</vt:lpstr>
      <vt:lpstr>Parallel Output Caps</vt:lpstr>
      <vt:lpstr>_Don1</vt:lpstr>
      <vt:lpstr>_Don2</vt:lpstr>
      <vt:lpstr>Acs</vt:lpstr>
      <vt:lpstr>Adc</vt:lpstr>
      <vt:lpstr>AEA</vt:lpstr>
      <vt:lpstr>Afb</vt:lpstr>
      <vt:lpstr>Am</vt:lpstr>
      <vt:lpstr>Am_boost</vt:lpstr>
      <vt:lpstr>Am_buck</vt:lpstr>
      <vt:lpstr>Boost_CS_Threshold</vt:lpstr>
      <vt:lpstr>Boost_CS_Threshold_max</vt:lpstr>
      <vt:lpstr>Boost_CS_Threshold_min</vt:lpstr>
      <vt:lpstr>Buck_CS_threshold</vt:lpstr>
      <vt:lpstr>Buck_CS_threshold_max</vt:lpstr>
      <vt:lpstr>Buck_CS_threshold_min</vt:lpstr>
      <vt:lpstr>Cb</vt:lpstr>
      <vt:lpstr>Cbw</vt:lpstr>
      <vt:lpstr>Cby</vt:lpstr>
      <vt:lpstr>Cc1ea</vt:lpstr>
      <vt:lpstr>Cc1ea_u</vt:lpstr>
      <vt:lpstr>Cc2ea</vt:lpstr>
      <vt:lpstr>Cc2ea_u</vt:lpstr>
      <vt:lpstr>Cdither</vt:lpstr>
      <vt:lpstr>Cin</vt:lpstr>
      <vt:lpstr>CinEsrMax</vt:lpstr>
      <vt:lpstr>Cinmin</vt:lpstr>
      <vt:lpstr>Constant_Current_Loop_Setpoint</vt:lpstr>
      <vt:lpstr>Cout</vt:lpstr>
      <vt:lpstr>CoutEsr</vt:lpstr>
      <vt:lpstr>CoutEsrMax</vt:lpstr>
      <vt:lpstr>Coutmin</vt:lpstr>
      <vt:lpstr>CSAmp_gain</vt:lpstr>
      <vt:lpstr>Csb</vt:lpstr>
      <vt:lpstr>Csby</vt:lpstr>
      <vt:lpstr>Csideal</vt:lpstr>
      <vt:lpstr>Cslope</vt:lpstr>
      <vt:lpstr>Cslope_ideal</vt:lpstr>
      <vt:lpstr>Css</vt:lpstr>
      <vt:lpstr>Css_u</vt:lpstr>
      <vt:lpstr>D_max_buck_BB</vt:lpstr>
      <vt:lpstr>D_max_buck_enterBB</vt:lpstr>
      <vt:lpstr>D_max_exitBB_to_buck</vt:lpstr>
      <vt:lpstr>D_min_boost</vt:lpstr>
      <vt:lpstr>D_min_boost_exitBB_to_buck</vt:lpstr>
      <vt:lpstr>Deadtime</vt:lpstr>
      <vt:lpstr>DITHER</vt:lpstr>
      <vt:lpstr>Doff1</vt:lpstr>
      <vt:lpstr>Doff2</vt:lpstr>
      <vt:lpstr>Don_buckboost</vt:lpstr>
      <vt:lpstr>Don_Vinmax</vt:lpstr>
      <vt:lpstr>Don_Vinmax_2</vt:lpstr>
      <vt:lpstr>Don_Vinmin</vt:lpstr>
      <vt:lpstr>Don_Vinmin_2</vt:lpstr>
      <vt:lpstr>Don_Vinnom</vt:lpstr>
      <vt:lpstr>Don_Vinnom_2</vt:lpstr>
      <vt:lpstr>EFF_IOUT</vt:lpstr>
      <vt:lpstr>EFF_VIN</vt:lpstr>
      <vt:lpstr>Efficiency</vt:lpstr>
      <vt:lpstr>Fcross</vt:lpstr>
      <vt:lpstr>Fdither</vt:lpstr>
      <vt:lpstr>Fesr</vt:lpstr>
      <vt:lpstr>Fload_u</vt:lpstr>
      <vt:lpstr>Fp_dominant</vt:lpstr>
      <vt:lpstr>Fp1_u</vt:lpstr>
      <vt:lpstr>Fp2_u</vt:lpstr>
      <vt:lpstr>Frhp</vt:lpstr>
      <vt:lpstr>Fsw</vt:lpstr>
      <vt:lpstr>Fz1_u</vt:lpstr>
      <vt:lpstr>GBW</vt:lpstr>
      <vt:lpstr>Gfs_Q1</vt:lpstr>
      <vt:lpstr>Gfs_Q2</vt:lpstr>
      <vt:lpstr>Gfs_Q3</vt:lpstr>
      <vt:lpstr>Gfs_Q4</vt:lpstr>
      <vt:lpstr>gm</vt:lpstr>
      <vt:lpstr>gm_slopecomp</vt:lpstr>
      <vt:lpstr>Icoutrms</vt:lpstr>
      <vt:lpstr>Iin_Vinmax</vt:lpstr>
      <vt:lpstr>Iin_Vinmin</vt:lpstr>
      <vt:lpstr>Iin_Vinnom</vt:lpstr>
      <vt:lpstr>IL_peak_OCP</vt:lpstr>
      <vt:lpstr>Ilimit_DC</vt:lpstr>
      <vt:lpstr>ILpeak_OCP_Vinmax</vt:lpstr>
      <vt:lpstr>ILpeak_OCP_Vinmin</vt:lpstr>
      <vt:lpstr>ILpeak_OCP_Vinnom</vt:lpstr>
      <vt:lpstr>Iout</vt:lpstr>
      <vt:lpstr>Iout_OCP_Vinmax</vt:lpstr>
      <vt:lpstr>Iout_OCP_Vinmin</vt:lpstr>
      <vt:lpstr>Iout_OCP_Vinnom</vt:lpstr>
      <vt:lpstr>Iout_threshold</vt:lpstr>
      <vt:lpstr>Iq</vt:lpstr>
      <vt:lpstr>Ireverse</vt:lpstr>
      <vt:lpstr>Iripple_edgebuckboost</vt:lpstr>
      <vt:lpstr>Iripple_Vinmax</vt:lpstr>
      <vt:lpstr>Iripple_Vinmin</vt:lpstr>
      <vt:lpstr>Iripple_Vinnom</vt:lpstr>
      <vt:lpstr>Isc_const</vt:lpstr>
      <vt:lpstr>Islope_fixed</vt:lpstr>
      <vt:lpstr>Iss</vt:lpstr>
      <vt:lpstr>Iuvlo_hys</vt:lpstr>
      <vt:lpstr>Iuvlo1</vt:lpstr>
      <vt:lpstr>Iuvlo2</vt:lpstr>
      <vt:lpstr>k</vt:lpstr>
      <vt:lpstr>K_1</vt:lpstr>
      <vt:lpstr>k_boost</vt:lpstr>
      <vt:lpstr>k_buck</vt:lpstr>
      <vt:lpstr>K_SL</vt:lpstr>
      <vt:lpstr>KD</vt:lpstr>
      <vt:lpstr>KM</vt:lpstr>
      <vt:lpstr>Lf</vt:lpstr>
      <vt:lpstr>Lopt</vt:lpstr>
      <vt:lpstr>Ltc</vt:lpstr>
      <vt:lpstr>mc</vt:lpstr>
      <vt:lpstr>mc_boost</vt:lpstr>
      <vt:lpstr>mc_buck</vt:lpstr>
      <vt:lpstr>Pi</vt:lpstr>
      <vt:lpstr>Pin</vt:lpstr>
      <vt:lpstr>PLOT_TYPE</vt:lpstr>
      <vt:lpstr>pole1</vt:lpstr>
      <vt:lpstr>Pole2</vt:lpstr>
      <vt:lpstr>pole3</vt:lpstr>
      <vt:lpstr>pole4</vt:lpstr>
      <vt:lpstr>Pout</vt:lpstr>
      <vt:lpstr>'BOM &amp; Schematic'!Print_Area</vt:lpstr>
      <vt:lpstr>'Design Converter'!Print_Area</vt:lpstr>
      <vt:lpstr>pterm1</vt:lpstr>
      <vt:lpstr>pterm2</vt:lpstr>
      <vt:lpstr>Q</vt:lpstr>
      <vt:lpstr>Qg_Q1</vt:lpstr>
      <vt:lpstr>Qg_Q2</vt:lpstr>
      <vt:lpstr>Qg_Q3</vt:lpstr>
      <vt:lpstr>Qg_Q4</vt:lpstr>
      <vt:lpstr>Qgd_Q1</vt:lpstr>
      <vt:lpstr>Qgd_Q2</vt:lpstr>
      <vt:lpstr>Qgd_Q3</vt:lpstr>
      <vt:lpstr>Qgd_Q4</vt:lpstr>
      <vt:lpstr>Qgs_Q1</vt:lpstr>
      <vt:lpstr>Qgs_Q2</vt:lpstr>
      <vt:lpstr>Qgs_Q3</vt:lpstr>
      <vt:lpstr>Qgs_Q4</vt:lpstr>
      <vt:lpstr>Qrr_Q1</vt:lpstr>
      <vt:lpstr>Qrr_Q2</vt:lpstr>
      <vt:lpstr>Qrr_Q3</vt:lpstr>
      <vt:lpstr>Qrr_Q4</vt:lpstr>
      <vt:lpstr>QrrSky_Q2</vt:lpstr>
      <vt:lpstr>QrrSky_Q3</vt:lpstr>
      <vt:lpstr>radconv</vt:lpstr>
      <vt:lpstr>Rcea1</vt:lpstr>
      <vt:lpstr>Rcea1_u</vt:lpstr>
      <vt:lpstr>RCinEsr</vt:lpstr>
      <vt:lpstr>RCoutEsr</vt:lpstr>
      <vt:lpstr>Rdcr</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Rfets</vt:lpstr>
      <vt:lpstr>Rgate1</vt:lpstr>
      <vt:lpstr>Rgate2</vt:lpstr>
      <vt:lpstr>Rgate3</vt:lpstr>
      <vt:lpstr>Rgate4</vt:lpstr>
      <vt:lpstr>Ri</vt:lpstr>
      <vt:lpstr>Ro</vt:lpstr>
      <vt:lpstr>RoEA</vt:lpstr>
      <vt:lpstr>Rout</vt:lpstr>
      <vt:lpstr>Rpg</vt:lpstr>
      <vt:lpstr>Rs</vt:lpstr>
      <vt:lpstr>Rs_ideal</vt:lpstr>
      <vt:lpstr>Rsb</vt:lpstr>
      <vt:lpstr>Rshunt</vt:lpstr>
      <vt:lpstr>Rshunt_std</vt:lpstr>
      <vt:lpstr>Ruvlo1</vt:lpstr>
      <vt:lpstr>Ruvlo2</vt:lpstr>
      <vt:lpstr>SCH_DITH</vt:lpstr>
      <vt:lpstr>SCH_NO_DITH</vt:lpstr>
      <vt:lpstr>SCH_WITH_DITH</vt:lpstr>
      <vt:lpstr>Se</vt:lpstr>
      <vt:lpstr>Se_ext</vt:lpstr>
      <vt:lpstr>Se_fixed</vt:lpstr>
      <vt:lpstr>Se_proportional</vt:lpstr>
      <vt:lpstr>Sf</vt:lpstr>
      <vt:lpstr>Sn</vt:lpstr>
      <vt:lpstr>Ta</vt:lpstr>
      <vt:lpstr>Tf_boost</vt:lpstr>
      <vt:lpstr>Tf_buck</vt:lpstr>
      <vt:lpstr>ThetaCa</vt:lpstr>
      <vt:lpstr>ThetaJA_Q1</vt:lpstr>
      <vt:lpstr>ThetaJA_Q2</vt:lpstr>
      <vt:lpstr>ThetaJA_Q3</vt:lpstr>
      <vt:lpstr>ThetaJA_Q4</vt:lpstr>
      <vt:lpstr>ThetaJaCtrl</vt:lpstr>
      <vt:lpstr>TL</vt:lpstr>
      <vt:lpstr>Toff_min_buck</vt:lpstr>
      <vt:lpstr>Toff_Vinmax</vt:lpstr>
      <vt:lpstr>Ton_min_boost</vt:lpstr>
      <vt:lpstr>Ton_Vinmin</vt:lpstr>
      <vt:lpstr>Tr_boost</vt:lpstr>
      <vt:lpstr>Tr_buck</vt:lpstr>
      <vt:lpstr>Trr_Q1</vt:lpstr>
      <vt:lpstr>Trr_Q2</vt:lpstr>
      <vt:lpstr>Trr_Q3</vt:lpstr>
      <vt:lpstr>Trr_Q4</vt:lpstr>
      <vt:lpstr>Ts</vt:lpstr>
      <vt:lpstr>Tss</vt:lpstr>
      <vt:lpstr>V_sc_fixed</vt:lpstr>
      <vt:lpstr>V_sc_proportional</vt:lpstr>
      <vt:lpstr>V_sc_total</vt:lpstr>
      <vt:lpstr>Vdd</vt:lpstr>
      <vt:lpstr>VfdSky_Q2</vt:lpstr>
      <vt:lpstr>VfdSky_Q3</vt:lpstr>
      <vt:lpstr>Vin</vt:lpstr>
      <vt:lpstr>VIN_BB_to_buck</vt:lpstr>
      <vt:lpstr>VIN_boost_to_BB</vt:lpstr>
      <vt:lpstr>VIN_edgebuckboost</vt:lpstr>
      <vt:lpstr>VIN_max</vt:lpstr>
      <vt:lpstr>VIN_min</vt:lpstr>
      <vt:lpstr>VIN_nom</vt:lpstr>
      <vt:lpstr>Vinripple1</vt:lpstr>
      <vt:lpstr>Vinripple2</vt:lpstr>
      <vt:lpstr>VINuvlo_off</vt:lpstr>
      <vt:lpstr>VINuvlo_on</vt:lpstr>
      <vt:lpstr>Vout</vt:lpstr>
      <vt:lpstr>Vref</vt:lpstr>
      <vt:lpstr>Vripple1</vt:lpstr>
      <vt:lpstr>Vripple2</vt:lpstr>
      <vt:lpstr>Vsd_Q1</vt:lpstr>
      <vt:lpstr>Vsd_Q2</vt:lpstr>
      <vt:lpstr>Vsd_Q3</vt:lpstr>
      <vt:lpstr>Vsd_Q4</vt:lpstr>
      <vt:lpstr>Vsp_Q1</vt:lpstr>
      <vt:lpstr>Vsp_Q2</vt:lpstr>
      <vt:lpstr>Vsp_Q3</vt:lpstr>
      <vt:lpstr>Vsp_Q4</vt:lpstr>
      <vt:lpstr>Vth_Q1</vt:lpstr>
      <vt:lpstr>Vth_Q2</vt:lpstr>
      <vt:lpstr>Vth_Q3</vt:lpstr>
      <vt:lpstr>Vth_Q4</vt:lpstr>
      <vt:lpstr>Vuvlo_hys</vt:lpstr>
      <vt:lpstr>Vuvlo_off</vt:lpstr>
      <vt:lpstr>Vuvlo_on</vt:lpstr>
      <vt:lpstr>z_RHP</vt:lpstr>
      <vt:lpstr>Zero1</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LM5175 Quickstart Tool</dc:title>
  <dc:creator>Timothy Hegarty</dc:creator>
  <cp:keywords>LM5175, PWM controller, current mode, PCB layout</cp:keywords>
  <cp:lastModifiedBy>Alan Hsu</cp:lastModifiedBy>
  <cp:lastPrinted>2014-12-22T00:10:27Z</cp:lastPrinted>
  <dcterms:created xsi:type="dcterms:W3CDTF">1996-10-14T23:33:28Z</dcterms:created>
  <dcterms:modified xsi:type="dcterms:W3CDTF">2026-10-16T04:09:18Z</dcterms:modified>
</cp:coreProperties>
</file>