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3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blumeran13_comunidad_unam_mx/Documents/"/>
    </mc:Choice>
  </mc:AlternateContent>
  <xr:revisionPtr revIDLastSave="2387" documentId="8_{AE2B1F1F-2A14-41D3-94B2-7DB17D0C024B}" xr6:coauthVersionLast="47" xr6:coauthVersionMax="47" xr10:uidLastSave="{A4F482F6-28BC-4434-AD48-681084805E01}"/>
  <bookViews>
    <workbookView xWindow="810" yWindow="-120" windowWidth="23310" windowHeight="13740" firstSheet="10" activeTab="11" xr2:uid="{4489F602-3AF2-4028-866E-D66C7DB584B9}"/>
  </bookViews>
  <sheets>
    <sheet name="F2-305" sheetId="1" r:id="rId1"/>
    <sheet name="F5-305" sheetId="3" r:id="rId2"/>
    <sheet name="F5-305 INVERSA" sheetId="4" r:id="rId3"/>
    <sheet name="V-SF5-305 Correcta" sheetId="6" r:id="rId4"/>
    <sheet name="V-SF5-404 Correcta " sheetId="7" r:id="rId5"/>
    <sheet name="V - F2-305 Correcta" sheetId="8" r:id="rId6"/>
    <sheet name="V - F2-404 Correcta " sheetId="9" r:id="rId7"/>
    <sheet name="R-SF5-305" sheetId="11" r:id="rId8"/>
    <sheet name="R-SF5-404" sheetId="13" r:id="rId9"/>
    <sheet name="R-F2-305" sheetId="14" r:id="rId10"/>
    <sheet name="R-F2-404" sheetId="15" r:id="rId11"/>
    <sheet name="V(l)" sheetId="12" r:id="rId12"/>
    <sheet name="Sheet1" sheetId="16" r:id="rId13"/>
    <sheet name="Comparativa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2" l="1"/>
  <c r="B3" i="17"/>
  <c r="E2" i="17" s="1"/>
  <c r="B4" i="17"/>
  <c r="B5" i="17"/>
  <c r="B6" i="17"/>
  <c r="B7" i="17"/>
  <c r="B8" i="17"/>
  <c r="F2" i="17" s="1"/>
  <c r="B9" i="17"/>
  <c r="F3" i="17" s="1"/>
  <c r="B10" i="17"/>
  <c r="F4" i="17" s="1"/>
  <c r="B11" i="17"/>
  <c r="G15" i="17"/>
  <c r="G14" i="17"/>
  <c r="D15" i="17"/>
  <c r="D14" i="17"/>
  <c r="E3" i="17"/>
  <c r="E4" i="17"/>
  <c r="E5" i="17"/>
  <c r="F5" i="17"/>
  <c r="B2" i="17"/>
  <c r="J24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G55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H42" i="15"/>
  <c r="G42" i="15"/>
  <c r="F42" i="15"/>
  <c r="E42" i="15"/>
  <c r="D42" i="15"/>
  <c r="C42" i="15"/>
  <c r="B42" i="15"/>
  <c r="A42" i="15"/>
  <c r="K26" i="14"/>
  <c r="K27" i="14" s="1"/>
  <c r="J24" i="14"/>
  <c r="K4" i="7"/>
  <c r="K5" i="7"/>
  <c r="K6" i="7"/>
  <c r="K7" i="7"/>
  <c r="T7" i="7" s="1"/>
  <c r="K8" i="7"/>
  <c r="K9" i="7"/>
  <c r="K10" i="7"/>
  <c r="K11" i="7"/>
  <c r="T11" i="7" s="1"/>
  <c r="K12" i="7"/>
  <c r="K13" i="7"/>
  <c r="K14" i="7"/>
  <c r="K15" i="7"/>
  <c r="F55" i="7" s="1"/>
  <c r="H55" i="7" s="1"/>
  <c r="K16" i="7"/>
  <c r="K3" i="7"/>
  <c r="J3" i="6"/>
  <c r="Q3" i="6"/>
  <c r="I3" i="7"/>
  <c r="J3" i="7"/>
  <c r="S25" i="7"/>
  <c r="L24" i="6"/>
  <c r="M24" i="14"/>
  <c r="K3" i="14"/>
  <c r="F42" i="14" s="1"/>
  <c r="H42" i="14" s="1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G42" i="14"/>
  <c r="E42" i="14"/>
  <c r="D42" i="14"/>
  <c r="C42" i="14"/>
  <c r="B42" i="14"/>
  <c r="A42" i="14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A54" i="13"/>
  <c r="A55" i="13"/>
  <c r="A43" i="13"/>
  <c r="A44" i="13"/>
  <c r="A45" i="13"/>
  <c r="A46" i="13"/>
  <c r="A47" i="13"/>
  <c r="A48" i="13"/>
  <c r="A49" i="13"/>
  <c r="A50" i="13"/>
  <c r="A51" i="13"/>
  <c r="A52" i="13"/>
  <c r="A53" i="13"/>
  <c r="H42" i="13"/>
  <c r="G42" i="13"/>
  <c r="F42" i="13"/>
  <c r="E42" i="13"/>
  <c r="D42" i="13"/>
  <c r="C42" i="13"/>
  <c r="B42" i="13"/>
  <c r="A42" i="13"/>
  <c r="J24" i="11"/>
  <c r="A42" i="11"/>
  <c r="A43" i="11"/>
  <c r="A44" i="11"/>
  <c r="A45" i="11"/>
  <c r="A46" i="11"/>
  <c r="A47" i="11"/>
  <c r="A48" i="11"/>
  <c r="A49" i="11"/>
  <c r="A50" i="11"/>
  <c r="A51" i="11"/>
  <c r="A52" i="11"/>
  <c r="J24" i="8"/>
  <c r="S24" i="9"/>
  <c r="S23" i="9"/>
  <c r="S22" i="9"/>
  <c r="S20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H43" i="9"/>
  <c r="G43" i="9"/>
  <c r="F43" i="9"/>
  <c r="E43" i="9"/>
  <c r="D43" i="9"/>
  <c r="C43" i="9"/>
  <c r="B43" i="9"/>
  <c r="A43" i="9"/>
  <c r="S25" i="8"/>
  <c r="S24" i="8"/>
  <c r="S23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G41" i="8"/>
  <c r="F41" i="8"/>
  <c r="E41" i="8"/>
  <c r="D41" i="8"/>
  <c r="C41" i="8"/>
  <c r="B41" i="8"/>
  <c r="A41" i="8"/>
  <c r="H49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F44" i="7"/>
  <c r="H44" i="7" s="1"/>
  <c r="F45" i="7"/>
  <c r="H45" i="7" s="1"/>
  <c r="F46" i="7"/>
  <c r="H46" i="7" s="1"/>
  <c r="F47" i="7"/>
  <c r="H47" i="7" s="1"/>
  <c r="F48" i="7"/>
  <c r="H48" i="7" s="1"/>
  <c r="F49" i="7"/>
  <c r="F50" i="7"/>
  <c r="H50" i="7" s="1"/>
  <c r="F51" i="7"/>
  <c r="H51" i="7" s="1"/>
  <c r="F52" i="7"/>
  <c r="H52" i="7" s="1"/>
  <c r="F53" i="7"/>
  <c r="H53" i="7" s="1"/>
  <c r="F54" i="7"/>
  <c r="H54" i="7" s="1"/>
  <c r="F56" i="7"/>
  <c r="H56" i="7" s="1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E43" i="7"/>
  <c r="D43" i="7"/>
  <c r="C43" i="7"/>
  <c r="B43" i="7"/>
  <c r="A43" i="7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42" i="6"/>
  <c r="K24" i="6"/>
  <c r="J24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42" i="6"/>
  <c r="H42" i="6" s="1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42" i="6"/>
  <c r="J15" i="6"/>
  <c r="S15" i="6" s="1"/>
  <c r="H3" i="6"/>
  <c r="U3" i="9"/>
  <c r="W3" i="9"/>
  <c r="J24" i="9"/>
  <c r="J24" i="13"/>
  <c r="G24" i="6" a="1"/>
  <c r="G24" i="6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25" i="9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25" i="8"/>
  <c r="V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G4" i="8"/>
  <c r="H4" i="8"/>
  <c r="G5" i="8"/>
  <c r="G6" i="8"/>
  <c r="J6" i="8"/>
  <c r="C28" i="8"/>
  <c r="G7" i="8"/>
  <c r="J7" i="8"/>
  <c r="G8" i="8"/>
  <c r="H8" i="8"/>
  <c r="G9" i="8"/>
  <c r="G10" i="8"/>
  <c r="J10" i="8"/>
  <c r="C32" i="8"/>
  <c r="G11" i="8"/>
  <c r="J11" i="8"/>
  <c r="G12" i="8"/>
  <c r="J12" i="8"/>
  <c r="F34" i="8"/>
  <c r="G13" i="8"/>
  <c r="G14" i="8"/>
  <c r="H14" i="8"/>
  <c r="G15" i="8"/>
  <c r="J15" i="8"/>
  <c r="F37" i="8"/>
  <c r="G16" i="8"/>
  <c r="H16" i="8"/>
  <c r="G3" i="8"/>
  <c r="U4" i="7"/>
  <c r="V4" i="7" s="1"/>
  <c r="U8" i="7"/>
  <c r="U12" i="7"/>
  <c r="V12" i="7" s="1"/>
  <c r="U16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25" i="7"/>
  <c r="T4" i="7"/>
  <c r="T5" i="7"/>
  <c r="T6" i="7"/>
  <c r="T8" i="7"/>
  <c r="T9" i="7"/>
  <c r="T10" i="7"/>
  <c r="T12" i="7"/>
  <c r="T13" i="7"/>
  <c r="T14" i="7"/>
  <c r="T16" i="7"/>
  <c r="J16" i="6"/>
  <c r="S16" i="6"/>
  <c r="S4" i="6"/>
  <c r="S5" i="6"/>
  <c r="S6" i="6"/>
  <c r="S7" i="6"/>
  <c r="S8" i="6"/>
  <c r="S9" i="6"/>
  <c r="S10" i="6"/>
  <c r="S11" i="6"/>
  <c r="S12" i="6"/>
  <c r="S13" i="6"/>
  <c r="S14" i="6"/>
  <c r="S3" i="6"/>
  <c r="B27" i="6"/>
  <c r="B28" i="6"/>
  <c r="B31" i="6"/>
  <c r="B32" i="6"/>
  <c r="B35" i="6"/>
  <c r="B36" i="6"/>
  <c r="B25" i="6"/>
  <c r="P3" i="6"/>
  <c r="I3" i="12"/>
  <c r="I2" i="12"/>
  <c r="H3" i="12"/>
  <c r="B38" i="15"/>
  <c r="A38" i="15"/>
  <c r="B37" i="15"/>
  <c r="A37" i="15"/>
  <c r="B36" i="15"/>
  <c r="A36" i="15"/>
  <c r="B35" i="15"/>
  <c r="A35" i="15"/>
  <c r="B34" i="15"/>
  <c r="A34" i="15"/>
  <c r="B33" i="15"/>
  <c r="A33" i="15"/>
  <c r="B32" i="15"/>
  <c r="A32" i="15"/>
  <c r="B31" i="15"/>
  <c r="A31" i="15"/>
  <c r="B30" i="15"/>
  <c r="A30" i="15"/>
  <c r="B29" i="15"/>
  <c r="A29" i="15"/>
  <c r="B28" i="15"/>
  <c r="A28" i="15"/>
  <c r="B27" i="15"/>
  <c r="A27" i="15"/>
  <c r="B26" i="15"/>
  <c r="A26" i="15"/>
  <c r="B25" i="15"/>
  <c r="A25" i="15"/>
  <c r="Q16" i="15"/>
  <c r="R16" i="15"/>
  <c r="P16" i="15"/>
  <c r="M16" i="15"/>
  <c r="N16" i="15"/>
  <c r="G16" i="15"/>
  <c r="H16" i="15"/>
  <c r="F16" i="15"/>
  <c r="I16" i="15"/>
  <c r="B16" i="15"/>
  <c r="R15" i="15"/>
  <c r="Q15" i="15"/>
  <c r="P15" i="15"/>
  <c r="M15" i="15"/>
  <c r="N15" i="15"/>
  <c r="G15" i="15"/>
  <c r="H15" i="15"/>
  <c r="F15" i="15"/>
  <c r="I15" i="15"/>
  <c r="B15" i="15"/>
  <c r="Q14" i="15"/>
  <c r="R14" i="15"/>
  <c r="P14" i="15"/>
  <c r="E36" i="15"/>
  <c r="M14" i="15"/>
  <c r="N14" i="15"/>
  <c r="G14" i="15"/>
  <c r="J14" i="15"/>
  <c r="C36" i="15"/>
  <c r="F14" i="15"/>
  <c r="I14" i="15"/>
  <c r="B14" i="15"/>
  <c r="Q13" i="15"/>
  <c r="R13" i="15"/>
  <c r="P13" i="15"/>
  <c r="E35" i="15"/>
  <c r="M13" i="15"/>
  <c r="N13" i="15"/>
  <c r="G13" i="15"/>
  <c r="H13" i="15"/>
  <c r="F13" i="15"/>
  <c r="I13" i="15"/>
  <c r="B13" i="15"/>
  <c r="Q12" i="15"/>
  <c r="R12" i="15"/>
  <c r="P12" i="15"/>
  <c r="M12" i="15"/>
  <c r="N12" i="15"/>
  <c r="G12" i="15"/>
  <c r="H12" i="15"/>
  <c r="F12" i="15"/>
  <c r="I12" i="15"/>
  <c r="B12" i="15"/>
  <c r="Q11" i="15"/>
  <c r="R11" i="15"/>
  <c r="P11" i="15"/>
  <c r="M11" i="15"/>
  <c r="N11" i="15"/>
  <c r="G11" i="15"/>
  <c r="H11" i="15"/>
  <c r="F11" i="15"/>
  <c r="I11" i="15"/>
  <c r="B11" i="15"/>
  <c r="Q10" i="15"/>
  <c r="R10" i="15"/>
  <c r="P10" i="15"/>
  <c r="E32" i="15"/>
  <c r="M10" i="15"/>
  <c r="N10" i="15"/>
  <c r="G10" i="15"/>
  <c r="J10" i="15"/>
  <c r="C32" i="15"/>
  <c r="F10" i="15"/>
  <c r="I10" i="15"/>
  <c r="B10" i="15"/>
  <c r="Q9" i="15"/>
  <c r="R9" i="15"/>
  <c r="P9" i="15"/>
  <c r="E31" i="15"/>
  <c r="M9" i="15"/>
  <c r="N9" i="15"/>
  <c r="G9" i="15"/>
  <c r="H9" i="15"/>
  <c r="F9" i="15"/>
  <c r="I9" i="15"/>
  <c r="B9" i="15"/>
  <c r="Q8" i="15"/>
  <c r="R8" i="15"/>
  <c r="P8" i="15"/>
  <c r="M8" i="15"/>
  <c r="N8" i="15"/>
  <c r="G8" i="15"/>
  <c r="J8" i="15"/>
  <c r="C30" i="15"/>
  <c r="F8" i="15"/>
  <c r="I8" i="15"/>
  <c r="B8" i="15"/>
  <c r="Q7" i="15"/>
  <c r="R7" i="15"/>
  <c r="P7" i="15"/>
  <c r="M7" i="15"/>
  <c r="N7" i="15"/>
  <c r="G7" i="15"/>
  <c r="H7" i="15"/>
  <c r="F7" i="15"/>
  <c r="I7" i="15"/>
  <c r="B7" i="15"/>
  <c r="Q6" i="15"/>
  <c r="R6" i="15"/>
  <c r="P6" i="15"/>
  <c r="M6" i="15"/>
  <c r="N6" i="15"/>
  <c r="G6" i="15"/>
  <c r="J6" i="15"/>
  <c r="F6" i="15"/>
  <c r="I6" i="15"/>
  <c r="K6" i="15"/>
  <c r="B6" i="15"/>
  <c r="Q5" i="15"/>
  <c r="R5" i="15"/>
  <c r="P5" i="15"/>
  <c r="N5" i="15"/>
  <c r="M5" i="15"/>
  <c r="G5" i="15"/>
  <c r="H5" i="15"/>
  <c r="F5" i="15"/>
  <c r="I5" i="15"/>
  <c r="B5" i="15"/>
  <c r="R4" i="15"/>
  <c r="Q4" i="15"/>
  <c r="P4" i="15"/>
  <c r="M4" i="15"/>
  <c r="N4" i="15"/>
  <c r="G4" i="15"/>
  <c r="J4" i="15"/>
  <c r="F4" i="15"/>
  <c r="I4" i="15"/>
  <c r="B4" i="15"/>
  <c r="Q3" i="15"/>
  <c r="R3" i="15"/>
  <c r="P3" i="15"/>
  <c r="M3" i="15"/>
  <c r="N3" i="15"/>
  <c r="G3" i="15"/>
  <c r="J3" i="15"/>
  <c r="F3" i="15"/>
  <c r="I3" i="15"/>
  <c r="B3" i="15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Q16" i="14"/>
  <c r="R16" i="14"/>
  <c r="P16" i="14"/>
  <c r="E38" i="14"/>
  <c r="M16" i="14"/>
  <c r="N16" i="14"/>
  <c r="G16" i="14"/>
  <c r="J16" i="14"/>
  <c r="C38" i="14"/>
  <c r="F16" i="14"/>
  <c r="I16" i="14"/>
  <c r="B16" i="14"/>
  <c r="R15" i="14"/>
  <c r="Q15" i="14"/>
  <c r="P15" i="14"/>
  <c r="E37" i="14"/>
  <c r="M15" i="14"/>
  <c r="N15" i="14"/>
  <c r="G15" i="14"/>
  <c r="J15" i="14"/>
  <c r="F15" i="14"/>
  <c r="I15" i="14"/>
  <c r="B15" i="14"/>
  <c r="Q14" i="14"/>
  <c r="R14" i="14"/>
  <c r="P14" i="14"/>
  <c r="M14" i="14"/>
  <c r="N14" i="14"/>
  <c r="G14" i="14"/>
  <c r="J14" i="14"/>
  <c r="C36" i="14"/>
  <c r="F14" i="14"/>
  <c r="I14" i="14"/>
  <c r="B14" i="14"/>
  <c r="Q13" i="14"/>
  <c r="R13" i="14"/>
  <c r="P13" i="14"/>
  <c r="M13" i="14"/>
  <c r="N13" i="14"/>
  <c r="J13" i="14"/>
  <c r="G13" i="14"/>
  <c r="H13" i="14"/>
  <c r="F13" i="14"/>
  <c r="I13" i="14"/>
  <c r="B13" i="14"/>
  <c r="Q12" i="14"/>
  <c r="R12" i="14"/>
  <c r="P12" i="14"/>
  <c r="E34" i="14"/>
  <c r="M12" i="14"/>
  <c r="N12" i="14"/>
  <c r="G12" i="14"/>
  <c r="J12" i="14"/>
  <c r="C34" i="14"/>
  <c r="F12" i="14"/>
  <c r="I12" i="14"/>
  <c r="B12" i="14"/>
  <c r="Q11" i="14"/>
  <c r="R11" i="14"/>
  <c r="P11" i="14"/>
  <c r="E33" i="14"/>
  <c r="M11" i="14"/>
  <c r="N11" i="14"/>
  <c r="G11" i="14"/>
  <c r="J11" i="14"/>
  <c r="F11" i="14"/>
  <c r="I11" i="14"/>
  <c r="B11" i="14"/>
  <c r="R10" i="14"/>
  <c r="Q10" i="14"/>
  <c r="P10" i="14"/>
  <c r="M10" i="14"/>
  <c r="N10" i="14"/>
  <c r="G10" i="14"/>
  <c r="H10" i="14"/>
  <c r="F10" i="14"/>
  <c r="I10" i="14"/>
  <c r="B10" i="14"/>
  <c r="Q9" i="14"/>
  <c r="R9" i="14"/>
  <c r="P9" i="14"/>
  <c r="M9" i="14"/>
  <c r="N9" i="14"/>
  <c r="G9" i="14"/>
  <c r="J9" i="14"/>
  <c r="F9" i="14"/>
  <c r="I9" i="14"/>
  <c r="B9" i="14"/>
  <c r="Q8" i="14"/>
  <c r="R8" i="14"/>
  <c r="P8" i="14"/>
  <c r="E30" i="14"/>
  <c r="M8" i="14"/>
  <c r="N8" i="14"/>
  <c r="G8" i="14"/>
  <c r="J8" i="14"/>
  <c r="C30" i="14"/>
  <c r="F8" i="14"/>
  <c r="I8" i="14"/>
  <c r="B8" i="14"/>
  <c r="Q7" i="14"/>
  <c r="R7" i="14"/>
  <c r="P7" i="14"/>
  <c r="E29" i="14"/>
  <c r="M7" i="14"/>
  <c r="N7" i="14"/>
  <c r="G7" i="14"/>
  <c r="J7" i="14"/>
  <c r="F7" i="14"/>
  <c r="I7" i="14"/>
  <c r="B7" i="14"/>
  <c r="Q6" i="14"/>
  <c r="R6" i="14"/>
  <c r="P6" i="14"/>
  <c r="M6" i="14"/>
  <c r="N6" i="14"/>
  <c r="G6" i="14"/>
  <c r="J6" i="14"/>
  <c r="C28" i="14"/>
  <c r="F6" i="14"/>
  <c r="I6" i="14"/>
  <c r="B6" i="14"/>
  <c r="Q5" i="14"/>
  <c r="R5" i="14"/>
  <c r="P5" i="14"/>
  <c r="M5" i="14"/>
  <c r="N5" i="14"/>
  <c r="G5" i="14"/>
  <c r="J5" i="14"/>
  <c r="F5" i="14"/>
  <c r="I5" i="14"/>
  <c r="B5" i="14"/>
  <c r="Q4" i="14"/>
  <c r="R4" i="14"/>
  <c r="P4" i="14"/>
  <c r="E26" i="14"/>
  <c r="M4" i="14"/>
  <c r="N4" i="14"/>
  <c r="G4" i="14"/>
  <c r="J4" i="14"/>
  <c r="C26" i="14"/>
  <c r="F4" i="14"/>
  <c r="I4" i="14"/>
  <c r="B4" i="14"/>
  <c r="Q3" i="14"/>
  <c r="R3" i="14"/>
  <c r="P3" i="14"/>
  <c r="E25" i="14"/>
  <c r="M3" i="14"/>
  <c r="N3" i="14"/>
  <c r="G3" i="14"/>
  <c r="J3" i="14"/>
  <c r="C25" i="14"/>
  <c r="F3" i="14"/>
  <c r="I3" i="14"/>
  <c r="B3" i="14"/>
  <c r="P3" i="13"/>
  <c r="P4" i="13"/>
  <c r="P5" i="13"/>
  <c r="E27" i="13"/>
  <c r="P6" i="13"/>
  <c r="E28" i="13"/>
  <c r="P7" i="13"/>
  <c r="P8" i="13"/>
  <c r="P9" i="13"/>
  <c r="P10" i="13"/>
  <c r="E32" i="13"/>
  <c r="P11" i="13"/>
  <c r="P12" i="13"/>
  <c r="P13" i="13"/>
  <c r="E35" i="13"/>
  <c r="P14" i="13"/>
  <c r="E36" i="13"/>
  <c r="P15" i="13"/>
  <c r="P16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Q16" i="13"/>
  <c r="R16" i="13"/>
  <c r="M16" i="13"/>
  <c r="N16" i="13"/>
  <c r="G16" i="13"/>
  <c r="J16" i="13"/>
  <c r="F16" i="13"/>
  <c r="I16" i="13"/>
  <c r="K16" i="13"/>
  <c r="B16" i="13"/>
  <c r="Q15" i="13"/>
  <c r="R15" i="13"/>
  <c r="E37" i="13"/>
  <c r="N15" i="13"/>
  <c r="M15" i="13"/>
  <c r="I15" i="13"/>
  <c r="G15" i="13"/>
  <c r="H15" i="13"/>
  <c r="F15" i="13"/>
  <c r="B15" i="13"/>
  <c r="Q14" i="13"/>
  <c r="R14" i="13"/>
  <c r="M14" i="13"/>
  <c r="N14" i="13"/>
  <c r="I14" i="13"/>
  <c r="G14" i="13"/>
  <c r="J14" i="13"/>
  <c r="F14" i="13"/>
  <c r="B14" i="13"/>
  <c r="Q13" i="13"/>
  <c r="R13" i="13"/>
  <c r="M13" i="13"/>
  <c r="N13" i="13"/>
  <c r="I13" i="13"/>
  <c r="G13" i="13"/>
  <c r="H13" i="13"/>
  <c r="F13" i="13"/>
  <c r="B13" i="13"/>
  <c r="Q12" i="13"/>
  <c r="R12" i="13"/>
  <c r="E34" i="13"/>
  <c r="M12" i="13"/>
  <c r="N12" i="13"/>
  <c r="I12" i="13"/>
  <c r="G12" i="13"/>
  <c r="J12" i="13"/>
  <c r="F12" i="13"/>
  <c r="B12" i="13"/>
  <c r="Q11" i="13"/>
  <c r="R11" i="13"/>
  <c r="E33" i="13"/>
  <c r="M11" i="13"/>
  <c r="N11" i="13"/>
  <c r="I11" i="13"/>
  <c r="G11" i="13"/>
  <c r="H11" i="13"/>
  <c r="F11" i="13"/>
  <c r="B11" i="13"/>
  <c r="Q10" i="13"/>
  <c r="R10" i="13"/>
  <c r="M10" i="13"/>
  <c r="N10" i="13"/>
  <c r="I10" i="13"/>
  <c r="G10" i="13"/>
  <c r="J10" i="13"/>
  <c r="F10" i="13"/>
  <c r="B10" i="13"/>
  <c r="Q9" i="13"/>
  <c r="R9" i="13"/>
  <c r="E31" i="13"/>
  <c r="M9" i="13"/>
  <c r="N9" i="13"/>
  <c r="I9" i="13"/>
  <c r="G9" i="13"/>
  <c r="H9" i="13"/>
  <c r="F9" i="13"/>
  <c r="B9" i="13"/>
  <c r="Q8" i="13"/>
  <c r="R8" i="13"/>
  <c r="E30" i="13"/>
  <c r="M8" i="13"/>
  <c r="N8" i="13"/>
  <c r="I8" i="13"/>
  <c r="G8" i="13"/>
  <c r="J8" i="13"/>
  <c r="F8" i="13"/>
  <c r="B8" i="13"/>
  <c r="Q7" i="13"/>
  <c r="R7" i="13"/>
  <c r="E29" i="13"/>
  <c r="M7" i="13"/>
  <c r="N7" i="13"/>
  <c r="I7" i="13"/>
  <c r="G7" i="13"/>
  <c r="H7" i="13"/>
  <c r="F7" i="13"/>
  <c r="B7" i="13"/>
  <c r="Q6" i="13"/>
  <c r="R6" i="13"/>
  <c r="M6" i="13"/>
  <c r="N6" i="13"/>
  <c r="I6" i="13"/>
  <c r="G6" i="13"/>
  <c r="J6" i="13"/>
  <c r="F6" i="13"/>
  <c r="B6" i="13"/>
  <c r="Q5" i="13"/>
  <c r="R5" i="13"/>
  <c r="M5" i="13"/>
  <c r="N5" i="13"/>
  <c r="I5" i="13"/>
  <c r="G5" i="13"/>
  <c r="H5" i="13"/>
  <c r="F5" i="13"/>
  <c r="B5" i="13"/>
  <c r="Q4" i="13"/>
  <c r="R4" i="13"/>
  <c r="E26" i="13"/>
  <c r="M4" i="13"/>
  <c r="N4" i="13"/>
  <c r="I4" i="13"/>
  <c r="G4" i="13"/>
  <c r="J4" i="13"/>
  <c r="F4" i="13"/>
  <c r="B4" i="13"/>
  <c r="Q3" i="13"/>
  <c r="R3" i="13"/>
  <c r="M3" i="13"/>
  <c r="N3" i="13"/>
  <c r="I3" i="13"/>
  <c r="G3" i="13"/>
  <c r="J3" i="13"/>
  <c r="F3" i="13"/>
  <c r="B3" i="13"/>
  <c r="E25" i="13"/>
  <c r="G16" i="11"/>
  <c r="J16" i="11" s="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Q16" i="11"/>
  <c r="R16" i="11" s="1"/>
  <c r="D52" i="11" s="1"/>
  <c r="P16" i="11"/>
  <c r="E38" i="11" s="1"/>
  <c r="M16" i="11"/>
  <c r="N16" i="11" s="1"/>
  <c r="B52" i="11" s="1"/>
  <c r="F16" i="11"/>
  <c r="I16" i="11"/>
  <c r="K16" i="11" s="1"/>
  <c r="F52" i="11" s="1"/>
  <c r="B16" i="11"/>
  <c r="Q15" i="11"/>
  <c r="R15" i="11"/>
  <c r="D51" i="11" s="1"/>
  <c r="P15" i="11"/>
  <c r="C51" i="11" s="1"/>
  <c r="M15" i="11"/>
  <c r="N15" i="11" s="1"/>
  <c r="B51" i="11" s="1"/>
  <c r="G15" i="11"/>
  <c r="J15" i="11" s="1"/>
  <c r="F15" i="11"/>
  <c r="I15" i="11"/>
  <c r="B15" i="11"/>
  <c r="Q14" i="11"/>
  <c r="R14" i="11" s="1"/>
  <c r="D50" i="11" s="1"/>
  <c r="P14" i="11"/>
  <c r="C50" i="11" s="1"/>
  <c r="M14" i="11"/>
  <c r="N14" i="11" s="1"/>
  <c r="B50" i="11" s="1"/>
  <c r="G14" i="11"/>
  <c r="H14" i="11"/>
  <c r="F14" i="11"/>
  <c r="I14" i="11" s="1"/>
  <c r="K14" i="11" s="1"/>
  <c r="F50" i="11" s="1"/>
  <c r="B14" i="11"/>
  <c r="T14" i="11" s="1"/>
  <c r="Y14" i="11" s="1"/>
  <c r="Q13" i="11"/>
  <c r="R13" i="11"/>
  <c r="D49" i="11" s="1"/>
  <c r="P13" i="11"/>
  <c r="C49" i="11" s="1"/>
  <c r="M13" i="11"/>
  <c r="N13" i="11" s="1"/>
  <c r="B49" i="11" s="1"/>
  <c r="G13" i="11"/>
  <c r="J13" i="11" s="1"/>
  <c r="F13" i="11"/>
  <c r="I13" i="11"/>
  <c r="K13" i="11" s="1"/>
  <c r="F49" i="11" s="1"/>
  <c r="B13" i="11"/>
  <c r="Q12" i="11"/>
  <c r="R12" i="11" s="1"/>
  <c r="D48" i="11" s="1"/>
  <c r="P12" i="11"/>
  <c r="C48" i="11" s="1"/>
  <c r="M12" i="11"/>
  <c r="N12" i="11" s="1"/>
  <c r="B48" i="11" s="1"/>
  <c r="G12" i="11"/>
  <c r="J12" i="11"/>
  <c r="F12" i="11"/>
  <c r="I12" i="11" s="1"/>
  <c r="K12" i="11" s="1"/>
  <c r="F48" i="11" s="1"/>
  <c r="B12" i="11"/>
  <c r="Q11" i="11"/>
  <c r="R11" i="11" s="1"/>
  <c r="D47" i="11" s="1"/>
  <c r="P11" i="11"/>
  <c r="C47" i="11" s="1"/>
  <c r="M11" i="11"/>
  <c r="N11" i="11"/>
  <c r="B47" i="11" s="1"/>
  <c r="G11" i="11"/>
  <c r="J11" i="11" s="1"/>
  <c r="F11" i="11"/>
  <c r="I11" i="11"/>
  <c r="K11" i="11" s="1"/>
  <c r="F47" i="11" s="1"/>
  <c r="B11" i="11"/>
  <c r="E33" i="11" s="1"/>
  <c r="Q10" i="11"/>
  <c r="R10" i="11"/>
  <c r="D46" i="11" s="1"/>
  <c r="P10" i="11"/>
  <c r="C46" i="11" s="1"/>
  <c r="M10" i="11"/>
  <c r="N10" i="11" s="1"/>
  <c r="B46" i="11" s="1"/>
  <c r="G10" i="11"/>
  <c r="H10" i="11" s="1"/>
  <c r="F10" i="11"/>
  <c r="I10" i="11"/>
  <c r="B10" i="11"/>
  <c r="Q9" i="11"/>
  <c r="R9" i="11" s="1"/>
  <c r="D45" i="11" s="1"/>
  <c r="P9" i="11"/>
  <c r="C45" i="11" s="1"/>
  <c r="E31" i="11"/>
  <c r="M9" i="11"/>
  <c r="N9" i="11" s="1"/>
  <c r="B45" i="11" s="1"/>
  <c r="G9" i="11"/>
  <c r="H9" i="11" s="1"/>
  <c r="F9" i="11"/>
  <c r="I9" i="11"/>
  <c r="K9" i="11" s="1"/>
  <c r="F45" i="11" s="1"/>
  <c r="B9" i="11"/>
  <c r="Q8" i="11"/>
  <c r="R8" i="11"/>
  <c r="D44" i="11" s="1"/>
  <c r="P8" i="11"/>
  <c r="M8" i="11"/>
  <c r="N8" i="11" s="1"/>
  <c r="B44" i="11" s="1"/>
  <c r="G8" i="11"/>
  <c r="J8" i="11"/>
  <c r="T8" i="11" s="1"/>
  <c r="F8" i="11"/>
  <c r="I8" i="11" s="1"/>
  <c r="B8" i="11"/>
  <c r="Q7" i="11"/>
  <c r="R7" i="11" s="1"/>
  <c r="D43" i="11" s="1"/>
  <c r="P7" i="11"/>
  <c r="C43" i="11" s="1"/>
  <c r="M7" i="11"/>
  <c r="N7" i="11"/>
  <c r="B43" i="11" s="1"/>
  <c r="G7" i="11"/>
  <c r="J7" i="11" s="1"/>
  <c r="F7" i="11"/>
  <c r="I7" i="11"/>
  <c r="B7" i="11"/>
  <c r="Q6" i="11"/>
  <c r="R6" i="11" s="1"/>
  <c r="D42" i="11" s="1"/>
  <c r="P6" i="11"/>
  <c r="M6" i="11"/>
  <c r="N6" i="11" s="1"/>
  <c r="B42" i="11" s="1"/>
  <c r="G6" i="11"/>
  <c r="J6" i="11" s="1"/>
  <c r="C28" i="11" s="1"/>
  <c r="H6" i="11"/>
  <c r="F6" i="11"/>
  <c r="I6" i="11" s="1"/>
  <c r="B6" i="11"/>
  <c r="Q5" i="11"/>
  <c r="R5" i="11" s="1"/>
  <c r="P5" i="11"/>
  <c r="M5" i="11"/>
  <c r="N5" i="11"/>
  <c r="G5" i="11"/>
  <c r="H5" i="11" s="1"/>
  <c r="F5" i="11"/>
  <c r="I5" i="11" s="1"/>
  <c r="K5" i="11" s="1"/>
  <c r="B5" i="11"/>
  <c r="Q4" i="11"/>
  <c r="R4" i="11"/>
  <c r="P4" i="11"/>
  <c r="M4" i="11"/>
  <c r="N4" i="11" s="1"/>
  <c r="G4" i="11"/>
  <c r="H4" i="11" s="1"/>
  <c r="J4" i="11"/>
  <c r="T4" i="11" s="1"/>
  <c r="AA4" i="11" s="1"/>
  <c r="F4" i="11"/>
  <c r="I4" i="11" s="1"/>
  <c r="B4" i="11"/>
  <c r="Q3" i="11"/>
  <c r="R3" i="11" s="1"/>
  <c r="P3" i="11"/>
  <c r="E25" i="11" s="1"/>
  <c r="M3" i="11"/>
  <c r="N3" i="11"/>
  <c r="G3" i="11"/>
  <c r="J3" i="11" s="1"/>
  <c r="F3" i="11"/>
  <c r="I3" i="11" s="1"/>
  <c r="K3" i="11" s="1"/>
  <c r="B3" i="11"/>
  <c r="E26" i="9"/>
  <c r="E30" i="9"/>
  <c r="E34" i="9"/>
  <c r="E38" i="9"/>
  <c r="E29" i="8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Q16" i="9"/>
  <c r="R16" i="9"/>
  <c r="P16" i="9"/>
  <c r="M16" i="9"/>
  <c r="N16" i="9"/>
  <c r="I16" i="9"/>
  <c r="G16" i="9"/>
  <c r="J16" i="9"/>
  <c r="F16" i="9"/>
  <c r="B16" i="9"/>
  <c r="Q15" i="9"/>
  <c r="R15" i="9"/>
  <c r="P15" i="9"/>
  <c r="E37" i="9"/>
  <c r="M15" i="9"/>
  <c r="N15" i="9"/>
  <c r="G15" i="9"/>
  <c r="H15" i="9"/>
  <c r="F15" i="9"/>
  <c r="I15" i="9"/>
  <c r="B15" i="9"/>
  <c r="Q14" i="9"/>
  <c r="R14" i="9"/>
  <c r="P14" i="9"/>
  <c r="E36" i="9"/>
  <c r="N14" i="9"/>
  <c r="M14" i="9"/>
  <c r="G14" i="9"/>
  <c r="J14" i="9"/>
  <c r="F14" i="9"/>
  <c r="I14" i="9"/>
  <c r="B14" i="9"/>
  <c r="Q13" i="9"/>
  <c r="R13" i="9"/>
  <c r="P13" i="9"/>
  <c r="E35" i="9"/>
  <c r="N13" i="9"/>
  <c r="M13" i="9"/>
  <c r="G13" i="9"/>
  <c r="H13" i="9"/>
  <c r="F13" i="9"/>
  <c r="I13" i="9"/>
  <c r="B13" i="9"/>
  <c r="Q12" i="9"/>
  <c r="R12" i="9"/>
  <c r="P12" i="9"/>
  <c r="N12" i="9"/>
  <c r="M12" i="9"/>
  <c r="G12" i="9"/>
  <c r="J12" i="9"/>
  <c r="F12" i="9"/>
  <c r="I12" i="9"/>
  <c r="B12" i="9"/>
  <c r="Q11" i="9"/>
  <c r="R11" i="9"/>
  <c r="P11" i="9"/>
  <c r="E33" i="9"/>
  <c r="N11" i="9"/>
  <c r="M11" i="9"/>
  <c r="G11" i="9"/>
  <c r="H11" i="9"/>
  <c r="F11" i="9"/>
  <c r="I11" i="9"/>
  <c r="B11" i="9"/>
  <c r="Q10" i="9"/>
  <c r="R10" i="9"/>
  <c r="P10" i="9"/>
  <c r="E32" i="9"/>
  <c r="N10" i="9"/>
  <c r="M10" i="9"/>
  <c r="G10" i="9"/>
  <c r="J10" i="9"/>
  <c r="F10" i="9"/>
  <c r="I10" i="9"/>
  <c r="B10" i="9"/>
  <c r="Q9" i="9"/>
  <c r="R9" i="9"/>
  <c r="P9" i="9"/>
  <c r="E31" i="9"/>
  <c r="N9" i="9"/>
  <c r="M9" i="9"/>
  <c r="G9" i="9"/>
  <c r="H9" i="9"/>
  <c r="F9" i="9"/>
  <c r="I9" i="9"/>
  <c r="B9" i="9"/>
  <c r="Q8" i="9"/>
  <c r="R8" i="9"/>
  <c r="P8" i="9"/>
  <c r="N8" i="9"/>
  <c r="M8" i="9"/>
  <c r="G8" i="9"/>
  <c r="J8" i="9"/>
  <c r="F8" i="9"/>
  <c r="I8" i="9"/>
  <c r="B8" i="9"/>
  <c r="Q7" i="9"/>
  <c r="R7" i="9"/>
  <c r="P7" i="9"/>
  <c r="E29" i="9"/>
  <c r="N7" i="9"/>
  <c r="M7" i="9"/>
  <c r="G7" i="9"/>
  <c r="H7" i="9"/>
  <c r="F7" i="9"/>
  <c r="I7" i="9"/>
  <c r="B7" i="9"/>
  <c r="Q6" i="9"/>
  <c r="R6" i="9"/>
  <c r="P6" i="9"/>
  <c r="E28" i="9"/>
  <c r="N6" i="9"/>
  <c r="M6" i="9"/>
  <c r="G6" i="9"/>
  <c r="J6" i="9"/>
  <c r="F6" i="9"/>
  <c r="I6" i="9"/>
  <c r="B6" i="9"/>
  <c r="Q5" i="9"/>
  <c r="R5" i="9"/>
  <c r="P5" i="9"/>
  <c r="E27" i="9"/>
  <c r="N5" i="9"/>
  <c r="M5" i="9"/>
  <c r="G5" i="9"/>
  <c r="H5" i="9"/>
  <c r="F5" i="9"/>
  <c r="I5" i="9"/>
  <c r="B5" i="9"/>
  <c r="Q4" i="9"/>
  <c r="R4" i="9"/>
  <c r="P4" i="9"/>
  <c r="N4" i="9"/>
  <c r="M4" i="9"/>
  <c r="G4" i="9"/>
  <c r="J4" i="9"/>
  <c r="F4" i="9"/>
  <c r="I4" i="9"/>
  <c r="B4" i="9"/>
  <c r="Q3" i="9"/>
  <c r="R3" i="9"/>
  <c r="P3" i="9"/>
  <c r="E25" i="9"/>
  <c r="N3" i="9"/>
  <c r="M3" i="9"/>
  <c r="G3" i="9"/>
  <c r="J3" i="9"/>
  <c r="F3" i="9"/>
  <c r="I3" i="9"/>
  <c r="B3" i="9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Q16" i="8"/>
  <c r="R16" i="8"/>
  <c r="P16" i="8"/>
  <c r="M16" i="8"/>
  <c r="N16" i="8"/>
  <c r="F16" i="8"/>
  <c r="I16" i="8"/>
  <c r="B16" i="8"/>
  <c r="Q15" i="8"/>
  <c r="R15" i="8"/>
  <c r="P15" i="8"/>
  <c r="E37" i="8"/>
  <c r="M15" i="8"/>
  <c r="N15" i="8"/>
  <c r="F15" i="8"/>
  <c r="I15" i="8"/>
  <c r="B15" i="8"/>
  <c r="Q14" i="8"/>
  <c r="R14" i="8"/>
  <c r="P14" i="8"/>
  <c r="E36" i="8"/>
  <c r="M14" i="8"/>
  <c r="N14" i="8"/>
  <c r="F14" i="8"/>
  <c r="I14" i="8"/>
  <c r="B14" i="8"/>
  <c r="Q13" i="8"/>
  <c r="R13" i="8"/>
  <c r="P13" i="8"/>
  <c r="M13" i="8"/>
  <c r="N13" i="8"/>
  <c r="H13" i="8"/>
  <c r="F13" i="8"/>
  <c r="I13" i="8"/>
  <c r="B13" i="8"/>
  <c r="Q12" i="8"/>
  <c r="R12" i="8"/>
  <c r="P12" i="8"/>
  <c r="M12" i="8"/>
  <c r="N12" i="8"/>
  <c r="H12" i="8"/>
  <c r="F12" i="8"/>
  <c r="I12" i="8"/>
  <c r="B12" i="8"/>
  <c r="Q11" i="8"/>
  <c r="R11" i="8"/>
  <c r="P11" i="8"/>
  <c r="E33" i="8"/>
  <c r="M11" i="8"/>
  <c r="N11" i="8"/>
  <c r="F11" i="8"/>
  <c r="I11" i="8"/>
  <c r="B11" i="8"/>
  <c r="Q10" i="8"/>
  <c r="R10" i="8"/>
  <c r="P10" i="8"/>
  <c r="M10" i="8"/>
  <c r="N10" i="8"/>
  <c r="F10" i="8"/>
  <c r="I10" i="8"/>
  <c r="B10" i="8"/>
  <c r="Q9" i="8"/>
  <c r="R9" i="8"/>
  <c r="P9" i="8"/>
  <c r="M9" i="8"/>
  <c r="N9" i="8"/>
  <c r="J9" i="8"/>
  <c r="F31" i="8"/>
  <c r="F9" i="8"/>
  <c r="I9" i="8"/>
  <c r="B9" i="8"/>
  <c r="Q8" i="8"/>
  <c r="R8" i="8"/>
  <c r="P8" i="8"/>
  <c r="M8" i="8"/>
  <c r="N8" i="8"/>
  <c r="F8" i="8"/>
  <c r="I8" i="8"/>
  <c r="B8" i="8"/>
  <c r="Q7" i="8"/>
  <c r="R7" i="8"/>
  <c r="P7" i="8"/>
  <c r="M7" i="8"/>
  <c r="N7" i="8"/>
  <c r="F7" i="8"/>
  <c r="I7" i="8"/>
  <c r="B7" i="8"/>
  <c r="Q6" i="8"/>
  <c r="R6" i="8"/>
  <c r="P6" i="8"/>
  <c r="E28" i="8"/>
  <c r="M6" i="8"/>
  <c r="N6" i="8"/>
  <c r="F6" i="8"/>
  <c r="I6" i="8"/>
  <c r="B6" i="8"/>
  <c r="Q5" i="8"/>
  <c r="R5" i="8"/>
  <c r="P5" i="8"/>
  <c r="M5" i="8"/>
  <c r="N5" i="8"/>
  <c r="J5" i="8"/>
  <c r="F27" i="8"/>
  <c r="F5" i="8"/>
  <c r="I5" i="8"/>
  <c r="B5" i="8"/>
  <c r="Q4" i="8"/>
  <c r="R4" i="8"/>
  <c r="P4" i="8"/>
  <c r="M4" i="8"/>
  <c r="N4" i="8"/>
  <c r="F4" i="8"/>
  <c r="I4" i="8"/>
  <c r="B4" i="8"/>
  <c r="Q3" i="8"/>
  <c r="R3" i="8"/>
  <c r="P3" i="8"/>
  <c r="M3" i="8"/>
  <c r="N3" i="8"/>
  <c r="J3" i="8"/>
  <c r="F25" i="8"/>
  <c r="F3" i="8"/>
  <c r="I3" i="8"/>
  <c r="B3" i="8"/>
  <c r="M6" i="7"/>
  <c r="N6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Q16" i="7"/>
  <c r="R16" i="7"/>
  <c r="P16" i="7"/>
  <c r="M16" i="7"/>
  <c r="N16" i="7"/>
  <c r="G16" i="7"/>
  <c r="H16" i="7"/>
  <c r="F16" i="7"/>
  <c r="I16" i="7"/>
  <c r="B16" i="7"/>
  <c r="Q15" i="7"/>
  <c r="R15" i="7"/>
  <c r="P15" i="7"/>
  <c r="M15" i="7"/>
  <c r="N15" i="7"/>
  <c r="G15" i="7"/>
  <c r="H15" i="7"/>
  <c r="F15" i="7"/>
  <c r="I15" i="7"/>
  <c r="B15" i="7"/>
  <c r="Q14" i="7"/>
  <c r="R14" i="7"/>
  <c r="P14" i="7"/>
  <c r="M14" i="7"/>
  <c r="N14" i="7"/>
  <c r="G14" i="7"/>
  <c r="H14" i="7"/>
  <c r="F14" i="7"/>
  <c r="I14" i="7"/>
  <c r="B14" i="7"/>
  <c r="Q13" i="7"/>
  <c r="R13" i="7"/>
  <c r="P13" i="7"/>
  <c r="M13" i="7"/>
  <c r="N13" i="7"/>
  <c r="G13" i="7"/>
  <c r="H13" i="7"/>
  <c r="F13" i="7"/>
  <c r="I13" i="7"/>
  <c r="B13" i="7"/>
  <c r="Q12" i="7"/>
  <c r="R12" i="7"/>
  <c r="P12" i="7"/>
  <c r="M12" i="7"/>
  <c r="N12" i="7"/>
  <c r="G12" i="7"/>
  <c r="H12" i="7"/>
  <c r="F12" i="7"/>
  <c r="I12" i="7"/>
  <c r="B12" i="7"/>
  <c r="Q11" i="7"/>
  <c r="R11" i="7"/>
  <c r="P11" i="7"/>
  <c r="M11" i="7"/>
  <c r="N11" i="7"/>
  <c r="G11" i="7"/>
  <c r="F11" i="7"/>
  <c r="I11" i="7"/>
  <c r="B11" i="7"/>
  <c r="Q10" i="7"/>
  <c r="R10" i="7"/>
  <c r="P10" i="7"/>
  <c r="M10" i="7"/>
  <c r="N10" i="7"/>
  <c r="G10" i="7"/>
  <c r="H10" i="7"/>
  <c r="F10" i="7"/>
  <c r="I10" i="7"/>
  <c r="B10" i="7"/>
  <c r="Q9" i="7"/>
  <c r="R9" i="7"/>
  <c r="P9" i="7"/>
  <c r="M9" i="7"/>
  <c r="N9" i="7"/>
  <c r="G9" i="7"/>
  <c r="H9" i="7"/>
  <c r="F9" i="7"/>
  <c r="I9" i="7"/>
  <c r="B9" i="7"/>
  <c r="Q8" i="7"/>
  <c r="R8" i="7"/>
  <c r="P8" i="7"/>
  <c r="M8" i="7"/>
  <c r="N8" i="7"/>
  <c r="G8" i="7"/>
  <c r="H8" i="7"/>
  <c r="F8" i="7"/>
  <c r="I8" i="7"/>
  <c r="B8" i="7"/>
  <c r="Q7" i="7"/>
  <c r="R7" i="7"/>
  <c r="P7" i="7"/>
  <c r="M7" i="7"/>
  <c r="N7" i="7"/>
  <c r="G7" i="7"/>
  <c r="H7" i="7"/>
  <c r="F7" i="7"/>
  <c r="I7" i="7"/>
  <c r="B7" i="7"/>
  <c r="Q6" i="7"/>
  <c r="R6" i="7"/>
  <c r="P6" i="7"/>
  <c r="G6" i="7"/>
  <c r="H6" i="7"/>
  <c r="F6" i="7"/>
  <c r="I6" i="7"/>
  <c r="B6" i="7"/>
  <c r="Q5" i="7"/>
  <c r="R5" i="7"/>
  <c r="P5" i="7"/>
  <c r="M5" i="7"/>
  <c r="N5" i="7"/>
  <c r="G5" i="7"/>
  <c r="H5" i="7"/>
  <c r="F5" i="7"/>
  <c r="I5" i="7"/>
  <c r="B5" i="7"/>
  <c r="Q4" i="7"/>
  <c r="R4" i="7"/>
  <c r="P4" i="7"/>
  <c r="M4" i="7"/>
  <c r="N4" i="7"/>
  <c r="G4" i="7"/>
  <c r="H4" i="7"/>
  <c r="F4" i="7"/>
  <c r="I4" i="7"/>
  <c r="B4" i="7"/>
  <c r="Q3" i="7"/>
  <c r="R3" i="7"/>
  <c r="P3" i="7"/>
  <c r="M3" i="7"/>
  <c r="N3" i="7"/>
  <c r="G3" i="7"/>
  <c r="H3" i="7"/>
  <c r="F3" i="7"/>
  <c r="B3" i="7"/>
  <c r="O4" i="6"/>
  <c r="B26" i="6"/>
  <c r="O5" i="6"/>
  <c r="O6" i="6"/>
  <c r="O7" i="6"/>
  <c r="B29" i="6"/>
  <c r="O8" i="6"/>
  <c r="B30" i="6"/>
  <c r="O9" i="6"/>
  <c r="O10" i="6"/>
  <c r="O11" i="6"/>
  <c r="B33" i="6"/>
  <c r="O12" i="6"/>
  <c r="B34" i="6"/>
  <c r="O13" i="6"/>
  <c r="O14" i="6"/>
  <c r="O15" i="6"/>
  <c r="O16" i="6"/>
  <c r="E38" i="6"/>
  <c r="O3" i="6"/>
  <c r="G3" i="6"/>
  <c r="I3" i="6"/>
  <c r="F25" i="6"/>
  <c r="B3" i="6"/>
  <c r="E25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P16" i="6"/>
  <c r="Q16" i="6"/>
  <c r="L16" i="6"/>
  <c r="M16" i="6"/>
  <c r="G16" i="6"/>
  <c r="I16" i="6"/>
  <c r="F38" i="6"/>
  <c r="F16" i="6"/>
  <c r="H16" i="6"/>
  <c r="B16" i="6"/>
  <c r="P15" i="6"/>
  <c r="Q15" i="6"/>
  <c r="L15" i="6"/>
  <c r="M15" i="6"/>
  <c r="G15" i="6"/>
  <c r="I15" i="6"/>
  <c r="F37" i="6"/>
  <c r="F15" i="6"/>
  <c r="H15" i="6"/>
  <c r="B15" i="6"/>
  <c r="P14" i="6"/>
  <c r="Q14" i="6"/>
  <c r="L14" i="6"/>
  <c r="M14" i="6"/>
  <c r="G14" i="6"/>
  <c r="I14" i="6"/>
  <c r="C36" i="6"/>
  <c r="F14" i="6"/>
  <c r="H14" i="6"/>
  <c r="B14" i="6"/>
  <c r="P13" i="6"/>
  <c r="Q13" i="6"/>
  <c r="L13" i="6"/>
  <c r="M13" i="6"/>
  <c r="G13" i="6"/>
  <c r="I13" i="6"/>
  <c r="F35" i="6"/>
  <c r="F13" i="6"/>
  <c r="H13" i="6"/>
  <c r="B13" i="6"/>
  <c r="E35" i="6"/>
  <c r="P12" i="6"/>
  <c r="Q12" i="6"/>
  <c r="L12" i="6"/>
  <c r="M12" i="6"/>
  <c r="G12" i="6"/>
  <c r="I12" i="6"/>
  <c r="F34" i="6"/>
  <c r="F12" i="6"/>
  <c r="H12" i="6"/>
  <c r="B12" i="6"/>
  <c r="P11" i="6"/>
  <c r="Q11" i="6"/>
  <c r="L11" i="6"/>
  <c r="M11" i="6"/>
  <c r="G11" i="6"/>
  <c r="I11" i="6"/>
  <c r="F33" i="6"/>
  <c r="F11" i="6"/>
  <c r="H11" i="6"/>
  <c r="B11" i="6"/>
  <c r="P10" i="6"/>
  <c r="Q10" i="6"/>
  <c r="L10" i="6"/>
  <c r="M10" i="6"/>
  <c r="G10" i="6"/>
  <c r="I10" i="6"/>
  <c r="C32" i="6"/>
  <c r="F10" i="6"/>
  <c r="H10" i="6"/>
  <c r="B10" i="6"/>
  <c r="P9" i="6"/>
  <c r="Q9" i="6"/>
  <c r="L9" i="6"/>
  <c r="M9" i="6"/>
  <c r="G9" i="6"/>
  <c r="I9" i="6"/>
  <c r="F31" i="6"/>
  <c r="F9" i="6"/>
  <c r="H9" i="6"/>
  <c r="B9" i="6"/>
  <c r="E31" i="6"/>
  <c r="P8" i="6"/>
  <c r="Q8" i="6"/>
  <c r="L8" i="6"/>
  <c r="M8" i="6"/>
  <c r="G8" i="6"/>
  <c r="I8" i="6"/>
  <c r="F30" i="6"/>
  <c r="F8" i="6"/>
  <c r="H8" i="6"/>
  <c r="B8" i="6"/>
  <c r="P7" i="6"/>
  <c r="Q7" i="6"/>
  <c r="L7" i="6"/>
  <c r="M7" i="6"/>
  <c r="G7" i="6"/>
  <c r="I7" i="6"/>
  <c r="C29" i="6"/>
  <c r="F7" i="6"/>
  <c r="H7" i="6"/>
  <c r="B7" i="6"/>
  <c r="P6" i="6"/>
  <c r="Q6" i="6"/>
  <c r="L6" i="6"/>
  <c r="M6" i="6"/>
  <c r="G6" i="6"/>
  <c r="I6" i="6"/>
  <c r="C28" i="6"/>
  <c r="F6" i="6"/>
  <c r="H6" i="6"/>
  <c r="B6" i="6"/>
  <c r="P5" i="6"/>
  <c r="Q5" i="6"/>
  <c r="L5" i="6"/>
  <c r="M5" i="6"/>
  <c r="G5" i="6"/>
  <c r="I5" i="6"/>
  <c r="F27" i="6"/>
  <c r="F5" i="6"/>
  <c r="H5" i="6"/>
  <c r="B5" i="6"/>
  <c r="E27" i="6"/>
  <c r="P4" i="6"/>
  <c r="Q4" i="6"/>
  <c r="L4" i="6"/>
  <c r="M4" i="6"/>
  <c r="G4" i="6"/>
  <c r="I4" i="6"/>
  <c r="F26" i="6"/>
  <c r="F4" i="6"/>
  <c r="H4" i="6"/>
  <c r="B4" i="6"/>
  <c r="L3" i="6"/>
  <c r="M3" i="6"/>
  <c r="F3" i="6"/>
  <c r="Z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R3" i="4"/>
  <c r="Y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3" i="4"/>
  <c r="X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3" i="4"/>
  <c r="R19" i="4"/>
  <c r="R20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3" i="3"/>
  <c r="AA4" i="1"/>
  <c r="AA5" i="1"/>
  <c r="AA6" i="1"/>
  <c r="AA8" i="1"/>
  <c r="AA9" i="1"/>
  <c r="AA10" i="1"/>
  <c r="AA11" i="1"/>
  <c r="AA12" i="1"/>
  <c r="AA13" i="1"/>
  <c r="AA14" i="1"/>
  <c r="AA15" i="1"/>
  <c r="AA16" i="1"/>
  <c r="AA17" i="1"/>
  <c r="AA3" i="1"/>
  <c r="Z3" i="1"/>
  <c r="X3" i="1"/>
  <c r="Y3" i="1"/>
  <c r="W4" i="1"/>
  <c r="W5" i="1"/>
  <c r="W6" i="1"/>
  <c r="W8" i="1"/>
  <c r="W9" i="1"/>
  <c r="W10" i="1"/>
  <c r="W11" i="1"/>
  <c r="W12" i="1"/>
  <c r="W13" i="1"/>
  <c r="W14" i="1"/>
  <c r="W15" i="1"/>
  <c r="W16" i="1"/>
  <c r="W17" i="1"/>
  <c r="W3" i="1"/>
  <c r="R18" i="1"/>
  <c r="Y4" i="1"/>
  <c r="Y5" i="1"/>
  <c r="Y6" i="1"/>
  <c r="Y8" i="1"/>
  <c r="Y9" i="1"/>
  <c r="Y10" i="1"/>
  <c r="Y11" i="1"/>
  <c r="Y12" i="1"/>
  <c r="Y13" i="1"/>
  <c r="Y14" i="1"/>
  <c r="Y15" i="1"/>
  <c r="Y16" i="1"/>
  <c r="Y1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B27" i="1"/>
  <c r="I14" i="3"/>
  <c r="R14" i="3"/>
  <c r="V14" i="3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3" i="4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P16" i="4"/>
  <c r="Q16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L16" i="4"/>
  <c r="M16" i="4"/>
  <c r="G16" i="4"/>
  <c r="I16" i="4"/>
  <c r="R16" i="4"/>
  <c r="F16" i="4"/>
  <c r="H16" i="4"/>
  <c r="B16" i="4"/>
  <c r="P15" i="4"/>
  <c r="Q15" i="4"/>
  <c r="L15" i="4"/>
  <c r="M15" i="4"/>
  <c r="G15" i="4"/>
  <c r="I15" i="4"/>
  <c r="R15" i="4"/>
  <c r="F15" i="4"/>
  <c r="H15" i="4"/>
  <c r="B15" i="4"/>
  <c r="P14" i="4"/>
  <c r="Q14" i="4"/>
  <c r="L14" i="4"/>
  <c r="M14" i="4"/>
  <c r="G14" i="4"/>
  <c r="F14" i="4"/>
  <c r="H14" i="4"/>
  <c r="B14" i="4"/>
  <c r="P13" i="4"/>
  <c r="Q13" i="4"/>
  <c r="L13" i="4"/>
  <c r="M13" i="4"/>
  <c r="G13" i="4"/>
  <c r="I13" i="4"/>
  <c r="R13" i="4"/>
  <c r="F13" i="4"/>
  <c r="H13" i="4"/>
  <c r="B13" i="4"/>
  <c r="P12" i="4"/>
  <c r="Q12" i="4"/>
  <c r="L12" i="4"/>
  <c r="M12" i="4"/>
  <c r="G12" i="4"/>
  <c r="I12" i="4"/>
  <c r="R12" i="4"/>
  <c r="F12" i="4"/>
  <c r="H12" i="4"/>
  <c r="B12" i="4"/>
  <c r="P11" i="4"/>
  <c r="Q11" i="4"/>
  <c r="L11" i="4"/>
  <c r="M11" i="4"/>
  <c r="G11" i="4"/>
  <c r="I11" i="4"/>
  <c r="R11" i="4"/>
  <c r="F11" i="4"/>
  <c r="H11" i="4"/>
  <c r="B11" i="4"/>
  <c r="P10" i="4"/>
  <c r="Q10" i="4"/>
  <c r="L10" i="4"/>
  <c r="M10" i="4"/>
  <c r="G10" i="4"/>
  <c r="I10" i="4"/>
  <c r="R10" i="4"/>
  <c r="F10" i="4"/>
  <c r="H10" i="4"/>
  <c r="B10" i="4"/>
  <c r="P9" i="4"/>
  <c r="Q9" i="4"/>
  <c r="L9" i="4"/>
  <c r="M9" i="4"/>
  <c r="G9" i="4"/>
  <c r="F9" i="4"/>
  <c r="H9" i="4"/>
  <c r="B9" i="4"/>
  <c r="P8" i="4"/>
  <c r="Q8" i="4"/>
  <c r="L8" i="4"/>
  <c r="M8" i="4"/>
  <c r="G8" i="4"/>
  <c r="I8" i="4"/>
  <c r="R8" i="4"/>
  <c r="F8" i="4"/>
  <c r="H8" i="4"/>
  <c r="B8" i="4"/>
  <c r="P7" i="4"/>
  <c r="Q7" i="4"/>
  <c r="L7" i="4"/>
  <c r="M7" i="4"/>
  <c r="G7" i="4"/>
  <c r="F7" i="4"/>
  <c r="H7" i="4"/>
  <c r="B7" i="4"/>
  <c r="P6" i="4"/>
  <c r="Q6" i="4"/>
  <c r="L6" i="4"/>
  <c r="M6" i="4"/>
  <c r="G6" i="4"/>
  <c r="I6" i="4"/>
  <c r="R6" i="4"/>
  <c r="F6" i="4"/>
  <c r="H6" i="4"/>
  <c r="B6" i="4"/>
  <c r="P5" i="4"/>
  <c r="Q5" i="4"/>
  <c r="L5" i="4"/>
  <c r="M5" i="4"/>
  <c r="G5" i="4"/>
  <c r="F5" i="4"/>
  <c r="H5" i="4"/>
  <c r="B5" i="4"/>
  <c r="P4" i="4"/>
  <c r="Q4" i="4"/>
  <c r="L4" i="4"/>
  <c r="M4" i="4"/>
  <c r="G4" i="4"/>
  <c r="I4" i="4"/>
  <c r="R4" i="4"/>
  <c r="F4" i="4"/>
  <c r="H4" i="4"/>
  <c r="B4" i="4"/>
  <c r="P3" i="4"/>
  <c r="Q3" i="4"/>
  <c r="L3" i="4"/>
  <c r="M3" i="4"/>
  <c r="G3" i="4"/>
  <c r="I3" i="4"/>
  <c r="F3" i="4"/>
  <c r="H3" i="4"/>
  <c r="B3" i="4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P16" i="3"/>
  <c r="Q16" i="3"/>
  <c r="L16" i="3"/>
  <c r="M16" i="3"/>
  <c r="G16" i="3"/>
  <c r="I16" i="3"/>
  <c r="F16" i="3"/>
  <c r="H16" i="3"/>
  <c r="B16" i="3"/>
  <c r="P15" i="3"/>
  <c r="Q15" i="3"/>
  <c r="L15" i="3"/>
  <c r="M15" i="3"/>
  <c r="G15" i="3"/>
  <c r="I15" i="3"/>
  <c r="F15" i="3"/>
  <c r="H15" i="3"/>
  <c r="B15" i="3"/>
  <c r="P14" i="3"/>
  <c r="Q14" i="3"/>
  <c r="L14" i="3"/>
  <c r="M14" i="3"/>
  <c r="G14" i="3"/>
  <c r="F14" i="3"/>
  <c r="H14" i="3"/>
  <c r="B14" i="3"/>
  <c r="P13" i="3"/>
  <c r="Q13" i="3"/>
  <c r="L13" i="3"/>
  <c r="M13" i="3"/>
  <c r="G13" i="3"/>
  <c r="I13" i="3"/>
  <c r="F13" i="3"/>
  <c r="H13" i="3"/>
  <c r="B13" i="3"/>
  <c r="P12" i="3"/>
  <c r="Q12" i="3"/>
  <c r="L12" i="3"/>
  <c r="M12" i="3"/>
  <c r="G12" i="3"/>
  <c r="I12" i="3"/>
  <c r="F12" i="3"/>
  <c r="H12" i="3"/>
  <c r="B12" i="3"/>
  <c r="P11" i="3"/>
  <c r="Q11" i="3"/>
  <c r="L11" i="3"/>
  <c r="M11" i="3"/>
  <c r="G11" i="3"/>
  <c r="I11" i="3"/>
  <c r="F11" i="3"/>
  <c r="H11" i="3"/>
  <c r="B11" i="3"/>
  <c r="P10" i="3"/>
  <c r="Q10" i="3"/>
  <c r="L10" i="3"/>
  <c r="M10" i="3"/>
  <c r="G10" i="3"/>
  <c r="I10" i="3"/>
  <c r="R10" i="3"/>
  <c r="F10" i="3"/>
  <c r="H10" i="3"/>
  <c r="B10" i="3"/>
  <c r="P9" i="3"/>
  <c r="Q9" i="3"/>
  <c r="L9" i="3"/>
  <c r="M9" i="3"/>
  <c r="G9" i="3"/>
  <c r="I9" i="3"/>
  <c r="F9" i="3"/>
  <c r="H9" i="3"/>
  <c r="B9" i="3"/>
  <c r="P8" i="3"/>
  <c r="Q8" i="3"/>
  <c r="L8" i="3"/>
  <c r="M8" i="3"/>
  <c r="G8" i="3"/>
  <c r="I8" i="3"/>
  <c r="F8" i="3"/>
  <c r="H8" i="3"/>
  <c r="B8" i="3"/>
  <c r="P7" i="3"/>
  <c r="Q7" i="3"/>
  <c r="L7" i="3"/>
  <c r="M7" i="3"/>
  <c r="G7" i="3"/>
  <c r="I7" i="3"/>
  <c r="R7" i="3"/>
  <c r="Y7" i="3"/>
  <c r="F7" i="3"/>
  <c r="H7" i="3"/>
  <c r="B7" i="3"/>
  <c r="P6" i="3"/>
  <c r="Q6" i="3"/>
  <c r="L6" i="3"/>
  <c r="M6" i="3"/>
  <c r="G6" i="3"/>
  <c r="I6" i="3"/>
  <c r="F6" i="3"/>
  <c r="H6" i="3"/>
  <c r="B6" i="3"/>
  <c r="P5" i="3"/>
  <c r="Q5" i="3"/>
  <c r="L5" i="3"/>
  <c r="M5" i="3"/>
  <c r="G5" i="3"/>
  <c r="I5" i="3"/>
  <c r="F5" i="3"/>
  <c r="H5" i="3"/>
  <c r="B5" i="3"/>
  <c r="P4" i="3"/>
  <c r="Q4" i="3"/>
  <c r="L4" i="3"/>
  <c r="M4" i="3"/>
  <c r="G4" i="3"/>
  <c r="I4" i="3"/>
  <c r="F4" i="3"/>
  <c r="H4" i="3"/>
  <c r="B4" i="3"/>
  <c r="P3" i="3"/>
  <c r="Q3" i="3"/>
  <c r="L3" i="3"/>
  <c r="M3" i="3"/>
  <c r="G3" i="3"/>
  <c r="I3" i="3"/>
  <c r="F3" i="3"/>
  <c r="H3" i="3"/>
  <c r="B3" i="3"/>
  <c r="G4" i="1"/>
  <c r="I4" i="1"/>
  <c r="R4" i="1"/>
  <c r="V4" i="1"/>
  <c r="G5" i="1"/>
  <c r="I5" i="1"/>
  <c r="G6" i="1"/>
  <c r="I6" i="1"/>
  <c r="G7" i="1"/>
  <c r="I7" i="1"/>
  <c r="G8" i="1"/>
  <c r="I8" i="1"/>
  <c r="R8" i="1"/>
  <c r="V8" i="1"/>
  <c r="G9" i="1"/>
  <c r="I9" i="1"/>
  <c r="G10" i="1"/>
  <c r="I10" i="1"/>
  <c r="G11" i="1"/>
  <c r="I11" i="1"/>
  <c r="C35" i="1"/>
  <c r="G12" i="1"/>
  <c r="I12" i="1"/>
  <c r="R12" i="1"/>
  <c r="V12" i="1"/>
  <c r="G13" i="1"/>
  <c r="I13" i="1"/>
  <c r="G14" i="1"/>
  <c r="I14" i="1"/>
  <c r="G15" i="1"/>
  <c r="I15" i="1"/>
  <c r="G16" i="1"/>
  <c r="I16" i="1"/>
  <c r="R16" i="1"/>
  <c r="V16" i="1"/>
  <c r="G17" i="1"/>
  <c r="I17" i="1"/>
  <c r="G3" i="1"/>
  <c r="I3" i="1"/>
  <c r="A41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7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3" i="1"/>
  <c r="Q3" i="1"/>
  <c r="F17" i="1"/>
  <c r="H17" i="1"/>
  <c r="F15" i="1"/>
  <c r="H15" i="1"/>
  <c r="J15" i="1"/>
  <c r="F16" i="1"/>
  <c r="H16" i="1"/>
  <c r="B15" i="1"/>
  <c r="B16" i="1"/>
  <c r="B17" i="1"/>
  <c r="L17" i="1"/>
  <c r="M17" i="1"/>
  <c r="L16" i="1"/>
  <c r="M16" i="1"/>
  <c r="L15" i="1"/>
  <c r="M15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B4" i="1"/>
  <c r="B5" i="1"/>
  <c r="B6" i="1"/>
  <c r="B7" i="1"/>
  <c r="B8" i="1"/>
  <c r="B9" i="1"/>
  <c r="B10" i="1"/>
  <c r="B11" i="1"/>
  <c r="B12" i="1"/>
  <c r="B13" i="1"/>
  <c r="B14" i="1"/>
  <c r="F3" i="1"/>
  <c r="H3" i="1"/>
  <c r="B3" i="1"/>
  <c r="L3" i="1"/>
  <c r="M3" i="1"/>
  <c r="E30" i="8"/>
  <c r="E26" i="8"/>
  <c r="E35" i="8"/>
  <c r="E38" i="8"/>
  <c r="E31" i="8"/>
  <c r="E25" i="8"/>
  <c r="E27" i="8"/>
  <c r="E32" i="8"/>
  <c r="E34" i="8"/>
  <c r="K14" i="8"/>
  <c r="C29" i="8"/>
  <c r="F29" i="8"/>
  <c r="C33" i="8"/>
  <c r="F33" i="8"/>
  <c r="K7" i="8"/>
  <c r="F32" i="8"/>
  <c r="F28" i="8"/>
  <c r="E31" i="7"/>
  <c r="E38" i="7"/>
  <c r="E25" i="7"/>
  <c r="E33" i="7"/>
  <c r="E30" i="7"/>
  <c r="E32" i="7"/>
  <c r="E26" i="7"/>
  <c r="E28" i="7"/>
  <c r="E37" i="7"/>
  <c r="E27" i="7"/>
  <c r="E29" i="7"/>
  <c r="E34" i="7"/>
  <c r="E36" i="7"/>
  <c r="E35" i="7"/>
  <c r="H11" i="7"/>
  <c r="E37" i="6"/>
  <c r="E26" i="6"/>
  <c r="E30" i="6"/>
  <c r="E34" i="6"/>
  <c r="B38" i="6"/>
  <c r="B37" i="6"/>
  <c r="E36" i="6"/>
  <c r="E32" i="6"/>
  <c r="E28" i="6"/>
  <c r="E29" i="6"/>
  <c r="E33" i="6"/>
  <c r="F29" i="6"/>
  <c r="F36" i="6"/>
  <c r="F32" i="6"/>
  <c r="F28" i="6"/>
  <c r="H8" i="15"/>
  <c r="K10" i="15"/>
  <c r="J12" i="15"/>
  <c r="C34" i="15"/>
  <c r="K14" i="15"/>
  <c r="J7" i="15"/>
  <c r="J11" i="15"/>
  <c r="T11" i="15"/>
  <c r="J15" i="15"/>
  <c r="C37" i="15"/>
  <c r="J16" i="15"/>
  <c r="C38" i="15"/>
  <c r="K7" i="15"/>
  <c r="K11" i="15"/>
  <c r="K15" i="15"/>
  <c r="H4" i="15"/>
  <c r="J5" i="15"/>
  <c r="T5" i="15"/>
  <c r="AA5" i="15"/>
  <c r="K8" i="15"/>
  <c r="J9" i="15"/>
  <c r="T9" i="15"/>
  <c r="H10" i="15"/>
  <c r="K12" i="15"/>
  <c r="J13" i="15"/>
  <c r="T13" i="15"/>
  <c r="H14" i="15"/>
  <c r="K16" i="15"/>
  <c r="H3" i="15"/>
  <c r="K3" i="15"/>
  <c r="K4" i="15"/>
  <c r="K5" i="15"/>
  <c r="H6" i="15"/>
  <c r="K9" i="15"/>
  <c r="K13" i="15"/>
  <c r="E27" i="15"/>
  <c r="E28" i="15"/>
  <c r="T8" i="15"/>
  <c r="X8" i="15"/>
  <c r="E29" i="15"/>
  <c r="E33" i="15"/>
  <c r="E37" i="15"/>
  <c r="T7" i="15"/>
  <c r="Y7" i="15"/>
  <c r="E25" i="15"/>
  <c r="E26" i="15"/>
  <c r="E30" i="15"/>
  <c r="T10" i="15"/>
  <c r="X10" i="15"/>
  <c r="E34" i="15"/>
  <c r="T14" i="15"/>
  <c r="Y14" i="15"/>
  <c r="E38" i="15"/>
  <c r="C25" i="15"/>
  <c r="T3" i="15"/>
  <c r="C28" i="15"/>
  <c r="T6" i="15"/>
  <c r="C26" i="15"/>
  <c r="T4" i="15"/>
  <c r="C29" i="15"/>
  <c r="C35" i="15"/>
  <c r="K4" i="14"/>
  <c r="K8" i="14"/>
  <c r="H9" i="14"/>
  <c r="K13" i="14"/>
  <c r="H14" i="14"/>
  <c r="H5" i="14"/>
  <c r="H6" i="14"/>
  <c r="K9" i="14"/>
  <c r="J10" i="14"/>
  <c r="C32" i="14"/>
  <c r="K16" i="14"/>
  <c r="K5" i="14"/>
  <c r="K12" i="14"/>
  <c r="H7" i="14"/>
  <c r="H11" i="14"/>
  <c r="H15" i="14"/>
  <c r="H4" i="14"/>
  <c r="K6" i="14"/>
  <c r="H8" i="14"/>
  <c r="K10" i="14"/>
  <c r="H12" i="14"/>
  <c r="K14" i="14"/>
  <c r="H16" i="14"/>
  <c r="K7" i="14"/>
  <c r="K11" i="14"/>
  <c r="K15" i="14"/>
  <c r="H3" i="14"/>
  <c r="T5" i="14"/>
  <c r="AA5" i="14"/>
  <c r="T13" i="14"/>
  <c r="AA13" i="14"/>
  <c r="E27" i="14"/>
  <c r="T7" i="14"/>
  <c r="Y7" i="14"/>
  <c r="E31" i="14"/>
  <c r="T11" i="14"/>
  <c r="X11" i="14"/>
  <c r="E35" i="14"/>
  <c r="T15" i="14"/>
  <c r="AA15" i="14"/>
  <c r="T9" i="14"/>
  <c r="Y9" i="14"/>
  <c r="T6" i="14"/>
  <c r="Y6" i="14"/>
  <c r="T14" i="14"/>
  <c r="AA14" i="14"/>
  <c r="T4" i="14"/>
  <c r="AA4" i="14"/>
  <c r="E28" i="14"/>
  <c r="T8" i="14"/>
  <c r="AA8" i="14"/>
  <c r="E32" i="14"/>
  <c r="T12" i="14"/>
  <c r="X12" i="14"/>
  <c r="E36" i="14"/>
  <c r="T16" i="14"/>
  <c r="X16" i="14"/>
  <c r="X13" i="14"/>
  <c r="C27" i="14"/>
  <c r="C29" i="14"/>
  <c r="C31" i="14"/>
  <c r="C33" i="14"/>
  <c r="T3" i="14"/>
  <c r="C35" i="14"/>
  <c r="C37" i="14"/>
  <c r="K7" i="13"/>
  <c r="K9" i="13"/>
  <c r="K13" i="13"/>
  <c r="K4" i="13"/>
  <c r="J5" i="13"/>
  <c r="C27" i="13"/>
  <c r="J7" i="13"/>
  <c r="C29" i="13"/>
  <c r="J9" i="13"/>
  <c r="C31" i="13"/>
  <c r="J11" i="13"/>
  <c r="C33" i="13"/>
  <c r="J13" i="13"/>
  <c r="C35" i="13"/>
  <c r="J15" i="13"/>
  <c r="C37" i="13"/>
  <c r="K5" i="13"/>
  <c r="K11" i="13"/>
  <c r="K15" i="13"/>
  <c r="E38" i="13"/>
  <c r="T8" i="13"/>
  <c r="C30" i="13"/>
  <c r="T14" i="13"/>
  <c r="C36" i="13"/>
  <c r="T6" i="13"/>
  <c r="C28" i="13"/>
  <c r="C25" i="13"/>
  <c r="T3" i="13"/>
  <c r="T10" i="13"/>
  <c r="C32" i="13"/>
  <c r="T12" i="13"/>
  <c r="C34" i="13"/>
  <c r="T16" i="13"/>
  <c r="C38" i="13"/>
  <c r="T4" i="13"/>
  <c r="C26" i="13"/>
  <c r="K14" i="13"/>
  <c r="H3" i="13"/>
  <c r="H4" i="13"/>
  <c r="H6" i="13"/>
  <c r="H8" i="13"/>
  <c r="H10" i="13"/>
  <c r="H12" i="13"/>
  <c r="H14" i="13"/>
  <c r="H16" i="13"/>
  <c r="K3" i="13"/>
  <c r="K6" i="13"/>
  <c r="K8" i="13"/>
  <c r="K10" i="13"/>
  <c r="K12" i="13"/>
  <c r="H13" i="11"/>
  <c r="J14" i="11"/>
  <c r="C36" i="11" s="1"/>
  <c r="H11" i="11"/>
  <c r="H3" i="11"/>
  <c r="E27" i="11"/>
  <c r="H8" i="11"/>
  <c r="H12" i="11"/>
  <c r="H16" i="11"/>
  <c r="E32" i="11"/>
  <c r="T15" i="11"/>
  <c r="Y15" i="11" s="1"/>
  <c r="E29" i="11"/>
  <c r="C35" i="11"/>
  <c r="K5" i="9"/>
  <c r="K7" i="9"/>
  <c r="K9" i="9"/>
  <c r="K11" i="9"/>
  <c r="K13" i="9"/>
  <c r="K15" i="9"/>
  <c r="S3" i="9"/>
  <c r="C25" i="9"/>
  <c r="C26" i="9"/>
  <c r="S4" i="9"/>
  <c r="C28" i="9"/>
  <c r="S6" i="9"/>
  <c r="C30" i="9"/>
  <c r="S8" i="9"/>
  <c r="C32" i="9"/>
  <c r="S10" i="9"/>
  <c r="C34" i="9"/>
  <c r="S12" i="9"/>
  <c r="C36" i="9"/>
  <c r="S14" i="9"/>
  <c r="C38" i="9"/>
  <c r="S16" i="9"/>
  <c r="H3" i="9"/>
  <c r="H4" i="9"/>
  <c r="J5" i="9"/>
  <c r="F25" i="9" a="1"/>
  <c r="F25" i="9"/>
  <c r="G24" i="9" a="1"/>
  <c r="G24" i="9"/>
  <c r="H6" i="9"/>
  <c r="J7" i="9"/>
  <c r="H8" i="9"/>
  <c r="J9" i="9"/>
  <c r="H10" i="9"/>
  <c r="J11" i="9"/>
  <c r="H12" i="9"/>
  <c r="J13" i="9"/>
  <c r="H14" i="9"/>
  <c r="J15" i="9"/>
  <c r="H16" i="9"/>
  <c r="K12" i="9"/>
  <c r="K14" i="9"/>
  <c r="K16" i="9"/>
  <c r="K3" i="9"/>
  <c r="K4" i="9"/>
  <c r="K6" i="9"/>
  <c r="K8" i="9"/>
  <c r="K10" i="9"/>
  <c r="J4" i="8"/>
  <c r="F26" i="8"/>
  <c r="S9" i="8"/>
  <c r="K10" i="8"/>
  <c r="J8" i="8"/>
  <c r="K15" i="8"/>
  <c r="K6" i="8"/>
  <c r="K11" i="8"/>
  <c r="K3" i="8"/>
  <c r="H3" i="8"/>
  <c r="H7" i="8"/>
  <c r="H11" i="8"/>
  <c r="K16" i="8"/>
  <c r="H5" i="8"/>
  <c r="H9" i="8"/>
  <c r="K4" i="8"/>
  <c r="H6" i="8"/>
  <c r="K8" i="8"/>
  <c r="H10" i="8"/>
  <c r="K12" i="8"/>
  <c r="J13" i="8"/>
  <c r="J14" i="8"/>
  <c r="S14" i="8"/>
  <c r="H15" i="8"/>
  <c r="J16" i="8"/>
  <c r="K5" i="8"/>
  <c r="K9" i="8"/>
  <c r="K13" i="8"/>
  <c r="S3" i="8"/>
  <c r="S5" i="8"/>
  <c r="S4" i="8"/>
  <c r="S12" i="8"/>
  <c r="X12" i="8"/>
  <c r="X9" i="8"/>
  <c r="C37" i="8"/>
  <c r="S15" i="8"/>
  <c r="C27" i="8"/>
  <c r="C31" i="8"/>
  <c r="S7" i="8"/>
  <c r="S11" i="8"/>
  <c r="C34" i="8"/>
  <c r="C25" i="8"/>
  <c r="S6" i="8"/>
  <c r="S10" i="8"/>
  <c r="J4" i="7"/>
  <c r="F26" i="7"/>
  <c r="J12" i="7"/>
  <c r="F34" i="7"/>
  <c r="J16" i="7"/>
  <c r="C38" i="7"/>
  <c r="J6" i="7"/>
  <c r="S6" i="7"/>
  <c r="J8" i="7"/>
  <c r="J14" i="7"/>
  <c r="J10" i="7"/>
  <c r="J5" i="7"/>
  <c r="F27" i="7"/>
  <c r="J7" i="7"/>
  <c r="F29" i="7"/>
  <c r="J9" i="7"/>
  <c r="F31" i="7"/>
  <c r="J11" i="7"/>
  <c r="F33" i="7"/>
  <c r="J13" i="7"/>
  <c r="F35" i="7"/>
  <c r="J15" i="7"/>
  <c r="F37" i="7"/>
  <c r="R3" i="6"/>
  <c r="J13" i="6"/>
  <c r="J5" i="6"/>
  <c r="J9" i="6"/>
  <c r="J12" i="6"/>
  <c r="J14" i="6"/>
  <c r="C33" i="6"/>
  <c r="R11" i="6"/>
  <c r="C37" i="6"/>
  <c r="R15" i="6"/>
  <c r="J7" i="6"/>
  <c r="J4" i="6"/>
  <c r="R7" i="6"/>
  <c r="J8" i="6"/>
  <c r="J11" i="6"/>
  <c r="J6" i="6"/>
  <c r="J10" i="6"/>
  <c r="R4" i="6"/>
  <c r="C26" i="6"/>
  <c r="R8" i="6"/>
  <c r="C30" i="6"/>
  <c r="R12" i="6"/>
  <c r="C34" i="6"/>
  <c r="C35" i="6"/>
  <c r="R13" i="6"/>
  <c r="C27" i="6"/>
  <c r="R5" i="6"/>
  <c r="C25" i="6"/>
  <c r="C31" i="6"/>
  <c r="R9" i="6"/>
  <c r="R16" i="6"/>
  <c r="C38" i="6"/>
  <c r="R6" i="6"/>
  <c r="R10" i="6"/>
  <c r="R14" i="6"/>
  <c r="V10" i="3"/>
  <c r="W10" i="3"/>
  <c r="Y10" i="3"/>
  <c r="R4" i="3"/>
  <c r="R8" i="3"/>
  <c r="R12" i="3"/>
  <c r="R16" i="3"/>
  <c r="W7" i="3"/>
  <c r="Y14" i="3"/>
  <c r="R5" i="3"/>
  <c r="R9" i="3"/>
  <c r="R13" i="3"/>
  <c r="W14" i="3"/>
  <c r="R6" i="3"/>
  <c r="R6" i="1"/>
  <c r="V6" i="1"/>
  <c r="J16" i="1"/>
  <c r="R10" i="1"/>
  <c r="V10" i="1"/>
  <c r="R9" i="1"/>
  <c r="V9" i="1"/>
  <c r="J11" i="3"/>
  <c r="R15" i="3"/>
  <c r="R3" i="3"/>
  <c r="V3" i="3"/>
  <c r="R11" i="3"/>
  <c r="V7" i="3"/>
  <c r="I7" i="4"/>
  <c r="R7" i="4"/>
  <c r="I14" i="4"/>
  <c r="I9" i="4"/>
  <c r="R9" i="4"/>
  <c r="I5" i="4"/>
  <c r="R5" i="4"/>
  <c r="R3" i="1"/>
  <c r="V3" i="1"/>
  <c r="C27" i="1"/>
  <c r="C38" i="1"/>
  <c r="R14" i="1"/>
  <c r="V14" i="1"/>
  <c r="C41" i="1"/>
  <c r="R17" i="1"/>
  <c r="V17" i="1"/>
  <c r="R13" i="1"/>
  <c r="V13" i="1"/>
  <c r="C37" i="1"/>
  <c r="C29" i="1"/>
  <c r="R5" i="1"/>
  <c r="V5" i="1"/>
  <c r="R15" i="1"/>
  <c r="V15" i="1"/>
  <c r="V7" i="1"/>
  <c r="C36" i="1"/>
  <c r="C28" i="1"/>
  <c r="R11" i="1"/>
  <c r="V11" i="1"/>
  <c r="C33" i="3"/>
  <c r="C40" i="1"/>
  <c r="C34" i="1"/>
  <c r="C30" i="1"/>
  <c r="C39" i="1"/>
  <c r="J7" i="4"/>
  <c r="J12" i="4"/>
  <c r="J14" i="4"/>
  <c r="J9" i="4"/>
  <c r="J5" i="4"/>
  <c r="J4" i="4"/>
  <c r="J11" i="4"/>
  <c r="J8" i="4"/>
  <c r="J10" i="4"/>
  <c r="J15" i="4"/>
  <c r="J16" i="4"/>
  <c r="J13" i="4"/>
  <c r="J6" i="4"/>
  <c r="J3" i="4"/>
  <c r="C30" i="4"/>
  <c r="C32" i="4"/>
  <c r="C34" i="4"/>
  <c r="C28" i="4"/>
  <c r="C26" i="4"/>
  <c r="C38" i="4"/>
  <c r="C35" i="4"/>
  <c r="C39" i="4"/>
  <c r="C25" i="4"/>
  <c r="C33" i="4"/>
  <c r="C37" i="4"/>
  <c r="J12" i="3"/>
  <c r="J7" i="3"/>
  <c r="J13" i="3"/>
  <c r="C35" i="3"/>
  <c r="J3" i="3"/>
  <c r="J4" i="3"/>
  <c r="J5" i="3"/>
  <c r="J15" i="3"/>
  <c r="C31" i="3"/>
  <c r="C29" i="3"/>
  <c r="C39" i="3"/>
  <c r="C37" i="3"/>
  <c r="J6" i="3"/>
  <c r="J14" i="3"/>
  <c r="J16" i="3"/>
  <c r="J8" i="3"/>
  <c r="C27" i="3"/>
  <c r="J9" i="3"/>
  <c r="J10" i="3"/>
  <c r="C32" i="3"/>
  <c r="C26" i="3"/>
  <c r="C34" i="3"/>
  <c r="C28" i="3"/>
  <c r="C36" i="3"/>
  <c r="C38" i="3"/>
  <c r="C40" i="3"/>
  <c r="C30" i="3"/>
  <c r="C31" i="1"/>
  <c r="R21" i="1"/>
  <c r="J17" i="1"/>
  <c r="J10" i="1"/>
  <c r="J6" i="1"/>
  <c r="J14" i="1"/>
  <c r="J7" i="1"/>
  <c r="J12" i="1"/>
  <c r="J4" i="1"/>
  <c r="J13" i="1"/>
  <c r="J5" i="1"/>
  <c r="J8" i="1"/>
  <c r="J9" i="1"/>
  <c r="J11" i="1"/>
  <c r="J3" i="1"/>
  <c r="C26" i="8"/>
  <c r="S13" i="8"/>
  <c r="X13" i="8"/>
  <c r="F35" i="8"/>
  <c r="S8" i="8"/>
  <c r="X8" i="8"/>
  <c r="F30" i="8"/>
  <c r="S16" i="8"/>
  <c r="X16" i="8"/>
  <c r="F38" i="8"/>
  <c r="C36" i="8"/>
  <c r="F36" i="8"/>
  <c r="C34" i="7"/>
  <c r="S12" i="7"/>
  <c r="X12" i="7"/>
  <c r="S8" i="7"/>
  <c r="X8" i="7"/>
  <c r="F30" i="7"/>
  <c r="S3" i="7"/>
  <c r="G43" i="7" s="1"/>
  <c r="F25" i="7"/>
  <c r="C25" i="7"/>
  <c r="S16" i="7"/>
  <c r="F38" i="7"/>
  <c r="C26" i="7"/>
  <c r="S4" i="7"/>
  <c r="C32" i="7"/>
  <c r="F32" i="7"/>
  <c r="C28" i="7"/>
  <c r="F28" i="7"/>
  <c r="S10" i="7"/>
  <c r="X10" i="7"/>
  <c r="C36" i="7"/>
  <c r="F36" i="7"/>
  <c r="W3" i="6"/>
  <c r="T20" i="6"/>
  <c r="T19" i="6"/>
  <c r="C27" i="15"/>
  <c r="Y5" i="15"/>
  <c r="AA7" i="15"/>
  <c r="X7" i="15"/>
  <c r="AA11" i="15"/>
  <c r="X11" i="15"/>
  <c r="C33" i="15"/>
  <c r="T12" i="15"/>
  <c r="Y12" i="15"/>
  <c r="T15" i="15"/>
  <c r="Y15" i="15"/>
  <c r="Y11" i="15"/>
  <c r="AA12" i="15"/>
  <c r="T16" i="15"/>
  <c r="AA10" i="15"/>
  <c r="AA15" i="15"/>
  <c r="Y10" i="15"/>
  <c r="Y8" i="15"/>
  <c r="X15" i="15"/>
  <c r="X5" i="15"/>
  <c r="AA9" i="15"/>
  <c r="X9" i="15"/>
  <c r="Y9" i="15"/>
  <c r="AA13" i="15"/>
  <c r="Y13" i="15"/>
  <c r="X13" i="15"/>
  <c r="X14" i="15"/>
  <c r="F25" i="15" a="1"/>
  <c r="F25" i="15"/>
  <c r="G24" i="15" a="1"/>
  <c r="G24" i="15"/>
  <c r="C31" i="15"/>
  <c r="AA8" i="15"/>
  <c r="AA14" i="15"/>
  <c r="T17" i="15"/>
  <c r="AA3" i="15"/>
  <c r="T18" i="15"/>
  <c r="X3" i="15"/>
  <c r="Y3" i="15"/>
  <c r="AA4" i="15"/>
  <c r="X4" i="15"/>
  <c r="Y4" i="15"/>
  <c r="AA6" i="15"/>
  <c r="X6" i="15"/>
  <c r="Y6" i="15"/>
  <c r="X6" i="14"/>
  <c r="Y8" i="14"/>
  <c r="AA11" i="14"/>
  <c r="T19" i="14"/>
  <c r="AA16" i="14"/>
  <c r="F25" i="14" a="1"/>
  <c r="F25" i="14"/>
  <c r="G24" i="14" a="1"/>
  <c r="G24" i="14"/>
  <c r="Y13" i="14"/>
  <c r="AA6" i="14"/>
  <c r="Y11" i="14"/>
  <c r="AA9" i="14"/>
  <c r="T10" i="14"/>
  <c r="Y4" i="14"/>
  <c r="X5" i="14"/>
  <c r="Y12" i="14"/>
  <c r="X8" i="14"/>
  <c r="AA12" i="14"/>
  <c r="X4" i="14"/>
  <c r="X9" i="14"/>
  <c r="Y5" i="14"/>
  <c r="Y15" i="14"/>
  <c r="AA7" i="14"/>
  <c r="X14" i="14"/>
  <c r="X7" i="14"/>
  <c r="Y16" i="14"/>
  <c r="X15" i="14"/>
  <c r="Y14" i="14"/>
  <c r="AA10" i="14"/>
  <c r="T17" i="14"/>
  <c r="AA3" i="14"/>
  <c r="T18" i="14"/>
  <c r="Y3" i="14"/>
  <c r="X3" i="14"/>
  <c r="T9" i="13"/>
  <c r="Y9" i="13"/>
  <c r="T5" i="13"/>
  <c r="X9" i="13"/>
  <c r="AA9" i="13"/>
  <c r="T15" i="13"/>
  <c r="F25" i="13" a="1"/>
  <c r="F25" i="13"/>
  <c r="G24" i="13" a="1"/>
  <c r="G24" i="13"/>
  <c r="T11" i="13"/>
  <c r="T7" i="13"/>
  <c r="T13" i="13"/>
  <c r="T19" i="13"/>
  <c r="AA10" i="13"/>
  <c r="Y10" i="13"/>
  <c r="X10" i="13"/>
  <c r="AA14" i="13"/>
  <c r="Y14" i="13"/>
  <c r="X14" i="13"/>
  <c r="AA16" i="13"/>
  <c r="Y16" i="13"/>
  <c r="X16" i="13"/>
  <c r="AA4" i="13"/>
  <c r="Y4" i="13"/>
  <c r="X4" i="13"/>
  <c r="AA12" i="13"/>
  <c r="Y12" i="13"/>
  <c r="X12" i="13"/>
  <c r="AA3" i="13"/>
  <c r="Y3" i="13"/>
  <c r="T18" i="13"/>
  <c r="X3" i="13"/>
  <c r="AA6" i="13"/>
  <c r="Y6" i="13"/>
  <c r="X6" i="13"/>
  <c r="AA8" i="13"/>
  <c r="Y8" i="13"/>
  <c r="X8" i="13"/>
  <c r="Y8" i="11"/>
  <c r="W16" i="9"/>
  <c r="W12" i="9"/>
  <c r="C35" i="9"/>
  <c r="S13" i="9"/>
  <c r="C31" i="9"/>
  <c r="S9" i="9"/>
  <c r="C27" i="9"/>
  <c r="S5" i="9"/>
  <c r="W8" i="9"/>
  <c r="W10" i="9"/>
  <c r="W4" i="9"/>
  <c r="W14" i="9"/>
  <c r="W6" i="9"/>
  <c r="S15" i="9"/>
  <c r="C37" i="9"/>
  <c r="S11" i="9"/>
  <c r="C33" i="9"/>
  <c r="S19" i="9"/>
  <c r="S7" i="9"/>
  <c r="C29" i="9"/>
  <c r="C30" i="8"/>
  <c r="C35" i="8"/>
  <c r="X3" i="8"/>
  <c r="C38" i="8"/>
  <c r="X5" i="8"/>
  <c r="X4" i="8"/>
  <c r="X7" i="8"/>
  <c r="X15" i="8"/>
  <c r="X6" i="8"/>
  <c r="X10" i="8"/>
  <c r="X14" i="8"/>
  <c r="X11" i="8"/>
  <c r="C30" i="7"/>
  <c r="S14" i="7"/>
  <c r="C37" i="7"/>
  <c r="S15" i="7"/>
  <c r="C29" i="7"/>
  <c r="S7" i="7"/>
  <c r="C35" i="7"/>
  <c r="S13" i="7"/>
  <c r="S5" i="7"/>
  <c r="C27" i="7"/>
  <c r="S9" i="7"/>
  <c r="C31" i="7"/>
  <c r="X6" i="7"/>
  <c r="C33" i="7"/>
  <c r="S11" i="7"/>
  <c r="W11" i="6"/>
  <c r="W15" i="6"/>
  <c r="W7" i="6"/>
  <c r="T18" i="6"/>
  <c r="T17" i="6"/>
  <c r="W13" i="6"/>
  <c r="W10" i="6"/>
  <c r="W16" i="6"/>
  <c r="W8" i="6"/>
  <c r="W9" i="6"/>
  <c r="W5" i="6"/>
  <c r="W14" i="6"/>
  <c r="W6" i="6"/>
  <c r="W12" i="6"/>
  <c r="W4" i="6"/>
  <c r="C29" i="4"/>
  <c r="C36" i="4"/>
  <c r="R14" i="4"/>
  <c r="V15" i="3"/>
  <c r="Y15" i="3"/>
  <c r="W15" i="3"/>
  <c r="V9" i="3"/>
  <c r="W9" i="3"/>
  <c r="Y9" i="3"/>
  <c r="V11" i="3"/>
  <c r="Y11" i="3"/>
  <c r="W11" i="3"/>
  <c r="V6" i="3"/>
  <c r="W6" i="3"/>
  <c r="Y6" i="3"/>
  <c r="V5" i="3"/>
  <c r="W5" i="3"/>
  <c r="Y5" i="3"/>
  <c r="V12" i="3"/>
  <c r="Y12" i="3"/>
  <c r="W12" i="3"/>
  <c r="V13" i="3"/>
  <c r="W13" i="3"/>
  <c r="Y13" i="3"/>
  <c r="V4" i="3"/>
  <c r="Y4" i="3"/>
  <c r="W4" i="3"/>
  <c r="X3" i="3"/>
  <c r="V16" i="3"/>
  <c r="Y16" i="3"/>
  <c r="W16" i="3"/>
  <c r="V8" i="3"/>
  <c r="Y8" i="3"/>
  <c r="W8" i="3"/>
  <c r="AA19" i="1"/>
  <c r="AA18" i="1"/>
  <c r="AA20" i="1"/>
  <c r="C31" i="4"/>
  <c r="C27" i="4"/>
  <c r="R17" i="4"/>
  <c r="R18" i="4"/>
  <c r="S4" i="4"/>
  <c r="R18" i="3"/>
  <c r="R17" i="3"/>
  <c r="R19" i="3"/>
  <c r="C33" i="1"/>
  <c r="C32" i="1"/>
  <c r="R20" i="1"/>
  <c r="S20" i="8"/>
  <c r="G24" i="8" a="1"/>
  <c r="G24" i="8"/>
  <c r="S17" i="8"/>
  <c r="S18" i="8"/>
  <c r="G24" i="7" a="1"/>
  <c r="G24" i="7" s="1"/>
  <c r="J24" i="7" s="1"/>
  <c r="X3" i="7"/>
  <c r="X16" i="7"/>
  <c r="X4" i="7"/>
  <c r="T3" i="6"/>
  <c r="U3" i="6"/>
  <c r="T7" i="6"/>
  <c r="T11" i="6"/>
  <c r="U11" i="6"/>
  <c r="T15" i="6"/>
  <c r="T5" i="6"/>
  <c r="T13" i="6"/>
  <c r="T6" i="6"/>
  <c r="U6" i="6"/>
  <c r="T10" i="6"/>
  <c r="T14" i="6"/>
  <c r="T4" i="6"/>
  <c r="T8" i="6"/>
  <c r="U8" i="6"/>
  <c r="T12" i="6"/>
  <c r="U12" i="6"/>
  <c r="T16" i="6"/>
  <c r="T9" i="6"/>
  <c r="T19" i="15"/>
  <c r="X12" i="15"/>
  <c r="AA16" i="15"/>
  <c r="Y16" i="15"/>
  <c r="X16" i="15"/>
  <c r="AB3" i="15"/>
  <c r="U16" i="15"/>
  <c r="V16" i="15"/>
  <c r="U14" i="15"/>
  <c r="V14" i="15"/>
  <c r="U12" i="15"/>
  <c r="V12" i="15"/>
  <c r="U10" i="15"/>
  <c r="V10" i="15"/>
  <c r="U8" i="15"/>
  <c r="V8" i="15"/>
  <c r="U6" i="15"/>
  <c r="V6" i="15"/>
  <c r="U4" i="15"/>
  <c r="V4" i="15"/>
  <c r="U3" i="15"/>
  <c r="V3" i="15"/>
  <c r="U15" i="15"/>
  <c r="V15" i="15"/>
  <c r="U13" i="15"/>
  <c r="V13" i="15"/>
  <c r="U11" i="15"/>
  <c r="V11" i="15"/>
  <c r="U9" i="15"/>
  <c r="V9" i="15"/>
  <c r="U7" i="15"/>
  <c r="V7" i="15"/>
  <c r="U5" i="15"/>
  <c r="V5" i="15"/>
  <c r="Z3" i="15"/>
  <c r="X10" i="14"/>
  <c r="Y10" i="14"/>
  <c r="AB3" i="14"/>
  <c r="Z3" i="14"/>
  <c r="U16" i="14"/>
  <c r="V16" i="14"/>
  <c r="U14" i="14"/>
  <c r="V14" i="14"/>
  <c r="U12" i="14"/>
  <c r="V12" i="14"/>
  <c r="U10" i="14"/>
  <c r="V10" i="14"/>
  <c r="U8" i="14"/>
  <c r="V8" i="14"/>
  <c r="U6" i="14"/>
  <c r="V6" i="14"/>
  <c r="U4" i="14"/>
  <c r="V4" i="14"/>
  <c r="U3" i="14"/>
  <c r="V3" i="14"/>
  <c r="U15" i="14"/>
  <c r="V15" i="14"/>
  <c r="U13" i="14"/>
  <c r="V13" i="14"/>
  <c r="U9" i="14"/>
  <c r="V9" i="14"/>
  <c r="U7" i="14"/>
  <c r="V7" i="14"/>
  <c r="U11" i="14"/>
  <c r="V11" i="14"/>
  <c r="U5" i="14"/>
  <c r="V5" i="14"/>
  <c r="AA5" i="13"/>
  <c r="X5" i="13"/>
  <c r="Y5" i="13"/>
  <c r="X7" i="13"/>
  <c r="Y7" i="13"/>
  <c r="AA7" i="13"/>
  <c r="X11" i="13"/>
  <c r="Y11" i="13"/>
  <c r="AA11" i="13"/>
  <c r="T17" i="13"/>
  <c r="Y13" i="13"/>
  <c r="X13" i="13"/>
  <c r="AA13" i="13"/>
  <c r="X15" i="13"/>
  <c r="Y15" i="13"/>
  <c r="AA15" i="13"/>
  <c r="U16" i="13"/>
  <c r="U14" i="13"/>
  <c r="U12" i="13"/>
  <c r="U10" i="13"/>
  <c r="U8" i="13"/>
  <c r="U6" i="13"/>
  <c r="V6" i="13"/>
  <c r="U4" i="13"/>
  <c r="U3" i="13"/>
  <c r="U15" i="13"/>
  <c r="U13" i="13"/>
  <c r="V13" i="13"/>
  <c r="U11" i="13"/>
  <c r="U9" i="13"/>
  <c r="U7" i="13"/>
  <c r="U5" i="13"/>
  <c r="V5" i="13"/>
  <c r="Z3" i="13"/>
  <c r="W5" i="9"/>
  <c r="S17" i="9"/>
  <c r="W11" i="9"/>
  <c r="S18" i="9"/>
  <c r="W9" i="9"/>
  <c r="W13" i="9"/>
  <c r="W7" i="9"/>
  <c r="W15" i="9"/>
  <c r="S19" i="8"/>
  <c r="S19" i="7"/>
  <c r="X14" i="7"/>
  <c r="X11" i="7"/>
  <c r="X13" i="7"/>
  <c r="X7" i="7"/>
  <c r="X5" i="7"/>
  <c r="S17" i="7"/>
  <c r="S18" i="7"/>
  <c r="U5" i="7" s="1"/>
  <c r="V5" i="7" s="1"/>
  <c r="X9" i="7"/>
  <c r="X15" i="7"/>
  <c r="U4" i="6"/>
  <c r="U15" i="6"/>
  <c r="U7" i="6"/>
  <c r="U14" i="6"/>
  <c r="U10" i="6"/>
  <c r="U13" i="6"/>
  <c r="U9" i="6"/>
  <c r="U5" i="6"/>
  <c r="U16" i="6"/>
  <c r="Z3" i="3"/>
  <c r="S9" i="4"/>
  <c r="T9" i="4"/>
  <c r="S13" i="4"/>
  <c r="T13" i="4"/>
  <c r="S12" i="4"/>
  <c r="T12" i="4"/>
  <c r="S7" i="4"/>
  <c r="T7" i="4"/>
  <c r="S3" i="4"/>
  <c r="T3" i="4"/>
  <c r="S10" i="4"/>
  <c r="T10" i="4"/>
  <c r="S15" i="4"/>
  <c r="T15" i="4"/>
  <c r="S5" i="4"/>
  <c r="T5" i="4"/>
  <c r="S6" i="4"/>
  <c r="T6" i="4"/>
  <c r="S14" i="4"/>
  <c r="T14" i="4"/>
  <c r="S11" i="4"/>
  <c r="T11" i="4"/>
  <c r="S8" i="4"/>
  <c r="T8" i="4"/>
  <c r="S16" i="4"/>
  <c r="T16" i="4"/>
  <c r="T4" i="4"/>
  <c r="S15" i="3"/>
  <c r="T15" i="3"/>
  <c r="S13" i="3"/>
  <c r="T13" i="3"/>
  <c r="S11" i="3"/>
  <c r="T11" i="3"/>
  <c r="S9" i="3"/>
  <c r="T9" i="3"/>
  <c r="S7" i="3"/>
  <c r="T7" i="3"/>
  <c r="S5" i="3"/>
  <c r="T5" i="3"/>
  <c r="S3" i="3"/>
  <c r="T3" i="3"/>
  <c r="S16" i="3"/>
  <c r="T16" i="3"/>
  <c r="S14" i="3"/>
  <c r="T14" i="3"/>
  <c r="S12" i="3"/>
  <c r="T12" i="3"/>
  <c r="S10" i="3"/>
  <c r="T10" i="3"/>
  <c r="S8" i="3"/>
  <c r="T8" i="3"/>
  <c r="S6" i="3"/>
  <c r="T6" i="3"/>
  <c r="S4" i="3"/>
  <c r="T4" i="3"/>
  <c r="R19" i="1"/>
  <c r="V11" i="8"/>
  <c r="U4" i="8"/>
  <c r="V4" i="8"/>
  <c r="U8" i="8"/>
  <c r="V8" i="8"/>
  <c r="U12" i="8"/>
  <c r="V12" i="8"/>
  <c r="U16" i="8"/>
  <c r="V16" i="8"/>
  <c r="U11" i="8"/>
  <c r="U5" i="8"/>
  <c r="V5" i="8"/>
  <c r="U9" i="8"/>
  <c r="V9" i="8"/>
  <c r="U13" i="8"/>
  <c r="V13" i="8"/>
  <c r="U3" i="8"/>
  <c r="U6" i="8"/>
  <c r="V6" i="8"/>
  <c r="U10" i="8"/>
  <c r="U14" i="8"/>
  <c r="V14" i="8"/>
  <c r="U7" i="8"/>
  <c r="V7" i="8"/>
  <c r="U15" i="8"/>
  <c r="V15" i="8"/>
  <c r="V10" i="8"/>
  <c r="V11" i="13"/>
  <c r="V4" i="13"/>
  <c r="V12" i="13"/>
  <c r="V14" i="13"/>
  <c r="AB3" i="13"/>
  <c r="V7" i="13"/>
  <c r="V15" i="13"/>
  <c r="V8" i="13"/>
  <c r="V16" i="13"/>
  <c r="V9" i="13"/>
  <c r="V3" i="13"/>
  <c r="V10" i="13"/>
  <c r="T16" i="9"/>
  <c r="U16" i="9"/>
  <c r="T14" i="9"/>
  <c r="U14" i="9"/>
  <c r="T12" i="9"/>
  <c r="U12" i="9"/>
  <c r="T10" i="9"/>
  <c r="U10" i="9"/>
  <c r="T8" i="9"/>
  <c r="U8" i="9"/>
  <c r="T6" i="9"/>
  <c r="U6" i="9"/>
  <c r="T4" i="9"/>
  <c r="U4" i="9"/>
  <c r="T3" i="9"/>
  <c r="T15" i="9"/>
  <c r="U15" i="9"/>
  <c r="T13" i="9"/>
  <c r="U13" i="9"/>
  <c r="T11" i="9"/>
  <c r="U11" i="9"/>
  <c r="T9" i="9"/>
  <c r="U9" i="9"/>
  <c r="T7" i="9"/>
  <c r="U7" i="9"/>
  <c r="T5" i="9"/>
  <c r="U5" i="9"/>
  <c r="V16" i="7"/>
  <c r="V8" i="7"/>
  <c r="S4" i="1"/>
  <c r="T4" i="1"/>
  <c r="S8" i="1"/>
  <c r="T8" i="1"/>
  <c r="S12" i="1"/>
  <c r="T12" i="1"/>
  <c r="S16" i="1"/>
  <c r="T16" i="1"/>
  <c r="S15" i="1"/>
  <c r="T15" i="1"/>
  <c r="S5" i="1"/>
  <c r="T5" i="1"/>
  <c r="S9" i="1"/>
  <c r="T9" i="1"/>
  <c r="S13" i="1"/>
  <c r="T13" i="1"/>
  <c r="S3" i="1"/>
  <c r="T3" i="1"/>
  <c r="S7" i="1"/>
  <c r="T7" i="1"/>
  <c r="S6" i="1"/>
  <c r="T6" i="1"/>
  <c r="S10" i="1"/>
  <c r="T10" i="1"/>
  <c r="S14" i="1"/>
  <c r="T14" i="1"/>
  <c r="S17" i="1"/>
  <c r="T17" i="1"/>
  <c r="S11" i="1"/>
  <c r="T11" i="1"/>
  <c r="T15" i="7" l="1"/>
  <c r="T3" i="7"/>
  <c r="F43" i="7"/>
  <c r="H43" i="7" s="1"/>
  <c r="U15" i="7"/>
  <c r="V15" i="7" s="1"/>
  <c r="U11" i="7"/>
  <c r="V11" i="7" s="1"/>
  <c r="U7" i="7"/>
  <c r="V7" i="7" s="1"/>
  <c r="S20" i="7"/>
  <c r="S23" i="7" s="1"/>
  <c r="S24" i="7" s="1"/>
  <c r="U14" i="7"/>
  <c r="V14" i="7" s="1"/>
  <c r="U10" i="7"/>
  <c r="V10" i="7" s="1"/>
  <c r="U6" i="7"/>
  <c r="V6" i="7" s="1"/>
  <c r="U3" i="7"/>
  <c r="V3" i="7" s="1"/>
  <c r="U13" i="7"/>
  <c r="V13" i="7" s="1"/>
  <c r="U9" i="7"/>
  <c r="V9" i="7" s="1"/>
  <c r="E52" i="11"/>
  <c r="T16" i="11"/>
  <c r="Y16" i="11" s="1"/>
  <c r="H7" i="11"/>
  <c r="K7" i="11"/>
  <c r="F43" i="11" s="1"/>
  <c r="H43" i="11" s="1"/>
  <c r="T12" i="11"/>
  <c r="X12" i="11" s="1"/>
  <c r="C52" i="11"/>
  <c r="E36" i="11"/>
  <c r="E34" i="11"/>
  <c r="J5" i="11"/>
  <c r="K4" i="11"/>
  <c r="E26" i="11"/>
  <c r="K6" i="11"/>
  <c r="F42" i="11" s="1"/>
  <c r="E28" i="11"/>
  <c r="K8" i="11"/>
  <c r="F44" i="11" s="1"/>
  <c r="H44" i="11" s="1"/>
  <c r="E30" i="11"/>
  <c r="AA15" i="11"/>
  <c r="X15" i="11"/>
  <c r="G51" i="11"/>
  <c r="H42" i="11"/>
  <c r="Y12" i="11"/>
  <c r="AA12" i="11"/>
  <c r="G48" i="11"/>
  <c r="E49" i="11"/>
  <c r="T13" i="11"/>
  <c r="C37" i="11"/>
  <c r="E51" i="11"/>
  <c r="H52" i="11"/>
  <c r="T3" i="11"/>
  <c r="C25" i="11"/>
  <c r="AA14" i="11"/>
  <c r="X14" i="11"/>
  <c r="G50" i="11"/>
  <c r="H45" i="11"/>
  <c r="C33" i="11"/>
  <c r="E47" i="11"/>
  <c r="T11" i="11"/>
  <c r="H49" i="11"/>
  <c r="AA16" i="11"/>
  <c r="X16" i="11"/>
  <c r="G52" i="11"/>
  <c r="X4" i="11"/>
  <c r="Y4" i="11"/>
  <c r="T7" i="11"/>
  <c r="C29" i="11"/>
  <c r="E43" i="11"/>
  <c r="AA8" i="11"/>
  <c r="X8" i="11"/>
  <c r="G44" i="11"/>
  <c r="H47" i="11"/>
  <c r="H48" i="11"/>
  <c r="H50" i="11"/>
  <c r="C44" i="11"/>
  <c r="E44" i="11"/>
  <c r="C38" i="11"/>
  <c r="C34" i="11"/>
  <c r="C30" i="11"/>
  <c r="C26" i="11"/>
  <c r="E37" i="11"/>
  <c r="J9" i="11"/>
  <c r="J10" i="11"/>
  <c r="H15" i="11"/>
  <c r="E48" i="11"/>
  <c r="T6" i="11"/>
  <c r="K10" i="11"/>
  <c r="F46" i="11" s="1"/>
  <c r="H46" i="11" s="1"/>
  <c r="E35" i="11"/>
  <c r="C42" i="11"/>
  <c r="E50" i="11"/>
  <c r="E42" i="11"/>
  <c r="K15" i="11"/>
  <c r="F51" i="11" s="1"/>
  <c r="H51" i="11" s="1"/>
  <c r="H41" i="8"/>
  <c r="T5" i="11" l="1"/>
  <c r="C27" i="11"/>
  <c r="AA3" i="11"/>
  <c r="X3" i="11"/>
  <c r="Y3" i="11"/>
  <c r="G49" i="11"/>
  <c r="Y13" i="11"/>
  <c r="X13" i="11"/>
  <c r="AA13" i="11"/>
  <c r="AA7" i="11"/>
  <c r="G43" i="11"/>
  <c r="X7" i="11"/>
  <c r="Y7" i="11"/>
  <c r="Y11" i="11"/>
  <c r="G47" i="11"/>
  <c r="X11" i="11"/>
  <c r="AA11" i="11"/>
  <c r="T10" i="11"/>
  <c r="C32" i="11"/>
  <c r="E46" i="11"/>
  <c r="G42" i="11"/>
  <c r="X6" i="11"/>
  <c r="Y6" i="11"/>
  <c r="AA6" i="11"/>
  <c r="E45" i="11"/>
  <c r="T9" i="11"/>
  <c r="C31" i="11"/>
  <c r="T19" i="11" s="1"/>
  <c r="F25" i="11" a="1"/>
  <c r="F25" i="11" s="1"/>
  <c r="G24" i="11" s="1" a="1"/>
  <c r="G24" i="11" s="1"/>
  <c r="X5" i="11" l="1"/>
  <c r="AA5" i="11"/>
  <c r="Y5" i="11"/>
  <c r="G45" i="11"/>
  <c r="Y9" i="11"/>
  <c r="AA9" i="11"/>
  <c r="X9" i="11"/>
  <c r="G46" i="11"/>
  <c r="Y10" i="11"/>
  <c r="X10" i="11"/>
  <c r="AA10" i="11"/>
  <c r="AB3" i="11" s="1"/>
  <c r="Z3" i="11"/>
  <c r="T17" i="11"/>
  <c r="T18" i="11"/>
  <c r="U14" i="11" l="1"/>
  <c r="V14" i="11" s="1"/>
  <c r="U10" i="11"/>
  <c r="V10" i="11" s="1"/>
  <c r="U6" i="11"/>
  <c r="V6" i="11" s="1"/>
  <c r="U3" i="11"/>
  <c r="V3" i="11" s="1"/>
  <c r="U13" i="11"/>
  <c r="V13" i="11" s="1"/>
  <c r="U9" i="11"/>
  <c r="V9" i="11" s="1"/>
  <c r="U5" i="11"/>
  <c r="V5" i="11" s="1"/>
  <c r="U4" i="11"/>
  <c r="V4" i="11" s="1"/>
  <c r="U16" i="11"/>
  <c r="V16" i="11" s="1"/>
  <c r="U15" i="11"/>
  <c r="V15" i="11" s="1"/>
  <c r="U7" i="11"/>
  <c r="V7" i="11" s="1"/>
  <c r="U12" i="11"/>
  <c r="V12" i="11" s="1"/>
  <c r="U11" i="11"/>
  <c r="V11" i="11" s="1"/>
  <c r="U8" i="11"/>
  <c r="V8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<sst xmlns="http://schemas.openxmlformats.org/spreadsheetml/2006/main" count="605" uniqueCount="90">
  <si>
    <t>F2</t>
  </si>
  <si>
    <t>MIN 7</t>
  </si>
  <si>
    <t>MAX 46</t>
  </si>
  <si>
    <t>Thickness (cm)</t>
  </si>
  <si>
    <t>Thickness (m)</t>
  </si>
  <si>
    <t>Initial Angle (Degrees)</t>
  </si>
  <si>
    <t>Final Angle (Degrees)</t>
  </si>
  <si>
    <t>Minimum Scale</t>
  </si>
  <si>
    <t>Uncertanty</t>
  </si>
  <si>
    <t>Difference (Degrees)</t>
  </si>
  <si>
    <t>Difference (rad)</t>
  </si>
  <si>
    <t>Relative Uncertanty</t>
  </si>
  <si>
    <t>Current (A)</t>
  </si>
  <si>
    <t>Magnetic Field (G)</t>
  </si>
  <si>
    <t>Magnetic Field (T)</t>
  </si>
  <si>
    <t>Verdett Constant</t>
  </si>
  <si>
    <t>Expected</t>
  </si>
  <si>
    <t xml:space="preserve">Error </t>
  </si>
  <si>
    <t>Error in cm</t>
  </si>
  <si>
    <t>Avg</t>
  </si>
  <si>
    <t>Correction</t>
  </si>
  <si>
    <t>Post-Correction</t>
  </si>
  <si>
    <t>STD</t>
  </si>
  <si>
    <t>Error</t>
  </si>
  <si>
    <t>R2</t>
  </si>
  <si>
    <t>FINAL</t>
  </si>
  <si>
    <t xml:space="preserve">Graficas </t>
  </si>
  <si>
    <t>Angle Difference (rad)</t>
  </si>
  <si>
    <t>F5</t>
  </si>
  <si>
    <t>MIN  7</t>
  </si>
  <si>
    <t xml:space="preserve">MAX </t>
  </si>
  <si>
    <t>Teoric</t>
  </si>
  <si>
    <t>Coefficiente</t>
  </si>
  <si>
    <t>Post Correction</t>
  </si>
  <si>
    <t>Coefficient</t>
  </si>
  <si>
    <t xml:space="preserve">R2 </t>
  </si>
  <si>
    <t xml:space="preserve"> </t>
  </si>
  <si>
    <t>SF5</t>
  </si>
  <si>
    <t>Uncertanty with STD</t>
  </si>
  <si>
    <t>N</t>
  </si>
  <si>
    <t>Ajuste Lineal</t>
  </si>
  <si>
    <t>X-Values</t>
  </si>
  <si>
    <t>Y-Values</t>
  </si>
  <si>
    <t>Estimacion</t>
  </si>
  <si>
    <t>Incer</t>
  </si>
  <si>
    <t>&amp;</t>
  </si>
  <si>
    <t>Corriente (A)</t>
  </si>
  <si>
    <t>Campo Magnético (T)</t>
  </si>
  <si>
    <t>Diferencia angular (rad)</t>
  </si>
  <si>
    <t>Bd (Tesla Meter)</t>
  </si>
  <si>
    <t>Error %</t>
  </si>
  <si>
    <t>Campo magnético (T)</t>
  </si>
  <si>
    <t>Diferencia Angular (rad)</t>
  </si>
  <si>
    <t>V (rad/Tm)</t>
  </si>
  <si>
    <t xml:space="preserve">MIN  </t>
  </si>
  <si>
    <t>Degrees (moa)</t>
  </si>
  <si>
    <t>Estimacion Lineal</t>
  </si>
  <si>
    <t>Statiscis</t>
  </si>
  <si>
    <t>Incerti</t>
  </si>
  <si>
    <t>%</t>
  </si>
  <si>
    <t>I</t>
  </si>
  <si>
    <t xml:space="preserve">I </t>
  </si>
  <si>
    <t>L</t>
  </si>
  <si>
    <t>ROJO</t>
  </si>
  <si>
    <t>Verdet Constant G</t>
  </si>
  <si>
    <t>E</t>
  </si>
  <si>
    <t>e</t>
  </si>
  <si>
    <t>me</t>
  </si>
  <si>
    <t>c</t>
  </si>
  <si>
    <t>lambda</t>
  </si>
  <si>
    <t>V - (moa/Gs cm)</t>
  </si>
  <si>
    <t xml:space="preserve">F2 </t>
  </si>
  <si>
    <t>Vc - SF5</t>
  </si>
  <si>
    <t>Vc - F2</t>
  </si>
  <si>
    <t>Verde - 546.1 nm</t>
  </si>
  <si>
    <t>Rojo - 632.8 nm</t>
  </si>
  <si>
    <t>x</t>
  </si>
  <si>
    <t>Láser Verde</t>
  </si>
  <si>
    <t>Láser rojo</t>
  </si>
  <si>
    <t>Láser verde</t>
  </si>
  <si>
    <t>V (moa)</t>
  </si>
  <si>
    <t>V(rad)</t>
  </si>
  <si>
    <t>Longitud de onda (nm)</t>
  </si>
  <si>
    <t>A</t>
  </si>
  <si>
    <t>Obtenidas</t>
  </si>
  <si>
    <t>F2404</t>
  </si>
  <si>
    <t>F2305</t>
  </si>
  <si>
    <t>SF5404</t>
  </si>
  <si>
    <t>SF5305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</si>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</sst>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Magnetic Field</a:t>
            </a:r>
            <a:r>
              <a:rPr lang="en-US" baseline="0"/>
              <a:t>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'F2-305'!$B$26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'F2-305'!$A$27:$A$41</c:f>
              <c:numCache>
                <c:formatCode>General</c:formatCode>
                <c:ptCount val="15"/>
                <c:pt idx="0">
                  <c:v>0.6</c:v>
                </c:pt>
                <c:pt idx="1">
                  <c:v>1.04</c:v>
                </c:pt>
                <c:pt idx="2">
                  <c:v>1.5</c:v>
                </c:pt>
                <c:pt idx="3">
                  <c:v>2.0499999999999998</c:v>
                </c:pt>
                <c:pt idx="4">
                  <c:v>2.52</c:v>
                </c:pt>
                <c:pt idx="5">
                  <c:v>3.01</c:v>
                </c:pt>
                <c:pt idx="6">
                  <c:v>3.51</c:v>
                </c:pt>
                <c:pt idx="7">
                  <c:v>4</c:v>
                </c:pt>
                <c:pt idx="8">
                  <c:v>4.53</c:v>
                </c:pt>
                <c:pt idx="9">
                  <c:v>5</c:v>
                </c:pt>
                <c:pt idx="10">
                  <c:v>5.49</c:v>
                </c:pt>
                <c:pt idx="11">
                  <c:v>6.04</c:v>
                </c:pt>
                <c:pt idx="12">
                  <c:v>6.53</c:v>
                </c:pt>
                <c:pt idx="13">
                  <c:v>7.05</c:v>
                </c:pt>
                <c:pt idx="14">
                  <c:v>7.32</c:v>
                </c:pt>
              </c:numCache>
            </c:numRef>
          </c:xVal>
          <c:yVal>
            <c:numRef>
              <c:f>'F2-305'!$B$27:$B$41</c:f>
              <c:numCache>
                <c:formatCode>General</c:formatCode>
                <c:ptCount val="15"/>
                <c:pt idx="0">
                  <c:v>4.6500000000000005E-3</c:v>
                </c:pt>
                <c:pt idx="1">
                  <c:v>7.9000000000000008E-3</c:v>
                </c:pt>
                <c:pt idx="2">
                  <c:v>1.14E-2</c:v>
                </c:pt>
                <c:pt idx="3">
                  <c:v>1.5800000000000002E-2</c:v>
                </c:pt>
                <c:pt idx="4">
                  <c:v>1.9200000000000002E-2</c:v>
                </c:pt>
                <c:pt idx="5">
                  <c:v>2.2800000000000001E-2</c:v>
                </c:pt>
                <c:pt idx="6">
                  <c:v>2.64E-2</c:v>
                </c:pt>
                <c:pt idx="7">
                  <c:v>3.0000000000000002E-2</c:v>
                </c:pt>
                <c:pt idx="8">
                  <c:v>3.4300000000000004E-2</c:v>
                </c:pt>
                <c:pt idx="9">
                  <c:v>3.7499999999999999E-2</c:v>
                </c:pt>
                <c:pt idx="10">
                  <c:v>4.1700000000000001E-2</c:v>
                </c:pt>
                <c:pt idx="11">
                  <c:v>4.5600000000000002E-2</c:v>
                </c:pt>
                <c:pt idx="12">
                  <c:v>4.87E-2</c:v>
                </c:pt>
                <c:pt idx="13">
                  <c:v>5.2700000000000004E-2</c:v>
                </c:pt>
                <c:pt idx="14">
                  <c:v>5.4400000000000004E-2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9-434B-8280-FF848A75D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Magnetic Field (T)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Angular</a:t>
            </a:r>
            <a:r>
              <a:rPr lang="es-MX" baseline="0"/>
              <a:t> difference vs  Magnetic Field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'F2-305'!$B$27:$B$41</c:f>
              <c:numCache>
                <c:formatCode>General</c:formatCode>
                <c:ptCount val="15"/>
                <c:pt idx="0">
                  <c:v>4.6500000000000005E-3</c:v>
                </c:pt>
                <c:pt idx="1">
                  <c:v>7.9000000000000008E-3</c:v>
                </c:pt>
                <c:pt idx="2">
                  <c:v>1.14E-2</c:v>
                </c:pt>
                <c:pt idx="3">
                  <c:v>1.5800000000000002E-2</c:v>
                </c:pt>
                <c:pt idx="4">
                  <c:v>1.9200000000000002E-2</c:v>
                </c:pt>
                <c:pt idx="5">
                  <c:v>2.2800000000000001E-2</c:v>
                </c:pt>
                <c:pt idx="6">
                  <c:v>2.64E-2</c:v>
                </c:pt>
                <c:pt idx="7">
                  <c:v>3.0000000000000002E-2</c:v>
                </c:pt>
                <c:pt idx="8">
                  <c:v>3.4300000000000004E-2</c:v>
                </c:pt>
                <c:pt idx="9">
                  <c:v>3.7499999999999999E-2</c:v>
                </c:pt>
                <c:pt idx="10">
                  <c:v>4.1700000000000001E-2</c:v>
                </c:pt>
                <c:pt idx="11">
                  <c:v>4.5600000000000002E-2</c:v>
                </c:pt>
                <c:pt idx="12">
                  <c:v>4.87E-2</c:v>
                </c:pt>
                <c:pt idx="13">
                  <c:v>5.2700000000000004E-2</c:v>
                </c:pt>
                <c:pt idx="14">
                  <c:v>5.4400000000000004E-2</c:v>
                </c:pt>
              </c:numCache>
            </c:numRef>
          </c:xVal>
          <c:yVal>
            <c:numRef>
              <c:f>'F2-305'!$C$27:$C$41</c:f>
              <c:numCache>
                <c:formatCode>General</c:formatCode>
                <c:ptCount val="15"/>
                <c:pt idx="0">
                  <c:v>1.7453292519943295E-2</c:v>
                </c:pt>
                <c:pt idx="1">
                  <c:v>3.4906585039886591E-2</c:v>
                </c:pt>
                <c:pt idx="2">
                  <c:v>5.235987755982989E-2</c:v>
                </c:pt>
                <c:pt idx="3">
                  <c:v>1.7453292519943295E-2</c:v>
                </c:pt>
                <c:pt idx="4">
                  <c:v>0</c:v>
                </c:pt>
                <c:pt idx="5">
                  <c:v>3.4906585039886591E-2</c:v>
                </c:pt>
                <c:pt idx="6">
                  <c:v>3.4906585039886591E-2</c:v>
                </c:pt>
                <c:pt idx="7">
                  <c:v>8.7266462599716474E-2</c:v>
                </c:pt>
                <c:pt idx="8">
                  <c:v>8.7266462599716474E-2</c:v>
                </c:pt>
                <c:pt idx="9">
                  <c:v>0.12217304763960307</c:v>
                </c:pt>
                <c:pt idx="10">
                  <c:v>0.15707963267948966</c:v>
                </c:pt>
                <c:pt idx="11">
                  <c:v>0.12217304763960307</c:v>
                </c:pt>
                <c:pt idx="12">
                  <c:v>0.12217304763960307</c:v>
                </c:pt>
                <c:pt idx="13">
                  <c:v>0.13962634015954636</c:v>
                </c:pt>
                <c:pt idx="14">
                  <c:v>0.12217304763960307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33-4A43-9508-B6E5DDCB5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9919"/>
        <c:axId val="1073107999"/>
      </c:scatterChart>
      <c:valAx>
        <c:axId val="107310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7999"/>
        <c:crosses val="autoZero"/>
        <c:crossBetween val="midCat"/>
      </c:valAx>
      <c:valAx>
        <c:axId val="107310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Magnetic Field</a:t>
            </a:r>
            <a:r>
              <a:rPr lang="en-US" baseline="0"/>
              <a:t>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'F5-305'!$B$25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'F5-305'!$A$26:$A$39</c:f>
              <c:numCache>
                <c:formatCode>General</c:formatCode>
                <c:ptCount val="14"/>
                <c:pt idx="0">
                  <c:v>1.02</c:v>
                </c:pt>
                <c:pt idx="1">
                  <c:v>1.53</c:v>
                </c:pt>
                <c:pt idx="2">
                  <c:v>1.99</c:v>
                </c:pt>
                <c:pt idx="3">
                  <c:v>2.5299999999999998</c:v>
                </c:pt>
                <c:pt idx="4">
                  <c:v>3.02</c:v>
                </c:pt>
                <c:pt idx="5">
                  <c:v>3.53</c:v>
                </c:pt>
                <c:pt idx="6">
                  <c:v>4.05</c:v>
                </c:pt>
                <c:pt idx="7">
                  <c:v>4.54</c:v>
                </c:pt>
                <c:pt idx="8">
                  <c:v>4.99</c:v>
                </c:pt>
                <c:pt idx="9">
                  <c:v>5.58</c:v>
                </c:pt>
                <c:pt idx="10">
                  <c:v>6.04</c:v>
                </c:pt>
                <c:pt idx="11">
                  <c:v>6.54</c:v>
                </c:pt>
                <c:pt idx="12">
                  <c:v>7</c:v>
                </c:pt>
                <c:pt idx="13">
                  <c:v>7.24</c:v>
                </c:pt>
              </c:numCache>
            </c:numRef>
          </c:xVal>
          <c:yVal>
            <c:numRef>
              <c:f>'F5-305'!$B$26:$B$39</c:f>
              <c:numCache>
                <c:formatCode>General</c:formatCode>
                <c:ptCount val="14"/>
                <c:pt idx="0">
                  <c:v>67.8</c:v>
                </c:pt>
                <c:pt idx="1">
                  <c:v>102</c:v>
                </c:pt>
                <c:pt idx="2">
                  <c:v>131</c:v>
                </c:pt>
                <c:pt idx="3">
                  <c:v>167</c:v>
                </c:pt>
                <c:pt idx="4">
                  <c:v>199</c:v>
                </c:pt>
                <c:pt idx="5">
                  <c:v>233</c:v>
                </c:pt>
                <c:pt idx="6">
                  <c:v>267</c:v>
                </c:pt>
                <c:pt idx="7">
                  <c:v>299</c:v>
                </c:pt>
                <c:pt idx="8">
                  <c:v>327</c:v>
                </c:pt>
                <c:pt idx="9">
                  <c:v>366</c:v>
                </c:pt>
                <c:pt idx="10">
                  <c:v>396</c:v>
                </c:pt>
                <c:pt idx="11">
                  <c:v>427</c:v>
                </c:pt>
                <c:pt idx="12">
                  <c:v>457</c:v>
                </c:pt>
                <c:pt idx="13">
                  <c:v>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9-49E7-AFDC-9BEE16FA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Magnetic Field (T)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'F5-305'!$C$25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'F5-305'!$B$26:$B$39</c:f>
              <c:numCache>
                <c:formatCode>General</c:formatCode>
                <c:ptCount val="14"/>
                <c:pt idx="0">
                  <c:v>67.8</c:v>
                </c:pt>
                <c:pt idx="1">
                  <c:v>102</c:v>
                </c:pt>
                <c:pt idx="2">
                  <c:v>131</c:v>
                </c:pt>
                <c:pt idx="3">
                  <c:v>167</c:v>
                </c:pt>
                <c:pt idx="4">
                  <c:v>199</c:v>
                </c:pt>
                <c:pt idx="5">
                  <c:v>233</c:v>
                </c:pt>
                <c:pt idx="6">
                  <c:v>267</c:v>
                </c:pt>
                <c:pt idx="7">
                  <c:v>299</c:v>
                </c:pt>
                <c:pt idx="8">
                  <c:v>327</c:v>
                </c:pt>
                <c:pt idx="9">
                  <c:v>366</c:v>
                </c:pt>
                <c:pt idx="10">
                  <c:v>396</c:v>
                </c:pt>
                <c:pt idx="11">
                  <c:v>427</c:v>
                </c:pt>
                <c:pt idx="12">
                  <c:v>457</c:v>
                </c:pt>
                <c:pt idx="13">
                  <c:v>471</c:v>
                </c:pt>
              </c:numCache>
            </c:numRef>
          </c:xVal>
          <c:yVal>
            <c:numRef>
              <c:f>'F5-305'!$C$26:$C$39</c:f>
              <c:numCache>
                <c:formatCode>General</c:formatCode>
                <c:ptCount val="14"/>
                <c:pt idx="0">
                  <c:v>0</c:v>
                </c:pt>
                <c:pt idx="1">
                  <c:v>1.7453292519943295E-2</c:v>
                </c:pt>
                <c:pt idx="2">
                  <c:v>1.9198621771937648E-2</c:v>
                </c:pt>
                <c:pt idx="3">
                  <c:v>6.7195176201781712E-2</c:v>
                </c:pt>
                <c:pt idx="4">
                  <c:v>8.0285145591739188E-2</c:v>
                </c:pt>
                <c:pt idx="5">
                  <c:v>0.10210176124166831</c:v>
                </c:pt>
                <c:pt idx="6">
                  <c:v>8.6393797973719363E-2</c:v>
                </c:pt>
                <c:pt idx="7">
                  <c:v>0.10646508437165413</c:v>
                </c:pt>
                <c:pt idx="8">
                  <c:v>0.12042771838760871</c:v>
                </c:pt>
                <c:pt idx="9">
                  <c:v>0.13439035240356342</c:v>
                </c:pt>
                <c:pt idx="10">
                  <c:v>0.15707963267948966</c:v>
                </c:pt>
                <c:pt idx="11">
                  <c:v>0.13613568165555764</c:v>
                </c:pt>
                <c:pt idx="12">
                  <c:v>0.11868238913561437</c:v>
                </c:pt>
                <c:pt idx="13">
                  <c:v>0.11868238913561437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D-4351-9362-3359DB0D2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99583"/>
        <c:axId val="539504511"/>
      </c:scatterChart>
      <c:valAx>
        <c:axId val="5368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04511"/>
        <c:crosses val="autoZero"/>
        <c:crossBetween val="midCat"/>
      </c:valAx>
      <c:valAx>
        <c:axId val="53950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9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Magnetic Field</a:t>
            </a:r>
            <a:r>
              <a:rPr lang="en-US" baseline="0"/>
              <a:t>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'F5-305 INVERSA'!$B$24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'F5-305 INVERSA'!$A$25:$A$38</c:f>
              <c:numCache>
                <c:formatCode>General</c:formatCode>
                <c:ptCount val="14"/>
                <c:pt idx="0">
                  <c:v>1.01</c:v>
                </c:pt>
                <c:pt idx="1">
                  <c:v>1.56</c:v>
                </c:pt>
                <c:pt idx="2">
                  <c:v>1.99</c:v>
                </c:pt>
                <c:pt idx="3">
                  <c:v>2.56</c:v>
                </c:pt>
                <c:pt idx="4">
                  <c:v>3</c:v>
                </c:pt>
                <c:pt idx="5">
                  <c:v>3.51</c:v>
                </c:pt>
                <c:pt idx="6">
                  <c:v>4.0199999999999996</c:v>
                </c:pt>
                <c:pt idx="7">
                  <c:v>4.5199999999999996</c:v>
                </c:pt>
                <c:pt idx="8">
                  <c:v>5.0199999999999996</c:v>
                </c:pt>
                <c:pt idx="9">
                  <c:v>5.54</c:v>
                </c:pt>
                <c:pt idx="10">
                  <c:v>6.08</c:v>
                </c:pt>
                <c:pt idx="11">
                  <c:v>6.51</c:v>
                </c:pt>
                <c:pt idx="12">
                  <c:v>7.02</c:v>
                </c:pt>
                <c:pt idx="13">
                  <c:v>7.12</c:v>
                </c:pt>
              </c:numCache>
            </c:numRef>
          </c:xVal>
          <c:yVal>
            <c:numRef>
              <c:f>'F5-305 INVERSA'!$B$25:$B$38</c:f>
              <c:numCache>
                <c:formatCode>General</c:formatCode>
                <c:ptCount val="14"/>
                <c:pt idx="0">
                  <c:v>49.9</c:v>
                </c:pt>
                <c:pt idx="1">
                  <c:v>77</c:v>
                </c:pt>
                <c:pt idx="2">
                  <c:v>97</c:v>
                </c:pt>
                <c:pt idx="3">
                  <c:v>124</c:v>
                </c:pt>
                <c:pt idx="4">
                  <c:v>146</c:v>
                </c:pt>
                <c:pt idx="5">
                  <c:v>171</c:v>
                </c:pt>
                <c:pt idx="6">
                  <c:v>195</c:v>
                </c:pt>
                <c:pt idx="7">
                  <c:v>219</c:v>
                </c:pt>
                <c:pt idx="8">
                  <c:v>243</c:v>
                </c:pt>
                <c:pt idx="9">
                  <c:v>268</c:v>
                </c:pt>
                <c:pt idx="10">
                  <c:v>293</c:v>
                </c:pt>
                <c:pt idx="11">
                  <c:v>313</c:v>
                </c:pt>
                <c:pt idx="12">
                  <c:v>337</c:v>
                </c:pt>
                <c:pt idx="13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1-45FB-A76B-4F764DFF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Magnetic Field (T)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'F5-305 INVERSA'!$C$24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'F5-305 INVERSA'!$B$25:$B$38</c:f>
              <c:numCache>
                <c:formatCode>General</c:formatCode>
                <c:ptCount val="14"/>
                <c:pt idx="0">
                  <c:v>49.9</c:v>
                </c:pt>
                <c:pt idx="1">
                  <c:v>77</c:v>
                </c:pt>
                <c:pt idx="2">
                  <c:v>97</c:v>
                </c:pt>
                <c:pt idx="3">
                  <c:v>124</c:v>
                </c:pt>
                <c:pt idx="4">
                  <c:v>146</c:v>
                </c:pt>
                <c:pt idx="5">
                  <c:v>171</c:v>
                </c:pt>
                <c:pt idx="6">
                  <c:v>195</c:v>
                </c:pt>
                <c:pt idx="7">
                  <c:v>219</c:v>
                </c:pt>
                <c:pt idx="8">
                  <c:v>243</c:v>
                </c:pt>
                <c:pt idx="9">
                  <c:v>268</c:v>
                </c:pt>
                <c:pt idx="10">
                  <c:v>293</c:v>
                </c:pt>
                <c:pt idx="11">
                  <c:v>313</c:v>
                </c:pt>
                <c:pt idx="12">
                  <c:v>337</c:v>
                </c:pt>
                <c:pt idx="13">
                  <c:v>341</c:v>
                </c:pt>
              </c:numCache>
            </c:numRef>
          </c:xVal>
          <c:yVal>
            <c:numRef>
              <c:f>'F5-305 INVERSA'!$C$25:$C$38</c:f>
              <c:numCache>
                <c:formatCode>General</c:formatCode>
                <c:ptCount val="14"/>
                <c:pt idx="0">
                  <c:v>6.1086523819801536E-2</c:v>
                </c:pt>
                <c:pt idx="1">
                  <c:v>6.8067840827778822E-2</c:v>
                </c:pt>
                <c:pt idx="2">
                  <c:v>6.9813170079773182E-2</c:v>
                </c:pt>
                <c:pt idx="3">
                  <c:v>9.2502450355699414E-2</c:v>
                </c:pt>
                <c:pt idx="4">
                  <c:v>0.10821041362364849</c:v>
                </c:pt>
                <c:pt idx="5">
                  <c:v>0.10471975511965978</c:v>
                </c:pt>
                <c:pt idx="6">
                  <c:v>0.137881010907552</c:v>
                </c:pt>
                <c:pt idx="7">
                  <c:v>0.12217304763960307</c:v>
                </c:pt>
                <c:pt idx="8">
                  <c:v>0.13613568165555764</c:v>
                </c:pt>
                <c:pt idx="9">
                  <c:v>0.13962634015954636</c:v>
                </c:pt>
                <c:pt idx="10">
                  <c:v>0.15707963267948966</c:v>
                </c:pt>
                <c:pt idx="11">
                  <c:v>0.15707963267948966</c:v>
                </c:pt>
                <c:pt idx="12">
                  <c:v>0.17278759594743859</c:v>
                </c:pt>
                <c:pt idx="13">
                  <c:v>0.17453292519943295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E-4233-B41D-553EED3A8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99583"/>
        <c:axId val="539504511"/>
      </c:scatterChart>
      <c:valAx>
        <c:axId val="5368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04511"/>
        <c:crosses val="autoZero"/>
        <c:crossBetween val="midCat"/>
      </c:valAx>
      <c:valAx>
        <c:axId val="53950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9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</a:t>
            </a:r>
            <a:r>
              <a:rPr lang="en-US" baseline="0"/>
              <a:t> vs Corriente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'V-SF5-305 Correcta'!$B$24</c:f>
              <c:strCache>
                <c:ptCount val="1"/>
                <c:pt idx="0">
                  <c:v>Campo Magnético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7426907267941286E-2"/>
                  <c:y val="-0.16372120151647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'V-SF5-305 Correcta'!$A$25:$A$38</c:f>
              <c:numCache>
                <c:formatCode>General</c:formatCode>
                <c:ptCount val="14"/>
                <c:pt idx="0">
                  <c:v>1.25</c:v>
                </c:pt>
                <c:pt idx="1">
                  <c:v>1.53</c:v>
                </c:pt>
                <c:pt idx="2">
                  <c:v>2.09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3.98</c:v>
                </c:pt>
                <c:pt idx="7">
                  <c:v>4.45</c:v>
                </c:pt>
                <c:pt idx="8">
                  <c:v>4.9800000000000004</c:v>
                </c:pt>
                <c:pt idx="9">
                  <c:v>5.51</c:v>
                </c:pt>
                <c:pt idx="10">
                  <c:v>6.01</c:v>
                </c:pt>
                <c:pt idx="11">
                  <c:v>6.43</c:v>
                </c:pt>
                <c:pt idx="12">
                  <c:v>7</c:v>
                </c:pt>
                <c:pt idx="13">
                  <c:v>7.46</c:v>
                </c:pt>
              </c:numCache>
            </c:numRef>
          </c:xVal>
          <c:yVal>
            <c:numRef>
              <c:f>'V-SF5-305 Correcta'!$B$25:$B$38</c:f>
              <c:numCache>
                <c:formatCode>0.00E+00</c:formatCode>
                <c:ptCount val="14"/>
                <c:pt idx="0">
                  <c:v>9.1900000000000009E-2</c:v>
                </c:pt>
                <c:pt idx="1">
                  <c:v>0.115</c:v>
                </c:pt>
                <c:pt idx="2">
                  <c:v>0.154</c:v>
                </c:pt>
                <c:pt idx="3">
                  <c:v>0.184</c:v>
                </c:pt>
                <c:pt idx="4">
                  <c:v>0.22</c:v>
                </c:pt>
                <c:pt idx="5">
                  <c:v>0.25459999999999999</c:v>
                </c:pt>
                <c:pt idx="6">
                  <c:v>0.28800000000000003</c:v>
                </c:pt>
                <c:pt idx="7">
                  <c:v>0.318</c:v>
                </c:pt>
                <c:pt idx="8">
                  <c:v>0.35600000000000004</c:v>
                </c:pt>
                <c:pt idx="9">
                  <c:v>0.39300000000000002</c:v>
                </c:pt>
                <c:pt idx="10">
                  <c:v>0.42600000000000005</c:v>
                </c:pt>
                <c:pt idx="11">
                  <c:v>0.45600000000000002</c:v>
                </c:pt>
                <c:pt idx="12">
                  <c:v>0.49400000000000005</c:v>
                </c:pt>
                <c:pt idx="13">
                  <c:v>0.52600000000000002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9-463D-858D-F9EF90B54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</a:t>
                </a:r>
                <a:r>
                  <a:rPr lang="es-MX" baseline="0"/>
                  <a:t> (A)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 magnético</a:t>
                </a:r>
                <a:r>
                  <a:rPr lang="es-MX" baseline="0"/>
                  <a:t>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 - SF5</a:t>
            </a:r>
            <a:r>
              <a:rPr lang="en-US" baseline="0"/>
              <a:t> - 3.05 cm</a:t>
            </a:r>
            <a:endParaRPr lang="en-US"/>
          </a:p>
        </c:rich>
      </c:tx>
      <c:layout>
        <c:manualLayout>
          <c:xMode val="edge"/>
          <c:yMode val="edge"/>
          <c:x val="0.3908541119860017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'V-SF5-305 Correcta'!$F$23:$F$24</c:f>
              <c:strCache>
                <c:ptCount val="2"/>
                <c:pt idx="0">
                  <c:v>Y-Values</c:v>
                </c:pt>
                <c:pt idx="1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95370078740156"/>
                  <c:y val="-0.16729476523767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'V-SF5-305 Correcta'!$E$25:$E$38</c:f>
              <c:numCache>
                <c:formatCode>General</c:formatCode>
                <c:ptCount val="14"/>
                <c:pt idx="0">
                  <c:v>2.8029500000000002E-3</c:v>
                </c:pt>
                <c:pt idx="1">
                  <c:v>3.5075000000000002E-3</c:v>
                </c:pt>
                <c:pt idx="2">
                  <c:v>4.6969999999999998E-3</c:v>
                </c:pt>
                <c:pt idx="3">
                  <c:v>5.6119999999999998E-3</c:v>
                </c:pt>
                <c:pt idx="4">
                  <c:v>6.7099999999999998E-3</c:v>
                </c:pt>
                <c:pt idx="5">
                  <c:v>7.7652999999999993E-3</c:v>
                </c:pt>
                <c:pt idx="6">
                  <c:v>8.7840000000000001E-3</c:v>
                </c:pt>
                <c:pt idx="7">
                  <c:v>9.6989999999999993E-3</c:v>
                </c:pt>
                <c:pt idx="8">
                  <c:v>1.0858000000000001E-2</c:v>
                </c:pt>
                <c:pt idx="9">
                  <c:v>1.1986500000000001E-2</c:v>
                </c:pt>
                <c:pt idx="10">
                  <c:v>1.2993000000000001E-2</c:v>
                </c:pt>
                <c:pt idx="11">
                  <c:v>1.3908E-2</c:v>
                </c:pt>
                <c:pt idx="12">
                  <c:v>1.5067000000000001E-2</c:v>
                </c:pt>
                <c:pt idx="13">
                  <c:v>1.6043000000000002E-2</c:v>
                </c:pt>
              </c:numCache>
            </c:numRef>
          </c:xVal>
          <c:yVal>
            <c:numRef>
              <c:f>'V-SF5-305 Correcta'!$F$25:$F$38</c:f>
              <c:numCache>
                <c:formatCode>General</c:formatCode>
                <c:ptCount val="14"/>
                <c:pt idx="0">
                  <c:v>2.9670597283903602E-2</c:v>
                </c:pt>
                <c:pt idx="1">
                  <c:v>3.4906585039886591E-2</c:v>
                </c:pt>
                <c:pt idx="2">
                  <c:v>4.8869219055841226E-2</c:v>
                </c:pt>
                <c:pt idx="3">
                  <c:v>5.235987755982989E-2</c:v>
                </c:pt>
                <c:pt idx="4">
                  <c:v>6.806784082777885E-2</c:v>
                </c:pt>
                <c:pt idx="5">
                  <c:v>8.5521133347722156E-2</c:v>
                </c:pt>
                <c:pt idx="6">
                  <c:v>9.4247779607693802E-2</c:v>
                </c:pt>
                <c:pt idx="7">
                  <c:v>0.10821041362364842</c:v>
                </c:pt>
                <c:pt idx="8">
                  <c:v>0.11170107212763709</c:v>
                </c:pt>
                <c:pt idx="9">
                  <c:v>0.1291543646475804</c:v>
                </c:pt>
                <c:pt idx="10">
                  <c:v>0.12042771838760874</c:v>
                </c:pt>
                <c:pt idx="11">
                  <c:v>0.15533430342749532</c:v>
                </c:pt>
                <c:pt idx="12">
                  <c:v>0.16580627893946132</c:v>
                </c:pt>
                <c:pt idx="13">
                  <c:v>0.16406094968746698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4-4A30-BEE2-51A6CF848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74752"/>
        <c:axId val="738185792"/>
      </c:scatterChart>
      <c:valAx>
        <c:axId val="7381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5792"/>
        <c:crosses val="autoZero"/>
        <c:crossBetween val="midCat"/>
      </c:valAx>
      <c:valAx>
        <c:axId val="7381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</a:t>
                </a:r>
                <a:r>
                  <a:rPr lang="es-MX" baseline="0"/>
                  <a:t> angular (rad)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</a:t>
            </a:r>
            <a:r>
              <a:rPr lang="en-US" baseline="0"/>
              <a:t>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'V-SF5-404 Correcta 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0358244693097573E-3"/>
                  <c:y val="-0.15886118401866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'V-SF5-404 Correcta '!$A$25:$A$38</c:f>
              <c:numCache>
                <c:formatCode>General</c:formatCode>
                <c:ptCount val="14"/>
                <c:pt idx="0">
                  <c:v>1.17</c:v>
                </c:pt>
                <c:pt idx="1">
                  <c:v>1.5</c:v>
                </c:pt>
                <c:pt idx="2">
                  <c:v>2.04</c:v>
                </c:pt>
                <c:pt idx="3">
                  <c:v>2.5299999999999998</c:v>
                </c:pt>
                <c:pt idx="4">
                  <c:v>2.96</c:v>
                </c:pt>
                <c:pt idx="5">
                  <c:v>3.52</c:v>
                </c:pt>
                <c:pt idx="6">
                  <c:v>4.08</c:v>
                </c:pt>
                <c:pt idx="7">
                  <c:v>4.49</c:v>
                </c:pt>
                <c:pt idx="8">
                  <c:v>5.0199999999999996</c:v>
                </c:pt>
                <c:pt idx="9">
                  <c:v>5.52</c:v>
                </c:pt>
                <c:pt idx="10">
                  <c:v>6</c:v>
                </c:pt>
                <c:pt idx="11">
                  <c:v>6.51</c:v>
                </c:pt>
                <c:pt idx="12">
                  <c:v>7.01</c:v>
                </c:pt>
                <c:pt idx="13">
                  <c:v>7.34</c:v>
                </c:pt>
              </c:numCache>
            </c:numRef>
          </c:xVal>
          <c:yVal>
            <c:numRef>
              <c:f>'V-SF5-404 Correcta '!$B$25:$B$38</c:f>
              <c:numCache>
                <c:formatCode>General</c:formatCode>
                <c:ptCount val="14"/>
                <c:pt idx="0">
                  <c:v>8.900000000000001E-2</c:v>
                </c:pt>
                <c:pt idx="1">
                  <c:v>0.113</c:v>
                </c:pt>
                <c:pt idx="2">
                  <c:v>0.151</c:v>
                </c:pt>
                <c:pt idx="3">
                  <c:v>0.185</c:v>
                </c:pt>
                <c:pt idx="4">
                  <c:v>0.218</c:v>
                </c:pt>
                <c:pt idx="5">
                  <c:v>0.255</c:v>
                </c:pt>
                <c:pt idx="6">
                  <c:v>0.29400000000000004</c:v>
                </c:pt>
                <c:pt idx="7">
                  <c:v>0.32200000000000001</c:v>
                </c:pt>
                <c:pt idx="8">
                  <c:v>0.35900000000000004</c:v>
                </c:pt>
                <c:pt idx="9">
                  <c:v>0.39300000000000002</c:v>
                </c:pt>
                <c:pt idx="10">
                  <c:v>0.42600000000000005</c:v>
                </c:pt>
                <c:pt idx="11">
                  <c:v>0.46100000000000002</c:v>
                </c:pt>
                <c:pt idx="12">
                  <c:v>0.49400000000000005</c:v>
                </c:pt>
                <c:pt idx="13">
                  <c:v>0.51800000000000002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8-4C0C-B567-4375379A7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 magnético (T)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 - SF5 - 4.04</a:t>
            </a:r>
            <a:r>
              <a:rPr lang="en-US" baseline="0"/>
              <a:t> 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'V-SF5-404 Correcta 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74431321084864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'V-SF5-404 Correcta '!$E$25:$E$38</c:f>
              <c:numCache>
                <c:formatCode>General</c:formatCode>
                <c:ptCount val="14"/>
                <c:pt idx="0">
                  <c:v>3.5956000000000004E-3</c:v>
                </c:pt>
                <c:pt idx="1">
                  <c:v>4.5652000000000002E-3</c:v>
                </c:pt>
                <c:pt idx="2">
                  <c:v>6.1003999999999997E-3</c:v>
                </c:pt>
                <c:pt idx="3">
                  <c:v>7.4739999999999997E-3</c:v>
                </c:pt>
                <c:pt idx="4">
                  <c:v>8.8071999999999994E-3</c:v>
                </c:pt>
                <c:pt idx="5">
                  <c:v>1.0302E-2</c:v>
                </c:pt>
                <c:pt idx="6">
                  <c:v>1.18776E-2</c:v>
                </c:pt>
                <c:pt idx="7">
                  <c:v>1.3008799999999999E-2</c:v>
                </c:pt>
                <c:pt idx="8">
                  <c:v>1.4503600000000002E-2</c:v>
                </c:pt>
                <c:pt idx="9">
                  <c:v>1.5877200000000001E-2</c:v>
                </c:pt>
                <c:pt idx="10">
                  <c:v>1.7210400000000001E-2</c:v>
                </c:pt>
                <c:pt idx="11">
                  <c:v>1.8624399999999999E-2</c:v>
                </c:pt>
                <c:pt idx="12">
                  <c:v>1.9957600000000002E-2</c:v>
                </c:pt>
                <c:pt idx="13">
                  <c:v>2.09272E-2</c:v>
                </c:pt>
              </c:numCache>
            </c:numRef>
          </c:xVal>
          <c:yVal>
            <c:numRef>
              <c:f>'V-SF5-404 Correcta '!$F$25:$F$38</c:f>
              <c:numCache>
                <c:formatCode>General</c:formatCode>
                <c:ptCount val="14"/>
                <c:pt idx="0">
                  <c:v>5.4105206811824215E-2</c:v>
                </c:pt>
                <c:pt idx="1">
                  <c:v>6.806784082777885E-2</c:v>
                </c:pt>
                <c:pt idx="2">
                  <c:v>8.5521133347722156E-2</c:v>
                </c:pt>
                <c:pt idx="3">
                  <c:v>9.9483767363676784E-2</c:v>
                </c:pt>
                <c:pt idx="4">
                  <c:v>0.12042771838760874</c:v>
                </c:pt>
                <c:pt idx="5">
                  <c:v>0.12566370614359174</c:v>
                </c:pt>
                <c:pt idx="6">
                  <c:v>0.143116998663535</c:v>
                </c:pt>
                <c:pt idx="7">
                  <c:v>0.15358897417550102</c:v>
                </c:pt>
                <c:pt idx="8">
                  <c:v>0.16929693744344995</c:v>
                </c:pt>
                <c:pt idx="9">
                  <c:v>0.17627825445142728</c:v>
                </c:pt>
                <c:pt idx="10">
                  <c:v>0.19024088846738194</c:v>
                </c:pt>
                <c:pt idx="11">
                  <c:v>0.20245819323134223</c:v>
                </c:pt>
                <c:pt idx="12">
                  <c:v>0.20943951023931956</c:v>
                </c:pt>
                <c:pt idx="13">
                  <c:v>0.21991148575128552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9-4302-BE7A-64C8E75DB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4832"/>
        <c:axId val="738171872"/>
      </c:scatterChart>
      <c:valAx>
        <c:axId val="73818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1872"/>
        <c:crosses val="autoZero"/>
        <c:crossBetween val="midCat"/>
      </c:valAx>
      <c:valAx>
        <c:axId val="7381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</a:t>
            </a:r>
            <a:r>
              <a:rPr lang="en-US" baseline="0"/>
              <a:t>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 - F2-305 Correcta'!$B$24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9217161251972692E-3"/>
                  <c:y val="-0.157991396908719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 - F2-305 Correcta'!$A$25:$A$38</c:f>
              <c:numCache>
                <c:formatCode>General</c:formatCode>
                <c:ptCount val="14"/>
                <c:pt idx="0">
                  <c:v>1.1499999999999999</c:v>
                </c:pt>
                <c:pt idx="1">
                  <c:v>1.5</c:v>
                </c:pt>
                <c:pt idx="2">
                  <c:v>1.99</c:v>
                </c:pt>
                <c:pt idx="3">
                  <c:v>2.5299999999999998</c:v>
                </c:pt>
                <c:pt idx="4">
                  <c:v>3.05</c:v>
                </c:pt>
                <c:pt idx="5">
                  <c:v>3.49</c:v>
                </c:pt>
                <c:pt idx="6">
                  <c:v>4.07</c:v>
                </c:pt>
                <c:pt idx="7">
                  <c:v>4.53</c:v>
                </c:pt>
                <c:pt idx="8">
                  <c:v>5.04</c:v>
                </c:pt>
                <c:pt idx="9">
                  <c:v>5.5</c:v>
                </c:pt>
                <c:pt idx="10">
                  <c:v>6.01</c:v>
                </c:pt>
                <c:pt idx="11">
                  <c:v>6.52</c:v>
                </c:pt>
                <c:pt idx="12">
                  <c:v>7.02</c:v>
                </c:pt>
                <c:pt idx="13">
                  <c:v>7.31</c:v>
                </c:pt>
              </c:numCache>
            </c:numRef>
          </c:xVal>
          <c:yVal>
            <c:numRef>
              <c:f>'V - F2-305 Correcta'!$B$25:$B$38</c:f>
              <c:numCache>
                <c:formatCode>General</c:formatCode>
                <c:ptCount val="14"/>
                <c:pt idx="0">
                  <c:v>8.7000000000000008E-2</c:v>
                </c:pt>
                <c:pt idx="1">
                  <c:v>0.113</c:v>
                </c:pt>
                <c:pt idx="2">
                  <c:v>0.14700000000000002</c:v>
                </c:pt>
                <c:pt idx="3">
                  <c:v>0.186</c:v>
                </c:pt>
                <c:pt idx="4">
                  <c:v>0.222</c:v>
                </c:pt>
                <c:pt idx="5">
                  <c:v>0.253</c:v>
                </c:pt>
                <c:pt idx="6">
                  <c:v>0.29300000000000004</c:v>
                </c:pt>
                <c:pt idx="7">
                  <c:v>0.32600000000000001</c:v>
                </c:pt>
                <c:pt idx="8">
                  <c:v>0.36000000000000004</c:v>
                </c:pt>
                <c:pt idx="9">
                  <c:v>0.39200000000000002</c:v>
                </c:pt>
                <c:pt idx="10">
                  <c:v>0.42500000000000004</c:v>
                </c:pt>
                <c:pt idx="11">
                  <c:v>0.46</c:v>
                </c:pt>
                <c:pt idx="12">
                  <c:v>0.49400000000000005</c:v>
                </c:pt>
                <c:pt idx="13">
                  <c:v>0.51200000000000001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6-4F52-9BB7-FF0732F9F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</a:t>
                </a:r>
                <a:r>
                  <a:rPr lang="es-MX" baseline="0"/>
                  <a:t> magnético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</a:t>
            </a:r>
            <a:r>
              <a:rPr lang="en-US" baseline="0"/>
              <a:t> - </a:t>
            </a:r>
            <a:r>
              <a:rPr lang="en-US"/>
              <a:t>F2 - 3.05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 - F2-305 Correcta'!$F$24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482283464566933E-2"/>
                  <c:y val="-0.2024015748031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 - F2-305 Correcta'!$E$25:$E$38</c:f>
              <c:numCache>
                <c:formatCode>General</c:formatCode>
                <c:ptCount val="14"/>
                <c:pt idx="0">
                  <c:v>2.6535E-3</c:v>
                </c:pt>
                <c:pt idx="1">
                  <c:v>3.4464999999999999E-3</c:v>
                </c:pt>
                <c:pt idx="2">
                  <c:v>4.4835000000000005E-3</c:v>
                </c:pt>
                <c:pt idx="3">
                  <c:v>5.6730000000000001E-3</c:v>
                </c:pt>
                <c:pt idx="4">
                  <c:v>6.7710000000000001E-3</c:v>
                </c:pt>
                <c:pt idx="5">
                  <c:v>7.7165000000000003E-3</c:v>
                </c:pt>
                <c:pt idx="6">
                  <c:v>8.9365000000000017E-3</c:v>
                </c:pt>
                <c:pt idx="7">
                  <c:v>9.9430000000000004E-3</c:v>
                </c:pt>
                <c:pt idx="8">
                  <c:v>1.0980000000000002E-2</c:v>
                </c:pt>
                <c:pt idx="9">
                  <c:v>1.1956E-2</c:v>
                </c:pt>
                <c:pt idx="10">
                  <c:v>1.2962500000000002E-2</c:v>
                </c:pt>
                <c:pt idx="11">
                  <c:v>1.4030000000000001E-2</c:v>
                </c:pt>
                <c:pt idx="12">
                  <c:v>1.5067000000000001E-2</c:v>
                </c:pt>
                <c:pt idx="13">
                  <c:v>1.5616E-2</c:v>
                </c:pt>
              </c:numCache>
            </c:numRef>
          </c:xVal>
          <c:yVal>
            <c:numRef>
              <c:f>'V - F2-305 Correcta'!$F$25:$F$38</c:f>
              <c:numCache>
                <c:formatCode>General</c:formatCode>
                <c:ptCount val="14"/>
                <c:pt idx="0">
                  <c:v>4.3633231299858237E-2</c:v>
                </c:pt>
                <c:pt idx="1">
                  <c:v>5.7595865315812872E-2</c:v>
                </c:pt>
                <c:pt idx="2">
                  <c:v>7.5049157835756164E-2</c:v>
                </c:pt>
                <c:pt idx="3">
                  <c:v>8.9011791851710806E-2</c:v>
                </c:pt>
                <c:pt idx="4">
                  <c:v>0.11170107212763709</c:v>
                </c:pt>
                <c:pt idx="5">
                  <c:v>0.12740903539558607</c:v>
                </c:pt>
                <c:pt idx="6">
                  <c:v>0.1413716694115407</c:v>
                </c:pt>
                <c:pt idx="7">
                  <c:v>0.15009831567151233</c:v>
                </c:pt>
                <c:pt idx="8">
                  <c:v>0.15882496193148399</c:v>
                </c:pt>
                <c:pt idx="9">
                  <c:v>0.16231562043547265</c:v>
                </c:pt>
                <c:pt idx="10">
                  <c:v>0.17278759594743864</c:v>
                </c:pt>
                <c:pt idx="11">
                  <c:v>0.17627825445142728</c:v>
                </c:pt>
                <c:pt idx="12">
                  <c:v>0.18500490071139894</c:v>
                </c:pt>
                <c:pt idx="13">
                  <c:v>0.19198621771937624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8-409B-9988-48F81930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98272"/>
        <c:axId val="738173792"/>
      </c:scatterChart>
      <c:valAx>
        <c:axId val="73819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3792"/>
        <c:crosses val="autoZero"/>
        <c:crossBetween val="midCat"/>
      </c:valAx>
      <c:valAx>
        <c:axId val="7381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</a:t>
                </a:r>
                <a:r>
                  <a:rPr lang="es-MX" baseline="0"/>
                  <a:t> (rad)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9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 vs Corriente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 - F2-404 Correcta 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330485650078058E-2"/>
                  <c:y val="-0.16627843394575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 - F2-404 Correcta '!$A$25:$A$38</c:f>
              <c:numCache>
                <c:formatCode>General</c:formatCode>
                <c:ptCount val="14"/>
                <c:pt idx="0">
                  <c:v>1.1000000000000001</c:v>
                </c:pt>
                <c:pt idx="1">
                  <c:v>1.47</c:v>
                </c:pt>
                <c:pt idx="2">
                  <c:v>2.04</c:v>
                </c:pt>
                <c:pt idx="3">
                  <c:v>2.5299999999999998</c:v>
                </c:pt>
                <c:pt idx="4">
                  <c:v>3</c:v>
                </c:pt>
                <c:pt idx="5">
                  <c:v>3.49</c:v>
                </c:pt>
                <c:pt idx="6">
                  <c:v>4</c:v>
                </c:pt>
                <c:pt idx="7">
                  <c:v>4.53</c:v>
                </c:pt>
                <c:pt idx="8">
                  <c:v>5.05</c:v>
                </c:pt>
                <c:pt idx="9">
                  <c:v>5.53</c:v>
                </c:pt>
                <c:pt idx="10">
                  <c:v>5.98</c:v>
                </c:pt>
                <c:pt idx="11">
                  <c:v>6.54</c:v>
                </c:pt>
                <c:pt idx="12">
                  <c:v>6.92</c:v>
                </c:pt>
                <c:pt idx="13">
                  <c:v>7.15</c:v>
                </c:pt>
              </c:numCache>
            </c:numRef>
          </c:xVal>
          <c:yVal>
            <c:numRef>
              <c:f>'V - F2-404 Correcta '!$B$25:$B$38</c:f>
              <c:numCache>
                <c:formatCode>General</c:formatCode>
                <c:ptCount val="14"/>
                <c:pt idx="0">
                  <c:v>0.08</c:v>
                </c:pt>
                <c:pt idx="1">
                  <c:v>0.11</c:v>
                </c:pt>
                <c:pt idx="2">
                  <c:v>0.151</c:v>
                </c:pt>
                <c:pt idx="3">
                  <c:v>0.188</c:v>
                </c:pt>
                <c:pt idx="4">
                  <c:v>0.219</c:v>
                </c:pt>
                <c:pt idx="5">
                  <c:v>0.255</c:v>
                </c:pt>
                <c:pt idx="6">
                  <c:v>0.28900000000000003</c:v>
                </c:pt>
                <c:pt idx="7">
                  <c:v>0.32600000000000001</c:v>
                </c:pt>
                <c:pt idx="8">
                  <c:v>0.36100000000000004</c:v>
                </c:pt>
                <c:pt idx="9">
                  <c:v>0.39500000000000002</c:v>
                </c:pt>
                <c:pt idx="10">
                  <c:v>0.42600000000000005</c:v>
                </c:pt>
                <c:pt idx="11">
                  <c:v>0.46300000000000002</c:v>
                </c:pt>
                <c:pt idx="12">
                  <c:v>0.48900000000000005</c:v>
                </c:pt>
                <c:pt idx="13">
                  <c:v>0.50600000000000001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8-4A13-B7C2-398AF0F6E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</a:t>
                </a:r>
                <a:r>
                  <a:rPr lang="es-MX" baseline="0"/>
                  <a:t> magnético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 - F2 - 4.04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 - F2-404 Correcta 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63101487314086"/>
                  <c:y val="-0.23298556430446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 - F2-404 Correcta '!$E$25:$E$38</c:f>
              <c:numCache>
                <c:formatCode>General</c:formatCode>
                <c:ptCount val="14"/>
                <c:pt idx="0">
                  <c:v>3.2320000000000001E-3</c:v>
                </c:pt>
                <c:pt idx="1">
                  <c:v>4.444E-3</c:v>
                </c:pt>
                <c:pt idx="2">
                  <c:v>6.1003999999999997E-3</c:v>
                </c:pt>
                <c:pt idx="3">
                  <c:v>7.5951999999999999E-3</c:v>
                </c:pt>
                <c:pt idx="4">
                  <c:v>8.8475999999999989E-3</c:v>
                </c:pt>
                <c:pt idx="5">
                  <c:v>1.0302E-2</c:v>
                </c:pt>
                <c:pt idx="6">
                  <c:v>1.1675600000000001E-2</c:v>
                </c:pt>
                <c:pt idx="7">
                  <c:v>1.3170400000000001E-2</c:v>
                </c:pt>
                <c:pt idx="8">
                  <c:v>1.4584400000000001E-2</c:v>
                </c:pt>
                <c:pt idx="9">
                  <c:v>1.5958E-2</c:v>
                </c:pt>
                <c:pt idx="10">
                  <c:v>1.7210400000000001E-2</c:v>
                </c:pt>
                <c:pt idx="11">
                  <c:v>1.8705200000000002E-2</c:v>
                </c:pt>
                <c:pt idx="12">
                  <c:v>1.9755600000000002E-2</c:v>
                </c:pt>
                <c:pt idx="13">
                  <c:v>2.0442399999999999E-2</c:v>
                </c:pt>
              </c:numCache>
            </c:numRef>
          </c:xVal>
          <c:yVal>
            <c:numRef>
              <c:f>'V - F2-404 Correcta '!$F$25:$F$38</c:f>
              <c:numCache>
                <c:formatCode>General</c:formatCode>
                <c:ptCount val="14"/>
                <c:pt idx="0">
                  <c:v>3.1415926535897934E-2</c:v>
                </c:pt>
                <c:pt idx="1">
                  <c:v>5.0614548307835558E-2</c:v>
                </c:pt>
                <c:pt idx="2">
                  <c:v>8.377580409572781E-2</c:v>
                </c:pt>
                <c:pt idx="3">
                  <c:v>9.0757121103705138E-2</c:v>
                </c:pt>
                <c:pt idx="4">
                  <c:v>0.1064650843716541</c:v>
                </c:pt>
                <c:pt idx="5">
                  <c:v>0.12217304763960307</c:v>
                </c:pt>
                <c:pt idx="6">
                  <c:v>0.1361356816555577</c:v>
                </c:pt>
                <c:pt idx="7">
                  <c:v>0.1413716694115407</c:v>
                </c:pt>
                <c:pt idx="8">
                  <c:v>0.14835298641951802</c:v>
                </c:pt>
                <c:pt idx="9">
                  <c:v>0.15533430342749532</c:v>
                </c:pt>
                <c:pt idx="10">
                  <c:v>0.16406094968746698</c:v>
                </c:pt>
                <c:pt idx="11">
                  <c:v>0.17104226669544431</c:v>
                </c:pt>
                <c:pt idx="12">
                  <c:v>0.17627825445142728</c:v>
                </c:pt>
                <c:pt idx="13">
                  <c:v>0.19024088846738194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C-4965-A86E-C7701F223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2912"/>
        <c:axId val="738169952"/>
      </c:scatterChart>
      <c:valAx>
        <c:axId val="7381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9952"/>
        <c:crosses val="autoZero"/>
        <c:crossBetween val="midCat"/>
      </c:valAx>
      <c:valAx>
        <c:axId val="7381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 vs Corriente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'R-SF5-305'!$B$24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96395793663047E-2"/>
                  <c:y val="-0.20608595800524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'R-SF5-305'!$A$25:$A$38</c:f>
              <c:numCache>
                <c:formatCode>General</c:formatCode>
                <c:ptCount val="14"/>
                <c:pt idx="0">
                  <c:v>1.1299999999999999</c:v>
                </c:pt>
                <c:pt idx="1">
                  <c:v>1.51</c:v>
                </c:pt>
                <c:pt idx="2">
                  <c:v>2.08</c:v>
                </c:pt>
                <c:pt idx="3">
                  <c:v>2.5299999999999998</c:v>
                </c:pt>
                <c:pt idx="4">
                  <c:v>3.07</c:v>
                </c:pt>
                <c:pt idx="5">
                  <c:v>3.5</c:v>
                </c:pt>
                <c:pt idx="6">
                  <c:v>4.03</c:v>
                </c:pt>
                <c:pt idx="7">
                  <c:v>4.5</c:v>
                </c:pt>
                <c:pt idx="8">
                  <c:v>5.05</c:v>
                </c:pt>
                <c:pt idx="9">
                  <c:v>5.52</c:v>
                </c:pt>
                <c:pt idx="10">
                  <c:v>6.03</c:v>
                </c:pt>
                <c:pt idx="11">
                  <c:v>6.5</c:v>
                </c:pt>
                <c:pt idx="12">
                  <c:v>7.02</c:v>
                </c:pt>
                <c:pt idx="13">
                  <c:v>7.55</c:v>
                </c:pt>
              </c:numCache>
            </c:numRef>
          </c:xVal>
          <c:yVal>
            <c:numRef>
              <c:f>'R-SF5-305'!$B$25:$B$38</c:f>
              <c:numCache>
                <c:formatCode>General</c:formatCode>
                <c:ptCount val="14"/>
                <c:pt idx="0">
                  <c:v>870</c:v>
                </c:pt>
                <c:pt idx="1">
                  <c:v>1150</c:v>
                </c:pt>
                <c:pt idx="2">
                  <c:v>1560</c:v>
                </c:pt>
                <c:pt idx="3">
                  <c:v>1880</c:v>
                </c:pt>
                <c:pt idx="4">
                  <c:v>2270</c:v>
                </c:pt>
                <c:pt idx="5">
                  <c:v>2580</c:v>
                </c:pt>
                <c:pt idx="6">
                  <c:v>2950</c:v>
                </c:pt>
                <c:pt idx="7">
                  <c:v>3290</c:v>
                </c:pt>
                <c:pt idx="8">
                  <c:v>3670</c:v>
                </c:pt>
                <c:pt idx="9">
                  <c:v>3990</c:v>
                </c:pt>
                <c:pt idx="10">
                  <c:v>4350</c:v>
                </c:pt>
                <c:pt idx="11">
                  <c:v>4660</c:v>
                </c:pt>
                <c:pt idx="12">
                  <c:v>5040</c:v>
                </c:pt>
                <c:pt idx="13">
                  <c:v>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6-4112-83C3-5193D545B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 magnético</a:t>
                </a:r>
                <a:r>
                  <a:rPr lang="es-MX" baseline="0"/>
                  <a:t>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Rojo - SF5</a:t>
            </a:r>
            <a:r>
              <a:rPr lang="en-US" baseline="0"/>
              <a:t> - 3.05</a:t>
            </a:r>
            <a:r>
              <a:rPr lang="en-US"/>
              <a:t>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'R-SF5-305'!$F$24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63101487314086"/>
                  <c:y val="-0.23298556430446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'R-SF5-305'!$E$25:$E$38</c:f>
              <c:numCache>
                <c:formatCode>General</c:formatCode>
                <c:ptCount val="14"/>
                <c:pt idx="0">
                  <c:v>2.6535E-3</c:v>
                </c:pt>
                <c:pt idx="1">
                  <c:v>3.5075000000000002E-3</c:v>
                </c:pt>
                <c:pt idx="2">
                  <c:v>4.7580000000000001E-3</c:v>
                </c:pt>
                <c:pt idx="3">
                  <c:v>5.7339999999999995E-3</c:v>
                </c:pt>
                <c:pt idx="4">
                  <c:v>6.9235E-3</c:v>
                </c:pt>
                <c:pt idx="5">
                  <c:v>7.8689999999999993E-3</c:v>
                </c:pt>
                <c:pt idx="6">
                  <c:v>8.9975000000000003E-3</c:v>
                </c:pt>
                <c:pt idx="7">
                  <c:v>1.00345E-2</c:v>
                </c:pt>
                <c:pt idx="8">
                  <c:v>1.11935E-2</c:v>
                </c:pt>
                <c:pt idx="9">
                  <c:v>1.21695E-2</c:v>
                </c:pt>
                <c:pt idx="10">
                  <c:v>1.32675E-2</c:v>
                </c:pt>
                <c:pt idx="11">
                  <c:v>1.4213E-2</c:v>
                </c:pt>
                <c:pt idx="12">
                  <c:v>1.5372E-2</c:v>
                </c:pt>
                <c:pt idx="13">
                  <c:v>1.6470000000000002E-2</c:v>
                </c:pt>
              </c:numCache>
            </c:numRef>
          </c:xVal>
          <c:yVal>
            <c:numRef>
              <c:f>'R-SF5-305'!$F$25:$F$38</c:f>
              <c:numCache>
                <c:formatCode>General</c:formatCode>
                <c:ptCount val="14"/>
                <c:pt idx="0">
                  <c:v>1.7453292519902619E-6</c:v>
                </c:pt>
                <c:pt idx="1">
                  <c:v>1.7453292519943233E-3</c:v>
                </c:pt>
                <c:pt idx="2">
                  <c:v>1.3962634015954649E-2</c:v>
                </c:pt>
                <c:pt idx="3">
                  <c:v>1.9198621771937621E-2</c:v>
                </c:pt>
                <c:pt idx="4">
                  <c:v>3.3161255787892266E-2</c:v>
                </c:pt>
                <c:pt idx="5">
                  <c:v>4.3633231299858237E-2</c:v>
                </c:pt>
                <c:pt idx="6">
                  <c:v>5.0614548307835565E-2</c:v>
                </c:pt>
                <c:pt idx="7">
                  <c:v>6.1086523819801536E-2</c:v>
                </c:pt>
                <c:pt idx="8">
                  <c:v>6.9813170079773182E-2</c:v>
                </c:pt>
                <c:pt idx="9">
                  <c:v>8.377580409572781E-2</c:v>
                </c:pt>
                <c:pt idx="10">
                  <c:v>8.9011791851710806E-2</c:v>
                </c:pt>
                <c:pt idx="11">
                  <c:v>0.10471975511965978</c:v>
                </c:pt>
                <c:pt idx="12">
                  <c:v>0.1064650843716541</c:v>
                </c:pt>
                <c:pt idx="13">
                  <c:v>0.1064650843716541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9-4466-BC8E-CFBE9C7F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2912"/>
        <c:axId val="738169952"/>
      </c:scatterChart>
      <c:valAx>
        <c:axId val="7381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9952"/>
        <c:crosses val="autoZero"/>
        <c:crossBetween val="midCat"/>
      </c:valAx>
      <c:valAx>
        <c:axId val="7381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 vs Corriente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'R-SF5-404'!$B$24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7841764877429536E-2"/>
                  <c:y val="-0.22252223680373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'R-SF5-404'!$A$25:$A$38</c:f>
              <c:numCache>
                <c:formatCode>General</c:formatCode>
                <c:ptCount val="14"/>
                <c:pt idx="0">
                  <c:v>1.1299999999999999</c:v>
                </c:pt>
                <c:pt idx="1">
                  <c:v>1.55</c:v>
                </c:pt>
                <c:pt idx="2">
                  <c:v>2.0099999999999998</c:v>
                </c:pt>
                <c:pt idx="3">
                  <c:v>2.48</c:v>
                </c:pt>
                <c:pt idx="4">
                  <c:v>3.08</c:v>
                </c:pt>
                <c:pt idx="5">
                  <c:v>3.52</c:v>
                </c:pt>
                <c:pt idx="6">
                  <c:v>4.0199999999999996</c:v>
                </c:pt>
                <c:pt idx="7">
                  <c:v>4.53</c:v>
                </c:pt>
                <c:pt idx="8">
                  <c:v>5.0199999999999996</c:v>
                </c:pt>
                <c:pt idx="9">
                  <c:v>5.56</c:v>
                </c:pt>
                <c:pt idx="10">
                  <c:v>6.05</c:v>
                </c:pt>
                <c:pt idx="11">
                  <c:v>6.5</c:v>
                </c:pt>
                <c:pt idx="12">
                  <c:v>6.95</c:v>
                </c:pt>
                <c:pt idx="13">
                  <c:v>7.5</c:v>
                </c:pt>
              </c:numCache>
            </c:numRef>
          </c:xVal>
          <c:yVal>
            <c:numRef>
              <c:f>'R-SF5-404'!$B$25:$B$38</c:f>
              <c:numCache>
                <c:formatCode>General</c:formatCode>
                <c:ptCount val="14"/>
                <c:pt idx="0">
                  <c:v>880</c:v>
                </c:pt>
                <c:pt idx="1">
                  <c:v>1180</c:v>
                </c:pt>
                <c:pt idx="2">
                  <c:v>1520</c:v>
                </c:pt>
                <c:pt idx="3">
                  <c:v>1860</c:v>
                </c:pt>
                <c:pt idx="4">
                  <c:v>2290</c:v>
                </c:pt>
                <c:pt idx="5">
                  <c:v>2600</c:v>
                </c:pt>
                <c:pt idx="6">
                  <c:v>2960</c:v>
                </c:pt>
                <c:pt idx="7">
                  <c:v>3310</c:v>
                </c:pt>
                <c:pt idx="8">
                  <c:v>3670</c:v>
                </c:pt>
                <c:pt idx="9">
                  <c:v>4030</c:v>
                </c:pt>
                <c:pt idx="10">
                  <c:v>4370</c:v>
                </c:pt>
                <c:pt idx="11">
                  <c:v>4680</c:v>
                </c:pt>
                <c:pt idx="12">
                  <c:v>4990</c:v>
                </c:pt>
                <c:pt idx="13">
                  <c:v>5360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2-4AE9-B865-44C6A4FF1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 magnético</a:t>
                </a:r>
                <a:r>
                  <a:rPr lang="es-MX" baseline="0"/>
                  <a:t>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Rojo - SF5 - 4.04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'R-SF5-404'!$F$24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63101487314086"/>
                  <c:y val="-0.23298556430446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'R-SF5-404'!$E$25:$E$38</c:f>
              <c:numCache>
                <c:formatCode>General</c:formatCode>
                <c:ptCount val="14"/>
                <c:pt idx="0">
                  <c:v>3.5552000000000001E-3</c:v>
                </c:pt>
                <c:pt idx="1">
                  <c:v>4.7672000000000001E-3</c:v>
                </c:pt>
                <c:pt idx="2">
                  <c:v>6.1407999999999992E-3</c:v>
                </c:pt>
                <c:pt idx="3">
                  <c:v>7.5144000000000001E-3</c:v>
                </c:pt>
                <c:pt idx="4">
                  <c:v>9.2516000000000004E-3</c:v>
                </c:pt>
                <c:pt idx="5">
                  <c:v>1.0503999999999999E-2</c:v>
                </c:pt>
                <c:pt idx="6">
                  <c:v>1.1958400000000001E-2</c:v>
                </c:pt>
                <c:pt idx="7">
                  <c:v>1.33724E-2</c:v>
                </c:pt>
                <c:pt idx="8">
                  <c:v>1.4826799999999999E-2</c:v>
                </c:pt>
                <c:pt idx="9">
                  <c:v>1.6281199999999999E-2</c:v>
                </c:pt>
                <c:pt idx="10">
                  <c:v>1.7654799999999998E-2</c:v>
                </c:pt>
                <c:pt idx="11">
                  <c:v>1.8907199999999999E-2</c:v>
                </c:pt>
                <c:pt idx="12">
                  <c:v>2.01596E-2</c:v>
                </c:pt>
                <c:pt idx="13">
                  <c:v>2.1654400000000001E-2</c:v>
                </c:pt>
              </c:numCache>
            </c:numRef>
          </c:xVal>
          <c:yVal>
            <c:numRef>
              <c:f>'R-SF5-404'!$F$25:$F$38</c:f>
              <c:numCache>
                <c:formatCode>General</c:formatCode>
                <c:ptCount val="14"/>
                <c:pt idx="0">
                  <c:v>1.2217304763960294E-2</c:v>
                </c:pt>
                <c:pt idx="1">
                  <c:v>6.9813170079773244E-3</c:v>
                </c:pt>
                <c:pt idx="2">
                  <c:v>1.9198621771937621E-2</c:v>
                </c:pt>
                <c:pt idx="3">
                  <c:v>3.8397243543875269E-2</c:v>
                </c:pt>
                <c:pt idx="4">
                  <c:v>5.7595865315812886E-2</c:v>
                </c:pt>
                <c:pt idx="5">
                  <c:v>7.679448708775051E-2</c:v>
                </c:pt>
                <c:pt idx="6">
                  <c:v>8.7266462599716474E-2</c:v>
                </c:pt>
                <c:pt idx="7">
                  <c:v>0.10297442586766545</c:v>
                </c:pt>
                <c:pt idx="8">
                  <c:v>0.11170107212763709</c:v>
                </c:pt>
                <c:pt idx="9">
                  <c:v>0.1239183768915974</c:v>
                </c:pt>
                <c:pt idx="10">
                  <c:v>0.1308996938995747</c:v>
                </c:pt>
                <c:pt idx="11">
                  <c:v>0.13788101090755203</c:v>
                </c:pt>
                <c:pt idx="12">
                  <c:v>0.14835298641951802</c:v>
                </c:pt>
                <c:pt idx="13">
                  <c:v>0.16406094968746698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5-4C46-92E4-3AF55E665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2912"/>
        <c:axId val="738169952"/>
      </c:scatterChart>
      <c:valAx>
        <c:axId val="7381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9952"/>
        <c:crosses val="autoZero"/>
        <c:crossBetween val="midCat"/>
      </c:valAx>
      <c:valAx>
        <c:axId val="7381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magnético</a:t>
            </a:r>
            <a:r>
              <a:rPr lang="en-US" baseline="0"/>
              <a:t>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'R-F2-305'!$B$24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4180433328186921E-2"/>
                  <c:y val="-0.13852070574511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'R-F2-305'!$A$25:$A$38</c:f>
              <c:numCache>
                <c:formatCode>General</c:formatCode>
                <c:ptCount val="14"/>
                <c:pt idx="0">
                  <c:v>1.1599999999999999</c:v>
                </c:pt>
                <c:pt idx="1">
                  <c:v>1.51</c:v>
                </c:pt>
                <c:pt idx="2">
                  <c:v>2.0099999999999998</c:v>
                </c:pt>
                <c:pt idx="3">
                  <c:v>2.5</c:v>
                </c:pt>
                <c:pt idx="4">
                  <c:v>3.03</c:v>
                </c:pt>
                <c:pt idx="5">
                  <c:v>3.55</c:v>
                </c:pt>
                <c:pt idx="6">
                  <c:v>4.03</c:v>
                </c:pt>
                <c:pt idx="7">
                  <c:v>4.5</c:v>
                </c:pt>
                <c:pt idx="8">
                  <c:v>5.01</c:v>
                </c:pt>
                <c:pt idx="9">
                  <c:v>5.55</c:v>
                </c:pt>
                <c:pt idx="10">
                  <c:v>6.02</c:v>
                </c:pt>
                <c:pt idx="11">
                  <c:v>6.49</c:v>
                </c:pt>
                <c:pt idx="12">
                  <c:v>6.95</c:v>
                </c:pt>
                <c:pt idx="13">
                  <c:v>7.36</c:v>
                </c:pt>
              </c:numCache>
            </c:numRef>
          </c:xVal>
          <c:yVal>
            <c:numRef>
              <c:f>'R-F2-305'!$B$25:$B$38</c:f>
              <c:numCache>
                <c:formatCode>General</c:formatCode>
                <c:ptCount val="14"/>
                <c:pt idx="0">
                  <c:v>900</c:v>
                </c:pt>
                <c:pt idx="1">
                  <c:v>1150</c:v>
                </c:pt>
                <c:pt idx="2">
                  <c:v>1510</c:v>
                </c:pt>
                <c:pt idx="3">
                  <c:v>1870</c:v>
                </c:pt>
                <c:pt idx="4">
                  <c:v>2250</c:v>
                </c:pt>
                <c:pt idx="5">
                  <c:v>2600</c:v>
                </c:pt>
                <c:pt idx="6">
                  <c:v>2960</c:v>
                </c:pt>
                <c:pt idx="7">
                  <c:v>3290</c:v>
                </c:pt>
                <c:pt idx="8">
                  <c:v>3640</c:v>
                </c:pt>
                <c:pt idx="9">
                  <c:v>4020</c:v>
                </c:pt>
                <c:pt idx="10">
                  <c:v>4350</c:v>
                </c:pt>
                <c:pt idx="11">
                  <c:v>4670</c:v>
                </c:pt>
                <c:pt idx="12">
                  <c:v>4990</c:v>
                </c:pt>
                <c:pt idx="13">
                  <c:v>5290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7-44F6-A2C3-FCF672FD8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</a:t>
                </a:r>
                <a:r>
                  <a:rPr lang="es-MX" baseline="0"/>
                  <a:t> (A)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 magnético (T)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Rojo - F2 - 3.05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'R-F2-305'!$F$24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85076078776859"/>
                  <c:y val="-0.285831763824910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'R-F2-305'!$E$25:$E$38</c:f>
              <c:numCache>
                <c:formatCode>General</c:formatCode>
                <c:ptCount val="14"/>
                <c:pt idx="0">
                  <c:v>2.7450000000000005E-3</c:v>
                </c:pt>
                <c:pt idx="1">
                  <c:v>3.5075000000000002E-3</c:v>
                </c:pt>
                <c:pt idx="2">
                  <c:v>4.6054999999999994E-3</c:v>
                </c:pt>
                <c:pt idx="3">
                  <c:v>5.7035000000000002E-3</c:v>
                </c:pt>
                <c:pt idx="4">
                  <c:v>6.8624999999999997E-3</c:v>
                </c:pt>
                <c:pt idx="5">
                  <c:v>7.9299999999999995E-3</c:v>
                </c:pt>
                <c:pt idx="6">
                  <c:v>9.0280000000000013E-3</c:v>
                </c:pt>
                <c:pt idx="7">
                  <c:v>1.00345E-2</c:v>
                </c:pt>
                <c:pt idx="8">
                  <c:v>1.1101999999999999E-2</c:v>
                </c:pt>
                <c:pt idx="9">
                  <c:v>1.2261000000000001E-2</c:v>
                </c:pt>
                <c:pt idx="10">
                  <c:v>1.32675E-2</c:v>
                </c:pt>
                <c:pt idx="11">
                  <c:v>1.4243500000000001E-2</c:v>
                </c:pt>
                <c:pt idx="12">
                  <c:v>1.52195E-2</c:v>
                </c:pt>
                <c:pt idx="13">
                  <c:v>1.61345E-2</c:v>
                </c:pt>
              </c:numCache>
            </c:numRef>
          </c:xVal>
          <c:yVal>
            <c:numRef>
              <c:f>'R-F2-305'!$F$25:$F$38</c:f>
              <c:numCache>
                <c:formatCode>General</c:formatCode>
                <c:ptCount val="14"/>
                <c:pt idx="0">
                  <c:v>3.4906585039886563E-2</c:v>
                </c:pt>
                <c:pt idx="1">
                  <c:v>4.3633231299858209E-2</c:v>
                </c:pt>
                <c:pt idx="2">
                  <c:v>5.5850536063818533E-2</c:v>
                </c:pt>
                <c:pt idx="3">
                  <c:v>6.6322511575784504E-2</c:v>
                </c:pt>
                <c:pt idx="4">
                  <c:v>7.85398163397448E-2</c:v>
                </c:pt>
                <c:pt idx="5">
                  <c:v>8.7266462599716446E-2</c:v>
                </c:pt>
                <c:pt idx="6">
                  <c:v>9.5993108859688092E-2</c:v>
                </c:pt>
                <c:pt idx="7">
                  <c:v>0.10995574287564275</c:v>
                </c:pt>
                <c:pt idx="8">
                  <c:v>0.12391837689159736</c:v>
                </c:pt>
                <c:pt idx="9">
                  <c:v>0.13089969389957468</c:v>
                </c:pt>
                <c:pt idx="10">
                  <c:v>0.137881010907552</c:v>
                </c:pt>
                <c:pt idx="11">
                  <c:v>0.14835298641951797</c:v>
                </c:pt>
                <c:pt idx="12">
                  <c:v>0.16057029118347832</c:v>
                </c:pt>
                <c:pt idx="13">
                  <c:v>0.18151424220741025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3-4371-A552-991A9BB9F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2912"/>
        <c:axId val="738169952"/>
      </c:scatterChart>
      <c:valAx>
        <c:axId val="7381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9952"/>
        <c:crosses val="autoZero"/>
        <c:crossBetween val="midCat"/>
      </c:valAx>
      <c:valAx>
        <c:axId val="7381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Campo magnético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'R-F2-404'!$B$24</c:f>
              <c:strCache>
                <c:ptCount val="1"/>
                <c:pt idx="0">
                  <c:v>Magnetic Field 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51090182354657E-2"/>
                  <c:y val="-0.14614720034995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'R-F2-404'!$A$25:$A$38</c:f>
              <c:numCache>
                <c:formatCode>General</c:formatCode>
                <c:ptCount val="14"/>
                <c:pt idx="0">
                  <c:v>1.19</c:v>
                </c:pt>
                <c:pt idx="1">
                  <c:v>1.57</c:v>
                </c:pt>
                <c:pt idx="2">
                  <c:v>2.0099999999999998</c:v>
                </c:pt>
                <c:pt idx="3">
                  <c:v>2.5499999999999998</c:v>
                </c:pt>
                <c:pt idx="4">
                  <c:v>3.03</c:v>
                </c:pt>
                <c:pt idx="5">
                  <c:v>3.52</c:v>
                </c:pt>
                <c:pt idx="6">
                  <c:v>3.98</c:v>
                </c:pt>
                <c:pt idx="7">
                  <c:v>4.5</c:v>
                </c:pt>
                <c:pt idx="8">
                  <c:v>5</c:v>
                </c:pt>
                <c:pt idx="9">
                  <c:v>5.51</c:v>
                </c:pt>
                <c:pt idx="10">
                  <c:v>6.06</c:v>
                </c:pt>
                <c:pt idx="11">
                  <c:v>6.5</c:v>
                </c:pt>
                <c:pt idx="12">
                  <c:v>6.91</c:v>
                </c:pt>
                <c:pt idx="13">
                  <c:v>7.28</c:v>
                </c:pt>
              </c:numCache>
            </c:numRef>
          </c:xVal>
          <c:yVal>
            <c:numRef>
              <c:f>'R-F2-404'!$B$25:$B$38</c:f>
              <c:numCache>
                <c:formatCode>General</c:formatCode>
                <c:ptCount val="14"/>
                <c:pt idx="0">
                  <c:v>910</c:v>
                </c:pt>
                <c:pt idx="1">
                  <c:v>1190</c:v>
                </c:pt>
                <c:pt idx="2">
                  <c:v>1510</c:v>
                </c:pt>
                <c:pt idx="3">
                  <c:v>1910</c:v>
                </c:pt>
                <c:pt idx="4">
                  <c:v>2240</c:v>
                </c:pt>
                <c:pt idx="5">
                  <c:v>2590</c:v>
                </c:pt>
                <c:pt idx="6">
                  <c:v>2920</c:v>
                </c:pt>
                <c:pt idx="7">
                  <c:v>3280</c:v>
                </c:pt>
                <c:pt idx="8">
                  <c:v>3630</c:v>
                </c:pt>
                <c:pt idx="9">
                  <c:v>3980</c:v>
                </c:pt>
                <c:pt idx="10">
                  <c:v>4360</c:v>
                </c:pt>
                <c:pt idx="11">
                  <c:v>4670</c:v>
                </c:pt>
                <c:pt idx="12">
                  <c:v>4950</c:v>
                </c:pt>
                <c:pt idx="13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3-4FC2-8FAE-32F01155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40559"/>
        <c:axId val="534238159"/>
      </c:scatterChart>
      <c:valAx>
        <c:axId val="5342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8159"/>
        <c:crosses val="autoZero"/>
        <c:crossBetween val="midCat"/>
      </c:valAx>
      <c:valAx>
        <c:axId val="5342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Campo</a:t>
                </a:r>
                <a:r>
                  <a:rPr lang="es-MX" baseline="0"/>
                  <a:t> magnético (T)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5000000000000001E-2"/>
              <c:y val="0.35303623505395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4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Rojo</a:t>
            </a:r>
            <a:r>
              <a:rPr lang="en-US" baseline="0"/>
              <a:t> - </a:t>
            </a:r>
            <a:r>
              <a:rPr lang="en-US"/>
              <a:t>F2 - 4.04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'R-F2-404'!$F$24</c:f>
              <c:strCache>
                <c:ptCount val="1"/>
                <c:pt idx="0">
                  <c:v>Angle Difference (rad)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63101487314086"/>
                  <c:y val="-0.23298556430446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'R-F2-404'!$E$25:$E$38</c:f>
              <c:numCache>
                <c:formatCode>General</c:formatCode>
                <c:ptCount val="14"/>
                <c:pt idx="0">
                  <c:v>3.6763999999999998E-3</c:v>
                </c:pt>
                <c:pt idx="1">
                  <c:v>4.8076000000000004E-3</c:v>
                </c:pt>
                <c:pt idx="2">
                  <c:v>6.1003999999999997E-3</c:v>
                </c:pt>
                <c:pt idx="3">
                  <c:v>7.7164E-3</c:v>
                </c:pt>
                <c:pt idx="4">
                  <c:v>9.0495999999999997E-3</c:v>
                </c:pt>
                <c:pt idx="5">
                  <c:v>1.04636E-2</c:v>
                </c:pt>
                <c:pt idx="6">
                  <c:v>1.1796800000000001E-2</c:v>
                </c:pt>
                <c:pt idx="7">
                  <c:v>1.3251199999999999E-2</c:v>
                </c:pt>
                <c:pt idx="8">
                  <c:v>1.4665200000000001E-2</c:v>
                </c:pt>
                <c:pt idx="9">
                  <c:v>1.6079200000000002E-2</c:v>
                </c:pt>
                <c:pt idx="10">
                  <c:v>1.7614399999999999E-2</c:v>
                </c:pt>
                <c:pt idx="11">
                  <c:v>1.88668E-2</c:v>
                </c:pt>
                <c:pt idx="12">
                  <c:v>1.9998000000000002E-2</c:v>
                </c:pt>
                <c:pt idx="13">
                  <c:v>2.1007999999999999E-2</c:v>
                </c:pt>
              </c:numCache>
            </c:numRef>
          </c:xVal>
          <c:yVal>
            <c:numRef>
              <c:f>'R-F2-404'!$F$25:$F$38</c:f>
              <c:numCache>
                <c:formatCode>General</c:formatCode>
                <c:ptCount val="14"/>
                <c:pt idx="0">
                  <c:v>5.2359877559830011E-3</c:v>
                </c:pt>
                <c:pt idx="1">
                  <c:v>1.9198621771937621E-2</c:v>
                </c:pt>
                <c:pt idx="2">
                  <c:v>3.1415926535897941E-2</c:v>
                </c:pt>
                <c:pt idx="3">
                  <c:v>4.886921905584124E-2</c:v>
                </c:pt>
                <c:pt idx="4">
                  <c:v>6.2831853071795854E-2</c:v>
                </c:pt>
                <c:pt idx="5">
                  <c:v>7.679448708775051E-2</c:v>
                </c:pt>
                <c:pt idx="6">
                  <c:v>8.9011791851710806E-2</c:v>
                </c:pt>
                <c:pt idx="7">
                  <c:v>0.10297442586766545</c:v>
                </c:pt>
                <c:pt idx="8">
                  <c:v>0.11170107212763709</c:v>
                </c:pt>
                <c:pt idx="9">
                  <c:v>0.12566370614359171</c:v>
                </c:pt>
                <c:pt idx="10">
                  <c:v>0.13439035240356337</c:v>
                </c:pt>
                <c:pt idx="11">
                  <c:v>0.1413716694115407</c:v>
                </c:pt>
                <c:pt idx="12">
                  <c:v>0.15707963267948966</c:v>
                </c:pt>
                <c:pt idx="13">
                  <c:v>0.16929693744344995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A-402B-80B6-F6486185A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82912"/>
        <c:axId val="738169952"/>
      </c:scatterChart>
      <c:valAx>
        <c:axId val="7381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Campo B por Espesor (Tm)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9952"/>
        <c:crosses val="autoZero"/>
        <c:crossBetween val="midCat"/>
      </c:valAx>
      <c:valAx>
        <c:axId val="7381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Diferencia angular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SF-5 3.05cm Láser verde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Láser Verde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718007414021701"/>
                  <c:y val="2.7761719658460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Sheet1!$A$2:$A$15</c:f>
              <c:numCache>
                <c:formatCode>General</c:formatCode>
                <c:ptCount val="14"/>
                <c:pt idx="0">
                  <c:v>2.8029500000000002E-3</c:v>
                </c:pt>
                <c:pt idx="1">
                  <c:v>3.5075000000000002E-3</c:v>
                </c:pt>
                <c:pt idx="2">
                  <c:v>4.6969999999999998E-3</c:v>
                </c:pt>
                <c:pt idx="3">
                  <c:v>5.6119999999999998E-3</c:v>
                </c:pt>
                <c:pt idx="4">
                  <c:v>6.7099999999999998E-3</c:v>
                </c:pt>
                <c:pt idx="5">
                  <c:v>7.7652999999999993E-3</c:v>
                </c:pt>
                <c:pt idx="6">
                  <c:v>8.7840000000000001E-3</c:v>
                </c:pt>
                <c:pt idx="7">
                  <c:v>9.6989999999999993E-3</c:v>
                </c:pt>
                <c:pt idx="8">
                  <c:v>1.0858000000000001E-2</c:v>
                </c:pt>
                <c:pt idx="9">
                  <c:v>1.1986500000000001E-2</c:v>
                </c:pt>
                <c:pt idx="10">
                  <c:v>1.2993000000000001E-2</c:v>
                </c:pt>
                <c:pt idx="11">
                  <c:v>1.3908E-2</c:v>
                </c:pt>
                <c:pt idx="12">
                  <c:v>1.5067000000000001E-2</c:v>
                </c:pt>
                <c:pt idx="13">
                  <c:v>1.6043000000000002E-2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2.9670597283903602E-2</c:v>
                </c:pt>
                <c:pt idx="1">
                  <c:v>3.4906585039886591E-2</c:v>
                </c:pt>
                <c:pt idx="2">
                  <c:v>4.8869219055841226E-2</c:v>
                </c:pt>
                <c:pt idx="3">
                  <c:v>5.235987755982989E-2</c:v>
                </c:pt>
                <c:pt idx="4">
                  <c:v>6.806784082777885E-2</c:v>
                </c:pt>
                <c:pt idx="5">
                  <c:v>8.5521133347722156E-2</c:v>
                </c:pt>
                <c:pt idx="6">
                  <c:v>9.4247779607693802E-2</c:v>
                </c:pt>
                <c:pt idx="7">
                  <c:v>0.10821041362364842</c:v>
                </c:pt>
                <c:pt idx="8">
                  <c:v>0.11170107212763709</c:v>
                </c:pt>
                <c:pt idx="9">
                  <c:v>0.1291543646475804</c:v>
                </c:pt>
                <c:pt idx="10">
                  <c:v>0.12042771838760874</c:v>
                </c:pt>
                <c:pt idx="11">
                  <c:v>0.15533430342749532</c:v>
                </c:pt>
                <c:pt idx="12">
                  <c:v>0.16580627893946132</c:v>
                </c:pt>
                <c:pt idx="13">
                  <c:v>0.16406094968746698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C-4137-94D0-031762DAB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40584"/>
        <c:axId val="2079724552"/>
      </c:scatterChart>
      <c:valAx>
        <c:axId val="46684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24552"/>
        <c:crosses val="autoZero"/>
        <c:crossBetween val="midCat"/>
      </c:valAx>
      <c:valAx>
        <c:axId val="20797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4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Láser rojo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895647419072616"/>
                  <c:y val="5.13524351122776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Sheet1!$C$2:$C$15</c:f>
              <c:numCache>
                <c:formatCode>General</c:formatCode>
                <c:ptCount val="14"/>
                <c:pt idx="0">
                  <c:v>2.6535E-3</c:v>
                </c:pt>
                <c:pt idx="1">
                  <c:v>3.5075000000000002E-3</c:v>
                </c:pt>
                <c:pt idx="2">
                  <c:v>4.7580000000000001E-3</c:v>
                </c:pt>
                <c:pt idx="3">
                  <c:v>5.7339999999999995E-3</c:v>
                </c:pt>
                <c:pt idx="4">
                  <c:v>6.9235E-3</c:v>
                </c:pt>
                <c:pt idx="5">
                  <c:v>7.8689999999999993E-3</c:v>
                </c:pt>
                <c:pt idx="6">
                  <c:v>8.9975000000000003E-3</c:v>
                </c:pt>
                <c:pt idx="7">
                  <c:v>1.00345E-2</c:v>
                </c:pt>
                <c:pt idx="8">
                  <c:v>1.11935E-2</c:v>
                </c:pt>
                <c:pt idx="9">
                  <c:v>1.21695E-2</c:v>
                </c:pt>
                <c:pt idx="10">
                  <c:v>1.32675E-2</c:v>
                </c:pt>
                <c:pt idx="11">
                  <c:v>1.4213E-2</c:v>
                </c:pt>
                <c:pt idx="12">
                  <c:v>1.5372E-2</c:v>
                </c:pt>
                <c:pt idx="13">
                  <c:v>1.6470000000000002E-2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1.7453292519902619E-6</c:v>
                </c:pt>
                <c:pt idx="1">
                  <c:v>1.7453292519943233E-3</c:v>
                </c:pt>
                <c:pt idx="2">
                  <c:v>1.3962634015954649E-2</c:v>
                </c:pt>
                <c:pt idx="3">
                  <c:v>1.9198621771937621E-2</c:v>
                </c:pt>
                <c:pt idx="4">
                  <c:v>3.3161255787892266E-2</c:v>
                </c:pt>
                <c:pt idx="5">
                  <c:v>4.3633231299858237E-2</c:v>
                </c:pt>
                <c:pt idx="6">
                  <c:v>5.0614548307835565E-2</c:v>
                </c:pt>
                <c:pt idx="7">
                  <c:v>6.1086523819801536E-2</c:v>
                </c:pt>
                <c:pt idx="8">
                  <c:v>6.9813170079773182E-2</c:v>
                </c:pt>
                <c:pt idx="9">
                  <c:v>8.377580409572781E-2</c:v>
                </c:pt>
                <c:pt idx="10">
                  <c:v>8.9011791851710806E-2</c:v>
                </c:pt>
                <c:pt idx="11">
                  <c:v>0.10471975511965978</c:v>
                </c:pt>
                <c:pt idx="12">
                  <c:v>0.1064650843716541</c:v>
                </c:pt>
                <c:pt idx="13">
                  <c:v>0.1064650843716541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4F-43C1-B8A8-0BE04F0AD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510152"/>
        <c:axId val="1997512200"/>
      </c:scatterChart>
      <c:valAx>
        <c:axId val="1997510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12200"/>
        <c:crosses val="autoZero"/>
        <c:crossBetween val="midCat"/>
      </c:valAx>
      <c:valAx>
        <c:axId val="19975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10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SF-5 4.04cm Láser verde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Láser verde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288188976377959"/>
                  <c:y val="1.4453193350831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Sheet1!$A$20:$A$33</c:f>
              <c:numCache>
                <c:formatCode>General</c:formatCode>
                <c:ptCount val="14"/>
                <c:pt idx="0">
                  <c:v>3.5956000000000004E-3</c:v>
                </c:pt>
                <c:pt idx="1">
                  <c:v>4.5652000000000002E-3</c:v>
                </c:pt>
                <c:pt idx="2">
                  <c:v>6.1003999999999997E-3</c:v>
                </c:pt>
                <c:pt idx="3">
                  <c:v>7.4739999999999997E-3</c:v>
                </c:pt>
                <c:pt idx="4">
                  <c:v>8.8071999999999994E-3</c:v>
                </c:pt>
                <c:pt idx="5">
                  <c:v>1.0302E-2</c:v>
                </c:pt>
                <c:pt idx="6">
                  <c:v>1.18776E-2</c:v>
                </c:pt>
                <c:pt idx="7">
                  <c:v>1.3008799999999999E-2</c:v>
                </c:pt>
                <c:pt idx="8">
                  <c:v>1.4503600000000002E-2</c:v>
                </c:pt>
                <c:pt idx="9">
                  <c:v>1.5877200000000001E-2</c:v>
                </c:pt>
                <c:pt idx="10">
                  <c:v>1.7210400000000001E-2</c:v>
                </c:pt>
                <c:pt idx="11">
                  <c:v>1.8624399999999999E-2</c:v>
                </c:pt>
                <c:pt idx="12">
                  <c:v>1.9957600000000002E-2</c:v>
                </c:pt>
                <c:pt idx="13">
                  <c:v>2.09272E-2</c:v>
                </c:pt>
              </c:numCache>
            </c:numRef>
          </c:xVal>
          <c:yVal>
            <c:numRef>
              <c:f>Sheet1!$B$20:$B$33</c:f>
              <c:numCache>
                <c:formatCode>General</c:formatCode>
                <c:ptCount val="14"/>
                <c:pt idx="0">
                  <c:v>5.4105206811824215E-2</c:v>
                </c:pt>
                <c:pt idx="1">
                  <c:v>6.806784082777885E-2</c:v>
                </c:pt>
                <c:pt idx="2">
                  <c:v>8.5521133347722156E-2</c:v>
                </c:pt>
                <c:pt idx="3">
                  <c:v>9.9483767363676784E-2</c:v>
                </c:pt>
                <c:pt idx="4">
                  <c:v>0.12042771838760874</c:v>
                </c:pt>
                <c:pt idx="5">
                  <c:v>0.12566370614359174</c:v>
                </c:pt>
                <c:pt idx="6">
                  <c:v>0.143116998663535</c:v>
                </c:pt>
                <c:pt idx="7">
                  <c:v>0.15358897417550102</c:v>
                </c:pt>
                <c:pt idx="8">
                  <c:v>0.16929693744344995</c:v>
                </c:pt>
                <c:pt idx="9">
                  <c:v>0.17627825445142728</c:v>
                </c:pt>
                <c:pt idx="10">
                  <c:v>0.19024088846738194</c:v>
                </c:pt>
                <c:pt idx="11">
                  <c:v>0.20245819323134223</c:v>
                </c:pt>
                <c:pt idx="12">
                  <c:v>0.20943951023931956</c:v>
                </c:pt>
                <c:pt idx="13">
                  <c:v>0.21991148575128552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67-4CA3-916A-DEEF28D98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61224"/>
        <c:axId val="117963272"/>
      </c:scatterChart>
      <c:valAx>
        <c:axId val="11796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3272"/>
        <c:crosses val="autoZero"/>
        <c:crossBetween val="midCat"/>
      </c:valAx>
      <c:valAx>
        <c:axId val="11796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1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SF-5 4.04cm Láser rojo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Láser rojo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31301399825022"/>
                  <c:y val="5.28324584426946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Sheet1!$C$20:$C$33</c:f>
              <c:numCache>
                <c:formatCode>General</c:formatCode>
                <c:ptCount val="14"/>
                <c:pt idx="0">
                  <c:v>3.5552000000000001E-3</c:v>
                </c:pt>
                <c:pt idx="1">
                  <c:v>4.7672000000000001E-3</c:v>
                </c:pt>
                <c:pt idx="2">
                  <c:v>6.1407999999999992E-3</c:v>
                </c:pt>
                <c:pt idx="3">
                  <c:v>7.5144000000000001E-3</c:v>
                </c:pt>
                <c:pt idx="4">
                  <c:v>9.2516000000000004E-3</c:v>
                </c:pt>
                <c:pt idx="5">
                  <c:v>1.0503999999999999E-2</c:v>
                </c:pt>
                <c:pt idx="6">
                  <c:v>1.1958400000000001E-2</c:v>
                </c:pt>
                <c:pt idx="7">
                  <c:v>1.33724E-2</c:v>
                </c:pt>
                <c:pt idx="8">
                  <c:v>1.4826799999999999E-2</c:v>
                </c:pt>
                <c:pt idx="9">
                  <c:v>1.6281199999999999E-2</c:v>
                </c:pt>
                <c:pt idx="10">
                  <c:v>1.7654799999999998E-2</c:v>
                </c:pt>
                <c:pt idx="11">
                  <c:v>1.8907199999999999E-2</c:v>
                </c:pt>
                <c:pt idx="12">
                  <c:v>2.01596E-2</c:v>
                </c:pt>
                <c:pt idx="13">
                  <c:v>2.1654400000000001E-2</c:v>
                </c:pt>
              </c:numCache>
            </c:numRef>
          </c:xVal>
          <c:yVal>
            <c:numRef>
              <c:f>Sheet1!$D$20:$D$33</c:f>
              <c:numCache>
                <c:formatCode>General</c:formatCode>
                <c:ptCount val="14"/>
                <c:pt idx="0">
                  <c:v>1.2217304763960294E-2</c:v>
                </c:pt>
                <c:pt idx="1">
                  <c:v>6.9813170079773244E-3</c:v>
                </c:pt>
                <c:pt idx="2">
                  <c:v>1.9198621771937621E-2</c:v>
                </c:pt>
                <c:pt idx="3">
                  <c:v>3.8397243543875269E-2</c:v>
                </c:pt>
                <c:pt idx="4">
                  <c:v>5.7595865315812886E-2</c:v>
                </c:pt>
                <c:pt idx="5">
                  <c:v>7.679448708775051E-2</c:v>
                </c:pt>
                <c:pt idx="6">
                  <c:v>8.7266462599716474E-2</c:v>
                </c:pt>
                <c:pt idx="7">
                  <c:v>0.10297442586766545</c:v>
                </c:pt>
                <c:pt idx="8">
                  <c:v>0.11170107212763709</c:v>
                </c:pt>
                <c:pt idx="9">
                  <c:v>0.1239183768915974</c:v>
                </c:pt>
                <c:pt idx="10">
                  <c:v>0.1308996938995747</c:v>
                </c:pt>
                <c:pt idx="11">
                  <c:v>0.13788101090755203</c:v>
                </c:pt>
                <c:pt idx="12">
                  <c:v>0.14835298641951802</c:v>
                </c:pt>
                <c:pt idx="13">
                  <c:v>0.16406094968746698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70-4245-B601-DFE82D545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74376"/>
        <c:axId val="466876424"/>
      </c:scatterChart>
      <c:valAx>
        <c:axId val="46687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76424"/>
        <c:crosses val="autoZero"/>
        <c:crossBetween val="midCat"/>
      </c:valAx>
      <c:valAx>
        <c:axId val="4668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74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 3.05cm Láser verde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Láser verde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116076115485561"/>
                  <c:y val="-2.72550306211723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Sheet1!$A$49:$A$62</c:f>
              <c:numCache>
                <c:formatCode>General</c:formatCode>
                <c:ptCount val="14"/>
                <c:pt idx="0">
                  <c:v>2.6535E-3</c:v>
                </c:pt>
                <c:pt idx="1">
                  <c:v>3.4464999999999999E-3</c:v>
                </c:pt>
                <c:pt idx="2">
                  <c:v>4.4835000000000005E-3</c:v>
                </c:pt>
                <c:pt idx="3">
                  <c:v>5.6730000000000001E-3</c:v>
                </c:pt>
                <c:pt idx="4">
                  <c:v>6.7710000000000001E-3</c:v>
                </c:pt>
                <c:pt idx="5">
                  <c:v>7.7165000000000003E-3</c:v>
                </c:pt>
                <c:pt idx="6">
                  <c:v>8.9365000000000017E-3</c:v>
                </c:pt>
                <c:pt idx="7">
                  <c:v>9.9430000000000004E-3</c:v>
                </c:pt>
                <c:pt idx="8">
                  <c:v>1.0980000000000002E-2</c:v>
                </c:pt>
                <c:pt idx="9">
                  <c:v>1.1956E-2</c:v>
                </c:pt>
                <c:pt idx="10">
                  <c:v>1.2962500000000002E-2</c:v>
                </c:pt>
                <c:pt idx="11">
                  <c:v>1.4030000000000001E-2</c:v>
                </c:pt>
                <c:pt idx="12">
                  <c:v>1.5067000000000001E-2</c:v>
                </c:pt>
                <c:pt idx="13">
                  <c:v>1.5616E-2</c:v>
                </c:pt>
              </c:numCache>
            </c:numRef>
          </c:xVal>
          <c:yVal>
            <c:numRef>
              <c:f>Sheet1!$B$49:$B$62</c:f>
              <c:numCache>
                <c:formatCode>General</c:formatCode>
                <c:ptCount val="14"/>
                <c:pt idx="0">
                  <c:v>4.3633231299858237E-2</c:v>
                </c:pt>
                <c:pt idx="1">
                  <c:v>5.7595865315812872E-2</c:v>
                </c:pt>
                <c:pt idx="2">
                  <c:v>7.5049157835756164E-2</c:v>
                </c:pt>
                <c:pt idx="3">
                  <c:v>8.9011791851710806E-2</c:v>
                </c:pt>
                <c:pt idx="4">
                  <c:v>0.11170107212763709</c:v>
                </c:pt>
                <c:pt idx="5">
                  <c:v>0.12740903539558607</c:v>
                </c:pt>
                <c:pt idx="6">
                  <c:v>0.1413716694115407</c:v>
                </c:pt>
                <c:pt idx="7">
                  <c:v>0.15009831567151233</c:v>
                </c:pt>
                <c:pt idx="8">
                  <c:v>0.15882496193148399</c:v>
                </c:pt>
                <c:pt idx="9">
                  <c:v>0.16231562043547265</c:v>
                </c:pt>
                <c:pt idx="10">
                  <c:v>0.17278759594743864</c:v>
                </c:pt>
                <c:pt idx="11">
                  <c:v>0.17627825445142728</c:v>
                </c:pt>
                <c:pt idx="12">
                  <c:v>0.18500490071139894</c:v>
                </c:pt>
                <c:pt idx="13">
                  <c:v>0.19198621771937624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C2-4AFB-8695-646C1D5F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151879"/>
        <c:axId val="907172359"/>
      </c:scatterChart>
      <c:valAx>
        <c:axId val="907151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72359"/>
        <c:crosses val="autoZero"/>
        <c:crossBetween val="midCat"/>
      </c:valAx>
      <c:valAx>
        <c:axId val="907172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51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 3.05cm Láser rojo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Láser rojo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41292650918635"/>
                  <c:y val="-1.1836905803441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Sheet1!$C$49:$C$62</c:f>
              <c:numCache>
                <c:formatCode>General</c:formatCode>
                <c:ptCount val="14"/>
                <c:pt idx="0">
                  <c:v>2.7450000000000005E-3</c:v>
                </c:pt>
                <c:pt idx="1">
                  <c:v>3.5075000000000002E-3</c:v>
                </c:pt>
                <c:pt idx="2">
                  <c:v>4.6054999999999994E-3</c:v>
                </c:pt>
                <c:pt idx="3">
                  <c:v>5.7035000000000002E-3</c:v>
                </c:pt>
                <c:pt idx="4">
                  <c:v>6.8624999999999997E-3</c:v>
                </c:pt>
                <c:pt idx="5">
                  <c:v>7.9299999999999995E-3</c:v>
                </c:pt>
                <c:pt idx="6">
                  <c:v>9.0280000000000013E-3</c:v>
                </c:pt>
                <c:pt idx="7">
                  <c:v>1.00345E-2</c:v>
                </c:pt>
                <c:pt idx="8">
                  <c:v>1.1101999999999999E-2</c:v>
                </c:pt>
                <c:pt idx="9">
                  <c:v>1.2261000000000001E-2</c:v>
                </c:pt>
                <c:pt idx="10">
                  <c:v>1.32675E-2</c:v>
                </c:pt>
                <c:pt idx="11">
                  <c:v>1.4243500000000001E-2</c:v>
                </c:pt>
                <c:pt idx="12">
                  <c:v>1.52195E-2</c:v>
                </c:pt>
                <c:pt idx="13">
                  <c:v>1.61345E-2</c:v>
                </c:pt>
              </c:numCache>
            </c:numRef>
          </c:xVal>
          <c:yVal>
            <c:numRef>
              <c:f>Sheet1!$D$49:$D$62</c:f>
              <c:numCache>
                <c:formatCode>General</c:formatCode>
                <c:ptCount val="14"/>
                <c:pt idx="0">
                  <c:v>3.4906585039886563E-2</c:v>
                </c:pt>
                <c:pt idx="1">
                  <c:v>4.3633231299858209E-2</c:v>
                </c:pt>
                <c:pt idx="2">
                  <c:v>5.5850536063818533E-2</c:v>
                </c:pt>
                <c:pt idx="3">
                  <c:v>6.6322511575784504E-2</c:v>
                </c:pt>
                <c:pt idx="4">
                  <c:v>7.85398163397448E-2</c:v>
                </c:pt>
                <c:pt idx="5">
                  <c:v>8.7266462599716446E-2</c:v>
                </c:pt>
                <c:pt idx="6">
                  <c:v>9.5993108859688092E-2</c:v>
                </c:pt>
                <c:pt idx="7">
                  <c:v>0.10995574287564275</c:v>
                </c:pt>
                <c:pt idx="8">
                  <c:v>0.12391837689159736</c:v>
                </c:pt>
                <c:pt idx="9">
                  <c:v>0.13089969389957468</c:v>
                </c:pt>
                <c:pt idx="10">
                  <c:v>0.137881010907552</c:v>
                </c:pt>
                <c:pt idx="11">
                  <c:v>0.14835298641951797</c:v>
                </c:pt>
                <c:pt idx="12">
                  <c:v>0.16057029118347832</c:v>
                </c:pt>
                <c:pt idx="13">
                  <c:v>0.18151424220741025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9A-408E-A49C-A5E76040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45864"/>
        <c:axId val="117947912"/>
      </c:scatterChart>
      <c:valAx>
        <c:axId val="11794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47912"/>
        <c:crosses val="autoZero"/>
        <c:crossBetween val="midCat"/>
      </c:valAx>
      <c:valAx>
        <c:axId val="11794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45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 4.04cm Láser verde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Láser verde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12972440944882"/>
                  <c:y val="-6.64880431612715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Sheet1!$A$80:$A$93</c:f>
              <c:numCache>
                <c:formatCode>General</c:formatCode>
                <c:ptCount val="14"/>
                <c:pt idx="0">
                  <c:v>3.2320000000000001E-3</c:v>
                </c:pt>
                <c:pt idx="1">
                  <c:v>4.444E-3</c:v>
                </c:pt>
                <c:pt idx="2">
                  <c:v>6.1003999999999997E-3</c:v>
                </c:pt>
                <c:pt idx="3">
                  <c:v>7.5951999999999999E-3</c:v>
                </c:pt>
                <c:pt idx="4">
                  <c:v>8.8475999999999989E-3</c:v>
                </c:pt>
                <c:pt idx="5">
                  <c:v>1.0302E-2</c:v>
                </c:pt>
                <c:pt idx="6">
                  <c:v>1.1675600000000001E-2</c:v>
                </c:pt>
                <c:pt idx="7">
                  <c:v>1.3170400000000001E-2</c:v>
                </c:pt>
                <c:pt idx="8">
                  <c:v>1.4584400000000001E-2</c:v>
                </c:pt>
                <c:pt idx="9">
                  <c:v>1.5958E-2</c:v>
                </c:pt>
                <c:pt idx="10">
                  <c:v>1.7210400000000001E-2</c:v>
                </c:pt>
                <c:pt idx="11">
                  <c:v>1.8705200000000002E-2</c:v>
                </c:pt>
                <c:pt idx="12">
                  <c:v>1.9755600000000002E-2</c:v>
                </c:pt>
                <c:pt idx="13">
                  <c:v>2.0442399999999999E-2</c:v>
                </c:pt>
              </c:numCache>
            </c:numRef>
          </c:xVal>
          <c:yVal>
            <c:numRef>
              <c:f>Sheet1!$B$80:$B$93</c:f>
              <c:numCache>
                <c:formatCode>General</c:formatCode>
                <c:ptCount val="14"/>
                <c:pt idx="0">
                  <c:v>3.1415926535897934E-2</c:v>
                </c:pt>
                <c:pt idx="1">
                  <c:v>5.0614548307835558E-2</c:v>
                </c:pt>
                <c:pt idx="2">
                  <c:v>8.377580409572781E-2</c:v>
                </c:pt>
                <c:pt idx="3">
                  <c:v>9.0757121103705138E-2</c:v>
                </c:pt>
                <c:pt idx="4">
                  <c:v>0.1064650843716541</c:v>
                </c:pt>
                <c:pt idx="5">
                  <c:v>0.12217304763960307</c:v>
                </c:pt>
                <c:pt idx="6">
                  <c:v>0.1361356816555577</c:v>
                </c:pt>
                <c:pt idx="7">
                  <c:v>0.1413716694115407</c:v>
                </c:pt>
                <c:pt idx="8">
                  <c:v>0.14835298641951802</c:v>
                </c:pt>
                <c:pt idx="9">
                  <c:v>0.15533430342749532</c:v>
                </c:pt>
                <c:pt idx="10">
                  <c:v>0.16406094968746698</c:v>
                </c:pt>
                <c:pt idx="11">
                  <c:v>0.17104226669544431</c:v>
                </c:pt>
                <c:pt idx="12">
                  <c:v>0.17627825445142728</c:v>
                </c:pt>
                <c:pt idx="13">
                  <c:v>0.19024088846738194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E-4123-BCEE-308CCD6AB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17447"/>
        <c:axId val="752324103"/>
      </c:scatterChart>
      <c:valAx>
        <c:axId val="216317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24103"/>
        <c:crosses val="autoZero"/>
        <c:crossBetween val="midCat"/>
      </c:valAx>
      <c:valAx>
        <c:axId val="752324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7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 4.04cm Láser rojo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Sheet1!$D$79</c:f>
              <c:strCache>
                <c:ptCount val="1"/>
                <c:pt idx="0">
                  <c:v>Láser rojo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77099737532808"/>
                  <c:y val="5.97685185185185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Sheet1!$C$80:$C$93</c:f>
              <c:numCache>
                <c:formatCode>General</c:formatCode>
                <c:ptCount val="14"/>
                <c:pt idx="0">
                  <c:v>3.6763999999999998E-3</c:v>
                </c:pt>
                <c:pt idx="1">
                  <c:v>4.8076000000000004E-3</c:v>
                </c:pt>
                <c:pt idx="2">
                  <c:v>6.1003999999999997E-3</c:v>
                </c:pt>
                <c:pt idx="3">
                  <c:v>7.7164E-3</c:v>
                </c:pt>
                <c:pt idx="4">
                  <c:v>9.0495999999999997E-3</c:v>
                </c:pt>
                <c:pt idx="5">
                  <c:v>1.04636E-2</c:v>
                </c:pt>
                <c:pt idx="6">
                  <c:v>1.1796800000000001E-2</c:v>
                </c:pt>
                <c:pt idx="7">
                  <c:v>1.3251199999999999E-2</c:v>
                </c:pt>
                <c:pt idx="8">
                  <c:v>1.4665200000000001E-2</c:v>
                </c:pt>
                <c:pt idx="9">
                  <c:v>1.6079200000000002E-2</c:v>
                </c:pt>
                <c:pt idx="10">
                  <c:v>1.7614399999999999E-2</c:v>
                </c:pt>
                <c:pt idx="11">
                  <c:v>1.88668E-2</c:v>
                </c:pt>
                <c:pt idx="12">
                  <c:v>1.9998000000000002E-2</c:v>
                </c:pt>
                <c:pt idx="13">
                  <c:v>2.1007999999999999E-2</c:v>
                </c:pt>
              </c:numCache>
            </c:numRef>
          </c:xVal>
          <c:yVal>
            <c:numRef>
              <c:f>Sheet1!$D$80:$D$93</c:f>
              <c:numCache>
                <c:formatCode>General</c:formatCode>
                <c:ptCount val="14"/>
                <c:pt idx="0">
                  <c:v>5.2359877559830011E-3</c:v>
                </c:pt>
                <c:pt idx="1">
                  <c:v>1.9198621771937621E-2</c:v>
                </c:pt>
                <c:pt idx="2">
                  <c:v>3.1415926535897941E-2</c:v>
                </c:pt>
                <c:pt idx="3">
                  <c:v>4.886921905584124E-2</c:v>
                </c:pt>
                <c:pt idx="4">
                  <c:v>6.2831853071795854E-2</c:v>
                </c:pt>
                <c:pt idx="5">
                  <c:v>7.679448708775051E-2</c:v>
                </c:pt>
                <c:pt idx="6">
                  <c:v>8.9011791851710806E-2</c:v>
                </c:pt>
                <c:pt idx="7">
                  <c:v>0.10297442586766545</c:v>
                </c:pt>
                <c:pt idx="8">
                  <c:v>0.11170107212763709</c:v>
                </c:pt>
                <c:pt idx="9">
                  <c:v>0.12566370614359171</c:v>
                </c:pt>
                <c:pt idx="10">
                  <c:v>0.13439035240356337</c:v>
                </c:pt>
                <c:pt idx="11">
                  <c:v>0.1413716694115407</c:v>
                </c:pt>
                <c:pt idx="12">
                  <c:v>0.15707963267948966</c:v>
                </c:pt>
                <c:pt idx="13">
                  <c:v>0.16929693744344995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E-48DE-93D5-BF524EC75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520392"/>
        <c:axId val="1181522440"/>
      </c:scatterChart>
      <c:valAx>
        <c:axId val="118152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(Tesla)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522440"/>
        <c:crosses val="autoZero"/>
        <c:crossBetween val="midCat"/>
      </c:valAx>
      <c:valAx>
        <c:axId val="118152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Diferencia de ángulo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520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Láser Verde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Sheet1!$A$2:$A$15</c:f>
              <c:numCache>
                <c:formatCode>General</c:formatCode>
                <c:ptCount val="14"/>
                <c:pt idx="0">
                  <c:v>2.8029500000000002E-3</c:v>
                </c:pt>
                <c:pt idx="1">
                  <c:v>3.5075000000000002E-3</c:v>
                </c:pt>
                <c:pt idx="2">
                  <c:v>4.6969999999999998E-3</c:v>
                </c:pt>
                <c:pt idx="3">
                  <c:v>5.6119999999999998E-3</c:v>
                </c:pt>
                <c:pt idx="4">
                  <c:v>6.7099999999999998E-3</c:v>
                </c:pt>
                <c:pt idx="5">
                  <c:v>7.7652999999999993E-3</c:v>
                </c:pt>
                <c:pt idx="6">
                  <c:v>8.7840000000000001E-3</c:v>
                </c:pt>
                <c:pt idx="7">
                  <c:v>9.6989999999999993E-3</c:v>
                </c:pt>
                <c:pt idx="8">
                  <c:v>1.0858000000000001E-2</c:v>
                </c:pt>
                <c:pt idx="9">
                  <c:v>1.1986500000000001E-2</c:v>
                </c:pt>
                <c:pt idx="10">
                  <c:v>1.2993000000000001E-2</c:v>
                </c:pt>
                <c:pt idx="11">
                  <c:v>1.3908E-2</c:v>
                </c:pt>
                <c:pt idx="12">
                  <c:v>1.5067000000000001E-2</c:v>
                </c:pt>
                <c:pt idx="13">
                  <c:v>1.6043000000000002E-2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2.9670597283903602E-2</c:v>
                </c:pt>
                <c:pt idx="1">
                  <c:v>3.4906585039886591E-2</c:v>
                </c:pt>
                <c:pt idx="2">
                  <c:v>4.8869219055841226E-2</c:v>
                </c:pt>
                <c:pt idx="3">
                  <c:v>5.235987755982989E-2</c:v>
                </c:pt>
                <c:pt idx="4">
                  <c:v>6.806784082777885E-2</c:v>
                </c:pt>
                <c:pt idx="5">
                  <c:v>8.5521133347722156E-2</c:v>
                </c:pt>
                <c:pt idx="6">
                  <c:v>9.4247779607693802E-2</c:v>
                </c:pt>
                <c:pt idx="7">
                  <c:v>0.10821041362364842</c:v>
                </c:pt>
                <c:pt idx="8">
                  <c:v>0.11170107212763709</c:v>
                </c:pt>
                <c:pt idx="9">
                  <c:v>0.1291543646475804</c:v>
                </c:pt>
                <c:pt idx="10">
                  <c:v>0.12042771838760874</c:v>
                </c:pt>
                <c:pt idx="11">
                  <c:v>0.15533430342749532</c:v>
                </c:pt>
                <c:pt idx="12">
                  <c:v>0.16580627893946132</c:v>
                </c:pt>
                <c:pt idx="13">
                  <c:v>0.16406094968746698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4F-FA4D-BAE2-959D2E477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012047"/>
        <c:axId val="1329251407"/>
      </c:scatterChart>
      <c:valAx>
        <c:axId val="133101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51407"/>
        <c:crosses val="autoZero"/>
        <c:crossBetween val="midCat"/>
      </c:valAx>
      <c:valAx>
        <c:axId val="13292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1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Constate de Verdett vs Longitud de onda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Comparativa!$B$18</c:f>
              <c:strCache>
                <c:ptCount val="1"/>
                <c:pt idx="0">
                  <c:v>SF5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Comparativa!$A$19:$A$24</c:f>
              <c:numCache>
                <c:formatCode>General</c:formatCode>
                <c:ptCount val="6"/>
                <c:pt idx="0">
                  <c:v>435.3</c:v>
                </c:pt>
                <c:pt idx="1">
                  <c:v>541</c:v>
                </c:pt>
                <c:pt idx="2">
                  <c:v>546.1</c:v>
                </c:pt>
                <c:pt idx="3">
                  <c:v>632.79999999999995</c:v>
                </c:pt>
                <c:pt idx="4">
                  <c:v>664</c:v>
                </c:pt>
                <c:pt idx="5">
                  <c:v>1060</c:v>
                </c:pt>
              </c:numCache>
            </c:numRef>
          </c:xVal>
          <c:yVal>
            <c:numRef>
              <c:f>Comparativa!$B$19:$B$24</c:f>
              <c:numCache>
                <c:formatCode>General</c:formatCode>
                <c:ptCount val="6"/>
                <c:pt idx="0">
                  <c:v>29.6705972839036</c:v>
                </c:pt>
                <c:pt idx="1">
                  <c:v>11.505000000000001</c:v>
                </c:pt>
                <c:pt idx="2">
                  <c:v>16.871516102611849</c:v>
                </c:pt>
                <c:pt idx="3">
                  <c:v>11.926416555294585</c:v>
                </c:pt>
                <c:pt idx="4">
                  <c:v>8.77</c:v>
                </c:pt>
                <c:pt idx="5">
                  <c:v>4.0724349213201023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D-4B9D-A2F6-90005AC61E70}"/>
            </c:ext>
          </c:extLst>
        </c:ser>
        <c:ser>
          <c:idx val="1"/>
          <c:order val="1"/>
          <c:tx>
            <c:strRef>
              <c:f>Comparativa!$C$18</c:f>
              <c:strCache>
                <c:ptCount val="1"/>
                <c:pt idx="0">
                  <c:v>F2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Comparativa!$A$19:$A$24</c:f>
              <c:numCache>
                <c:formatCode>General</c:formatCode>
                <c:ptCount val="6"/>
                <c:pt idx="0">
                  <c:v>435.3</c:v>
                </c:pt>
                <c:pt idx="1">
                  <c:v>541</c:v>
                </c:pt>
                <c:pt idx="2">
                  <c:v>546.1</c:v>
                </c:pt>
                <c:pt idx="3">
                  <c:v>632.79999999999995</c:v>
                </c:pt>
                <c:pt idx="4">
                  <c:v>664</c:v>
                </c:pt>
                <c:pt idx="5">
                  <c:v>1060</c:v>
                </c:pt>
              </c:numCache>
            </c:numRef>
          </c:xVal>
          <c:yVal>
            <c:numRef>
              <c:f>Comparativa!$C$19:$C$24</c:f>
              <c:numCache>
                <c:formatCode>General</c:formatCode>
                <c:ptCount val="6"/>
                <c:pt idx="0">
                  <c:v>27.052603405912105</c:v>
                </c:pt>
                <c:pt idx="1">
                  <c:v>12.785</c:v>
                </c:pt>
                <c:pt idx="2">
                  <c:v>15.417075059283244</c:v>
                </c:pt>
                <c:pt idx="3">
                  <c:v>11.05375192929742</c:v>
                </c:pt>
                <c:pt idx="4">
                  <c:v>9.64</c:v>
                </c:pt>
                <c:pt idx="5">
                  <c:v>3.7815467126543809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D-4B9D-A2F6-90005AC61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538175"/>
        <c:axId val="846536735"/>
      </c:scatterChart>
      <c:valAx>
        <c:axId val="8465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Longitud de onda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36735"/>
        <c:crosses val="autoZero"/>
        <c:crossBetween val="midCat"/>
      </c:valAx>
      <c:valAx>
        <c:axId val="8465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Constante de Verdett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3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Comparativa!$B$37</c:f>
              <c:strCache>
                <c:ptCount val="1"/>
                <c:pt idx="0">
                  <c:v>SF5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Comparativa!$A$38:$A$43</c:f>
              <c:numCache>
                <c:formatCode>General</c:formatCode>
                <c:ptCount val="6"/>
                <c:pt idx="0">
                  <c:v>435.3</c:v>
                </c:pt>
                <c:pt idx="1">
                  <c:v>541</c:v>
                </c:pt>
                <c:pt idx="2">
                  <c:v>546.1</c:v>
                </c:pt>
                <c:pt idx="3">
                  <c:v>632.79999999999995</c:v>
                </c:pt>
                <c:pt idx="4">
                  <c:v>664</c:v>
                </c:pt>
                <c:pt idx="5">
                  <c:v>1060</c:v>
                </c:pt>
              </c:numCache>
            </c:numRef>
          </c:xVal>
          <c:yVal>
            <c:numRef>
              <c:f>Comparativa!$B$38:$B$43</c:f>
              <c:numCache>
                <c:formatCode>General</c:formatCode>
                <c:ptCount val="6"/>
                <c:pt idx="0">
                  <c:v>29.6705972839036</c:v>
                </c:pt>
                <c:pt idx="1">
                  <c:v>16.14</c:v>
                </c:pt>
                <c:pt idx="2">
                  <c:v>16.871516102611849</c:v>
                </c:pt>
                <c:pt idx="3">
                  <c:v>11.926416555294585</c:v>
                </c:pt>
                <c:pt idx="4">
                  <c:v>12.51</c:v>
                </c:pt>
                <c:pt idx="5">
                  <c:v>4.0724349213201023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C-4F17-A81E-031D4E7ACCCA}"/>
            </c:ext>
          </c:extLst>
        </c:ser>
        <c:ser>
          <c:idx val="1"/>
          <c:order val="1"/>
          <c:tx>
            <c:strRef>
              <c:f>Comparativa!$C$37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Comparativa!$A$38:$A$43</c:f>
              <c:numCache>
                <c:formatCode>General</c:formatCode>
                <c:ptCount val="6"/>
                <c:pt idx="0">
                  <c:v>435.3</c:v>
                </c:pt>
                <c:pt idx="1">
                  <c:v>541</c:v>
                </c:pt>
                <c:pt idx="2">
                  <c:v>546.1</c:v>
                </c:pt>
                <c:pt idx="3">
                  <c:v>632.79999999999995</c:v>
                </c:pt>
                <c:pt idx="4">
                  <c:v>664</c:v>
                </c:pt>
                <c:pt idx="5">
                  <c:v>1060</c:v>
                </c:pt>
              </c:numCache>
            </c:numRef>
          </c:xVal>
          <c:yVal>
            <c:numRef>
              <c:f>Comparativa!$C$38:$C$43</c:f>
              <c:numCache>
                <c:formatCode>General</c:formatCode>
                <c:ptCount val="6"/>
                <c:pt idx="0">
                  <c:v>27.052603405912105</c:v>
                </c:pt>
                <c:pt idx="1">
                  <c:v>13.54</c:v>
                </c:pt>
                <c:pt idx="2">
                  <c:v>15.417075059283244</c:v>
                </c:pt>
                <c:pt idx="3">
                  <c:v>11.05375192929742</c:v>
                </c:pt>
                <c:pt idx="4">
                  <c:v>10.38</c:v>
                </c:pt>
                <c:pt idx="5">
                  <c:v>3.7815467126543809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FC-4F17-A81E-031D4E7AC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527455"/>
        <c:axId val="810522655"/>
      </c:scatterChart>
      <c:valAx>
        <c:axId val="81052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22655"/>
        <c:crosses val="autoZero"/>
        <c:crossBetween val="midCat"/>
      </c:valAx>
      <c:valAx>
        <c:axId val="81052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2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25</xdr:row>
      <xdr:rowOff>14287</xdr:rowOff>
    </xdr:from>
    <xdr:to>
      <xdr:col>7</xdr:col>
      <xdr:colOff>323850</xdr:colOff>
      <xdr:row>39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5C5AD0-4DCC-2B99-1365-456F0531B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704850</xdr:colOff>
      <xdr:row>24</xdr:row>
      <xdr:rowOff>152400</xdr:rowOff>
    </xdr:from>
    <xdr:to>
      <xdr:col>12</xdr:col>
      <xdr:colOff>371475</xdr:colOff>
      <xdr:row>39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E64D804-63D0-9282-711F-C6F7521BB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24</xdr:row>
      <xdr:rowOff>14287</xdr:rowOff>
    </xdr:from>
    <xdr:to>
      <xdr:col>7</xdr:col>
      <xdr:colOff>323850</xdr:colOff>
      <xdr:row>38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D0640B-AB4F-40FE-B22E-89AC8A31A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952500</xdr:colOff>
      <xdr:row>24</xdr:row>
      <xdr:rowOff>42862</xdr:rowOff>
    </xdr:from>
    <xdr:to>
      <xdr:col>12</xdr:col>
      <xdr:colOff>619125</xdr:colOff>
      <xdr:row>38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F8C912-CB68-4C78-A339-62D67380C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23</xdr:row>
      <xdr:rowOff>14287</xdr:rowOff>
    </xdr:from>
    <xdr:to>
      <xdr:col>7</xdr:col>
      <xdr:colOff>323850</xdr:colOff>
      <xdr:row>37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1E1736-1B09-4D9E-80A0-074DC905A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952500</xdr:colOff>
      <xdr:row>23</xdr:row>
      <xdr:rowOff>42862</xdr:rowOff>
    </xdr:from>
    <xdr:to>
      <xdr:col>12</xdr:col>
      <xdr:colOff>619125</xdr:colOff>
      <xdr:row>37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FF6FEF-E4B9-4C8E-8CA3-9951B03F9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45</xdr:row>
      <xdr:rowOff>4762</xdr:rowOff>
    </xdr:from>
    <xdr:to>
      <xdr:col>15</xdr:col>
      <xdr:colOff>628650</xdr:colOff>
      <xdr:row>59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521564-BA46-4A9C-B029-DD5C2AC3B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161925</xdr:rowOff>
    </xdr:from>
    <xdr:to>
      <xdr:col>14</xdr:col>
      <xdr:colOff>504825</xdr:colOff>
      <xdr:row>44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805F11-9F2F-CC63-C96E-678627455061}"/>
            </a:ext>
            <a:ext uri="{147F2762-F138-4A5C-976F-8EAC2B608ADB}">
              <a16:predDERef xmlns:a16="http://schemas.microsoft.com/office/drawing/2014/main" pred="{CC521564-BA46-4A9C-B029-DD5C2AC3B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46</xdr:row>
      <xdr:rowOff>185737</xdr:rowOff>
    </xdr:from>
    <xdr:to>
      <xdr:col>13</xdr:col>
      <xdr:colOff>1162050</xdr:colOff>
      <xdr:row>61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A3B96D-8830-4AC5-9E2A-D1530990B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180974</xdr:colOff>
      <xdr:row>28</xdr:row>
      <xdr:rowOff>81407</xdr:rowOff>
    </xdr:from>
    <xdr:to>
      <xdr:col>13</xdr:col>
      <xdr:colOff>1019174</xdr:colOff>
      <xdr:row>45</xdr:row>
      <xdr:rowOff>157099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12415AA-0D67-DC68-6128-EAFA795A2940}"/>
            </a:ext>
            <a:ext uri="{147F2762-F138-4A5C-976F-8EAC2B608ADB}">
              <a16:predDERef xmlns:a16="http://schemas.microsoft.com/office/drawing/2014/main" pred="{2BA3B96D-8830-4AC5-9E2A-D1530990B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885825</xdr:colOff>
      <xdr:row>46</xdr:row>
      <xdr:rowOff>185737</xdr:rowOff>
    </xdr:from>
    <xdr:to>
      <xdr:col>14</xdr:col>
      <xdr:colOff>819150</xdr:colOff>
      <xdr:row>61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B87ED5-19C6-4C68-8686-82706886B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950213</xdr:colOff>
      <xdr:row>24</xdr:row>
      <xdr:rowOff>149352</xdr:rowOff>
    </xdr:from>
    <xdr:to>
      <xdr:col>14</xdr:col>
      <xdr:colOff>693673</xdr:colOff>
      <xdr:row>44</xdr:row>
      <xdr:rowOff>111252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3FE36A-F6F4-964F-13D4-D8CF5A736860}"/>
            </a:ext>
            <a:ext uri="{147F2762-F138-4A5C-976F-8EAC2B608ADB}">
              <a16:predDERef xmlns:a16="http://schemas.microsoft.com/office/drawing/2014/main" pred="{61B87ED5-19C6-4C68-8686-82706886B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49</xdr:row>
      <xdr:rowOff>61912</xdr:rowOff>
    </xdr:from>
    <xdr:to>
      <xdr:col>14</xdr:col>
      <xdr:colOff>161925</xdr:colOff>
      <xdr:row>63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4E7C09-81F0-4CB7-9343-ECA9FB8A4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400049</xdr:colOff>
      <xdr:row>27</xdr:row>
      <xdr:rowOff>95249</xdr:rowOff>
    </xdr:from>
    <xdr:to>
      <xdr:col>14</xdr:col>
      <xdr:colOff>371474</xdr:colOff>
      <xdr:row>47</xdr:row>
      <xdr:rowOff>180974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5B0959A-E338-21DD-CE97-6CC7C49C8E98}"/>
            </a:ext>
            <a:ext uri="{147F2762-F138-4A5C-976F-8EAC2B608ADB}">
              <a16:predDERef xmlns:a16="http://schemas.microsoft.com/office/drawing/2014/main" pred="{7A4E7C09-81F0-4CB7-9343-ECA9FB8A4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51</xdr:row>
      <xdr:rowOff>42862</xdr:rowOff>
    </xdr:from>
    <xdr:to>
      <xdr:col>14</xdr:col>
      <xdr:colOff>304800</xdr:colOff>
      <xdr:row>65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9F8646-49A6-407C-AF81-A88D27C7B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666622</xdr:colOff>
      <xdr:row>30</xdr:row>
      <xdr:rowOff>147205</xdr:rowOff>
    </xdr:from>
    <xdr:to>
      <xdr:col>14</xdr:col>
      <xdr:colOff>580158</xdr:colOff>
      <xdr:row>50</xdr:row>
      <xdr:rowOff>138048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EA245C-B677-4D87-A92E-1FE4FD3F3099}"/>
            </a:ext>
            <a:ext uri="{147F2762-F138-4A5C-976F-8EAC2B608ADB}">
              <a16:predDERef xmlns:a16="http://schemas.microsoft.com/office/drawing/2014/main" pred="{639F8646-49A6-407C-AF81-A88D27C7B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49</xdr:row>
      <xdr:rowOff>166687</xdr:rowOff>
    </xdr:from>
    <xdr:to>
      <xdr:col>13</xdr:col>
      <xdr:colOff>1152525</xdr:colOff>
      <xdr:row>64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FB3402-E785-4971-B0E3-406FA0AE6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237869</xdr:colOff>
      <xdr:row>28</xdr:row>
      <xdr:rowOff>114300</xdr:rowOff>
    </xdr:from>
    <xdr:to>
      <xdr:col>14</xdr:col>
      <xdr:colOff>752474</xdr:colOff>
      <xdr:row>48</xdr:row>
      <xdr:rowOff>61213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24370E-8F4A-4270-9150-8E0398C76878}"/>
            </a:ext>
            <a:ext uri="{147F2762-F138-4A5C-976F-8EAC2B608ADB}">
              <a16:predDERef xmlns:a16="http://schemas.microsoft.com/office/drawing/2014/main" pred="{72FB3402-E785-4971-B0E3-406FA0AE6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46</xdr:row>
      <xdr:rowOff>109537</xdr:rowOff>
    </xdr:from>
    <xdr:to>
      <xdr:col>13</xdr:col>
      <xdr:colOff>1038225</xdr:colOff>
      <xdr:row>60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CD835-A546-413C-AEBA-A235E8BDD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478917</xdr:colOff>
      <xdr:row>30</xdr:row>
      <xdr:rowOff>11429</xdr:rowOff>
    </xdr:from>
    <xdr:to>
      <xdr:col>14</xdr:col>
      <xdr:colOff>917702</xdr:colOff>
      <xdr:row>47</xdr:row>
      <xdr:rowOff>78612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E65529-5540-46B4-B9D0-446C25A0C874}"/>
            </a:ext>
            <a:ext uri="{147F2762-F138-4A5C-976F-8EAC2B608ADB}">
              <a16:predDERef xmlns:a16="http://schemas.microsoft.com/office/drawing/2014/main" pred="{1F5CD835-A546-413C-AEBA-A235E8BDD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47</xdr:row>
      <xdr:rowOff>119062</xdr:rowOff>
    </xdr:from>
    <xdr:to>
      <xdr:col>14</xdr:col>
      <xdr:colOff>400050</xdr:colOff>
      <xdr:row>62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88CEAF-FE90-462E-9F1A-26862B29F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519430</xdr:colOff>
      <xdr:row>28</xdr:row>
      <xdr:rowOff>42333</xdr:rowOff>
    </xdr:from>
    <xdr:to>
      <xdr:col>14</xdr:col>
      <xdr:colOff>1100667</xdr:colOff>
      <xdr:row>48</xdr:row>
      <xdr:rowOff>17907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04E903-D338-468A-9958-ECC355956422}"/>
            </a:ext>
            <a:ext uri="{147F2762-F138-4A5C-976F-8EAC2B608ADB}">
              <a16:predDERef xmlns:a16="http://schemas.microsoft.com/office/drawing/2014/main" pred="{5288CEAF-FE90-462E-9F1A-26862B29F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133350</xdr:rowOff>
    </xdr:from>
    <xdr:to>
      <xdr:col>12</xdr:col>
      <xdr:colOff>171450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D2EC1-7BD3-9094-9DFF-F55072B29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0</xdr:row>
      <xdr:rowOff>0</xdr:rowOff>
    </xdr:from>
    <xdr:to>
      <xdr:col>12</xdr:col>
      <xdr:colOff>38100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F3B6C-0B22-63BF-3B41-2AF57F14005D}"/>
            </a:ext>
            <a:ext uri="{147F2762-F138-4A5C-976F-8EAC2B608ADB}">
              <a16:predDERef xmlns:a16="http://schemas.microsoft.com/office/drawing/2014/main" pred="{020D2EC1-7BD3-9094-9DFF-F55072B29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17</xdr:row>
      <xdr:rowOff>142875</xdr:rowOff>
    </xdr:from>
    <xdr:to>
      <xdr:col>13</xdr:col>
      <xdr:colOff>476250</xdr:colOff>
      <xdr:row>32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139886-CDCF-CF1A-48C9-92C194679DF6}"/>
            </a:ext>
            <a:ext uri="{147F2762-F138-4A5C-976F-8EAC2B608ADB}">
              <a16:predDERef xmlns:a16="http://schemas.microsoft.com/office/drawing/2014/main" pred="{9F1F3B6C-0B22-63BF-3B41-2AF57F140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238125</xdr:colOff>
      <xdr:row>32</xdr:row>
      <xdr:rowOff>114300</xdr:rowOff>
    </xdr:from>
    <xdr:to>
      <xdr:col>13</xdr:col>
      <xdr:colOff>542925</xdr:colOff>
      <xdr:row>47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5A0486-DD06-B866-AA01-6C8388919125}"/>
            </a:ext>
            <a:ext uri="{147F2762-F138-4A5C-976F-8EAC2B608ADB}">
              <a16:predDERef xmlns:a16="http://schemas.microsoft.com/office/drawing/2014/main" pred="{68139886-CDCF-CF1A-48C9-92C194679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47</xdr:row>
      <xdr:rowOff>57150</xdr:rowOff>
    </xdr:from>
    <xdr:to>
      <xdr:col>14</xdr:col>
      <xdr:colOff>0</xdr:colOff>
      <xdr:row>61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8E272B-CE36-F16D-A044-E95A6C033295}"/>
            </a:ext>
            <a:ext uri="{147F2762-F138-4A5C-976F-8EAC2B608ADB}">
              <a16:predDERef xmlns:a16="http://schemas.microsoft.com/office/drawing/2014/main" pred="{395A0486-DD06-B866-AA01-6C8388919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209550</xdr:colOff>
      <xdr:row>62</xdr:row>
      <xdr:rowOff>9525</xdr:rowOff>
    </xdr:from>
    <xdr:to>
      <xdr:col>13</xdr:col>
      <xdr:colOff>514350</xdr:colOff>
      <xdr:row>76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456648-D5C3-FD94-CAF3-BBF18BC7E655}"/>
            </a:ext>
            <a:ext uri="{147F2762-F138-4A5C-976F-8EAC2B608ADB}">
              <a16:predDERef xmlns:a16="http://schemas.microsoft.com/office/drawing/2014/main" pred="{498E272B-CE36-F16D-A044-E95A6C033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238125</xdr:colOff>
      <xdr:row>77</xdr:row>
      <xdr:rowOff>104775</xdr:rowOff>
    </xdr:from>
    <xdr:to>
      <xdr:col>13</xdr:col>
      <xdr:colOff>542925</xdr:colOff>
      <xdr:row>91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EB986F-7A16-6588-82AE-3534057B5682}"/>
            </a:ext>
            <a:ext uri="{147F2762-F138-4A5C-976F-8EAC2B608ADB}">
              <a16:predDERef xmlns:a16="http://schemas.microsoft.com/office/drawing/2014/main" pred="{A4456648-D5C3-FD94-CAF3-BBF18BC7E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190500</xdr:colOff>
      <xdr:row>92</xdr:row>
      <xdr:rowOff>38100</xdr:rowOff>
    </xdr:from>
    <xdr:to>
      <xdr:col>13</xdr:col>
      <xdr:colOff>495300</xdr:colOff>
      <xdr:row>106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16BDB7-4537-6A29-8794-107A3A68EF8A}"/>
            </a:ext>
            <a:ext uri="{147F2762-F138-4A5C-976F-8EAC2B608ADB}">
              <a16:predDERef xmlns:a16="http://schemas.microsoft.com/office/drawing/2014/main" pred="{3DEB986F-7A16-6588-82AE-3534057B5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88295</xdr:colOff>
      <xdr:row>0</xdr:row>
      <xdr:rowOff>0</xdr:rowOff>
    </xdr:from>
    <xdr:to>
      <xdr:col>19</xdr:col>
      <xdr:colOff>97421</xdr:colOff>
      <xdr:row>14</xdr:row>
      <xdr:rowOff>47600</xdr:rowOff>
    </xdr:to>
    <xdr:graphicFrame macro="">
      <xdr:nvGraphicFramePr>
        <xdr:cNvPr id="12" name="Gráfico 2">
          <a:extLst>
            <a:ext uri="{FF2B5EF4-FFF2-40B4-BE49-F238E27FC236}">
              <a16:creationId xmlns:a16="http://schemas.microsoft.com/office/drawing/2014/main" id="{D0F7A72E-4CA0-D7FB-6681-E11E00537665}"/>
            </a:ext>
            <a:ext uri="{147F2762-F138-4A5C-976F-8EAC2B608ADB}">
              <a16:predDERef xmlns:a16="http://schemas.microsoft.com/office/drawing/2014/main" pred="{5216BDB7-4537-6A29-8794-107A3A68E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17</xdr:row>
      <xdr:rowOff>38100</xdr:rowOff>
    </xdr:from>
    <xdr:to>
      <xdr:col>12</xdr:col>
      <xdr:colOff>428624</xdr:colOff>
      <xdr:row>34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9A2AD7-EFD1-92C4-59FA-7D1BCC343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1420812</xdr:colOff>
      <xdr:row>32</xdr:row>
      <xdr:rowOff>176213</xdr:rowOff>
    </xdr:from>
    <xdr:to>
      <xdr:col>9</xdr:col>
      <xdr:colOff>754062</xdr:colOff>
      <xdr:row>47</xdr:row>
      <xdr:rowOff>61913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4B890C-32B3-4FB5-3D50-E59B0750E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4B64-F966-432B-AB15-F3334D8EDEE6}">
  <dimension ref="A1:AA41"/>
  <sheetViews>
    <sheetView topLeftCell="P1" workbookViewId="0">
      <selection activeCell="W24" sqref="W24"/>
    </sheetView>
  </sheetViews>
  <sheetFormatPr defaultColWidth="11.42578125" defaultRowHeight="15"/>
  <cols>
    <col min="1" max="1" width="15.42578125" customWidth="1"/>
    <col min="2" max="2" width="16.7109375" customWidth="1"/>
    <col min="3" max="3" width="21" customWidth="1"/>
    <col min="4" max="4" width="19.5703125" customWidth="1"/>
    <col min="5" max="6" width="14.5703125" customWidth="1"/>
    <col min="7" max="7" width="18.85546875" customWidth="1"/>
    <col min="8" max="9" width="16.28515625" customWidth="1"/>
    <col min="10" max="10" width="18.28515625" customWidth="1"/>
    <col min="11" max="11" width="11.7109375" customWidth="1"/>
    <col min="12" max="12" width="11" customWidth="1"/>
    <col min="13" max="13" width="17.85546875" customWidth="1"/>
    <col min="14" max="15" width="16.7109375" customWidth="1"/>
    <col min="17" max="17" width="18.5703125" customWidth="1"/>
    <col min="18" max="18" width="15.5703125" customWidth="1"/>
    <col min="20" max="20" width="17.85546875" customWidth="1"/>
    <col min="21" max="21" width="17.42578125" customWidth="1"/>
    <col min="22" max="22" width="11.85546875" customWidth="1"/>
    <col min="23" max="23" width="16.7109375" customWidth="1"/>
    <col min="27" max="27" width="14.42578125" customWidth="1"/>
  </cols>
  <sheetData>
    <row r="1" spans="1:27">
      <c r="A1" t="s">
        <v>0</v>
      </c>
      <c r="B1" t="s">
        <v>1</v>
      </c>
      <c r="C1">
        <v>41</v>
      </c>
      <c r="D1" t="s">
        <v>2</v>
      </c>
      <c r="E1">
        <v>42</v>
      </c>
    </row>
    <row r="2" spans="1:2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10</v>
      </c>
      <c r="J2" t="s">
        <v>11</v>
      </c>
      <c r="K2" t="s">
        <v>12</v>
      </c>
      <c r="L2" t="s">
        <v>8</v>
      </c>
      <c r="M2" t="s">
        <v>11</v>
      </c>
      <c r="N2" t="s">
        <v>13</v>
      </c>
      <c r="O2" t="s">
        <v>14</v>
      </c>
      <c r="P2" t="s">
        <v>8</v>
      </c>
      <c r="Q2" t="s">
        <v>11</v>
      </c>
      <c r="R2" t="s">
        <v>15</v>
      </c>
      <c r="S2" t="s">
        <v>8</v>
      </c>
      <c r="T2" t="s">
        <v>11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19</v>
      </c>
      <c r="AA2" t="s">
        <v>21</v>
      </c>
    </row>
    <row r="3" spans="1:27">
      <c r="A3">
        <v>3.05</v>
      </c>
      <c r="B3">
        <f>$A$3/100</f>
        <v>3.0499999999999999E-2</v>
      </c>
      <c r="C3">
        <v>42</v>
      </c>
      <c r="D3" s="1">
        <v>41</v>
      </c>
      <c r="E3">
        <v>1</v>
      </c>
      <c r="F3">
        <f>$E$3/2</f>
        <v>0.5</v>
      </c>
      <c r="G3">
        <f>ABS(C3-D3)</f>
        <v>1</v>
      </c>
      <c r="H3">
        <f>SQRT(2)*F3</f>
        <v>0.70710678118654757</v>
      </c>
      <c r="I3">
        <f>RADIANS(G3)</f>
        <v>1.7453292519943295E-2</v>
      </c>
      <c r="J3">
        <f>H3/G3 * 100</f>
        <v>70.710678118654755</v>
      </c>
      <c r="K3">
        <v>0.6</v>
      </c>
      <c r="L3">
        <f xml:space="preserve"> (0.05*K3/100) + 0.01</f>
        <v>1.03E-2</v>
      </c>
      <c r="M3">
        <f xml:space="preserve"> L3/K3*100</f>
        <v>1.7166666666666668</v>
      </c>
      <c r="N3">
        <v>46.5</v>
      </c>
      <c r="O3">
        <f>N3*0.0001</f>
        <v>4.6500000000000005E-3</v>
      </c>
      <c r="P3">
        <f>(N3*0.6/100)+3</f>
        <v>3.2789999999999999</v>
      </c>
      <c r="Q3">
        <f>P3/N3 * 100</f>
        <v>7.0516129032258066</v>
      </c>
      <c r="R3">
        <f>I3/(O3*B3)</f>
        <v>123.06217183108262</v>
      </c>
      <c r="S3">
        <f>$R$19/SQRT(15)</f>
        <v>8.7809027666659922</v>
      </c>
      <c r="T3">
        <f>S3/$R$18*100</f>
        <v>9.5444800630532018</v>
      </c>
      <c r="U3">
        <v>13.32</v>
      </c>
      <c r="V3">
        <f>ABS(U3-R3)/U3 *100</f>
        <v>823.89017891203173</v>
      </c>
      <c r="W3">
        <f>1/(R3/U3) *100</f>
        <v>10.823797274017947</v>
      </c>
      <c r="X3">
        <f>AVERAGE(W3:W17)</f>
        <v>17.205154558317027</v>
      </c>
      <c r="Y3">
        <f xml:space="preserve"> (R3/U3)</f>
        <v>9.238901789120316</v>
      </c>
      <c r="Z3">
        <f>AVERAGE(Y3:Y17)</f>
        <v>6.9068920473338222</v>
      </c>
      <c r="AA3">
        <f>R3</f>
        <v>123.06217183108262</v>
      </c>
    </row>
    <row r="4" spans="1:27">
      <c r="A4">
        <v>3.05</v>
      </c>
      <c r="B4">
        <f t="shared" ref="B4:B17" si="0">$A$3/100</f>
        <v>3.0499999999999999E-2</v>
      </c>
      <c r="C4">
        <v>42</v>
      </c>
      <c r="D4">
        <v>40</v>
      </c>
      <c r="E4">
        <v>1</v>
      </c>
      <c r="F4">
        <f t="shared" ref="F4:F17" si="1">$E$3/2</f>
        <v>0.5</v>
      </c>
      <c r="G4">
        <f t="shared" ref="G4:G17" si="2">ABS(C4-D4)</f>
        <v>2</v>
      </c>
      <c r="H4">
        <f t="shared" ref="H4:H17" si="3">SQRT(2)*F4</f>
        <v>0.70710678118654757</v>
      </c>
      <c r="I4">
        <f t="shared" ref="I4:I17" si="4">RADIANS(G4)</f>
        <v>3.4906585039886591E-2</v>
      </c>
      <c r="J4">
        <f t="shared" ref="J4:J17" si="5">H4/G4 * 100</f>
        <v>35.355339059327378</v>
      </c>
      <c r="K4">
        <v>1.04</v>
      </c>
      <c r="L4">
        <f t="shared" ref="L4:L17" si="6" xml:space="preserve"> (0.05*K4/100) + 0.01</f>
        <v>1.052E-2</v>
      </c>
      <c r="M4">
        <f t="shared" ref="M4:M17" si="7" xml:space="preserve"> L4/K4*100</f>
        <v>1.0115384615384615</v>
      </c>
      <c r="N4">
        <v>79</v>
      </c>
      <c r="O4">
        <f t="shared" ref="O4:O17" si="8">N4*0.0001</f>
        <v>7.9000000000000008E-3</v>
      </c>
      <c r="P4">
        <f t="shared" ref="P4:P17" si="9">(N4*0.6/100)+3</f>
        <v>3.4740000000000002</v>
      </c>
      <c r="Q4">
        <f t="shared" ref="Q4:Q17" si="10">P4/N4 * 100</f>
        <v>4.3974683544303801</v>
      </c>
      <c r="R4">
        <f t="shared" ref="R4:R17" si="11">I4/(O4*B4)</f>
        <v>144.87065797836308</v>
      </c>
      <c r="S4">
        <f t="shared" ref="S4:S17" si="12">$R$19/SQRT(15)</f>
        <v>8.7809027666659922</v>
      </c>
      <c r="T4">
        <f t="shared" ref="T4:T17" si="13">S4/$R$18*100</f>
        <v>9.5444800630532018</v>
      </c>
      <c r="U4">
        <v>13.32</v>
      </c>
      <c r="V4">
        <f t="shared" ref="V4:V17" si="14">ABS(U4-R4)/U4 *100</f>
        <v>987.61755239011325</v>
      </c>
      <c r="W4">
        <f t="shared" ref="W4:W17" si="15">1/(R4/U4) *100</f>
        <v>9.1944084370690078</v>
      </c>
      <c r="Y4">
        <f xml:space="preserve"> (R4/U4)</f>
        <v>10.876175523901132</v>
      </c>
      <c r="AA4">
        <f t="shared" ref="AA4:AA17" si="16">R4</f>
        <v>144.87065797836308</v>
      </c>
    </row>
    <row r="5" spans="1:27">
      <c r="A5">
        <v>3.05</v>
      </c>
      <c r="B5">
        <f t="shared" si="0"/>
        <v>3.0499999999999999E-2</v>
      </c>
      <c r="C5">
        <v>42</v>
      </c>
      <c r="D5">
        <v>39</v>
      </c>
      <c r="E5">
        <v>1</v>
      </c>
      <c r="F5">
        <f t="shared" si="1"/>
        <v>0.5</v>
      </c>
      <c r="G5">
        <f t="shared" si="2"/>
        <v>3</v>
      </c>
      <c r="H5">
        <f t="shared" si="3"/>
        <v>0.70710678118654757</v>
      </c>
      <c r="I5">
        <f t="shared" si="4"/>
        <v>5.235987755982989E-2</v>
      </c>
      <c r="J5">
        <f t="shared" si="5"/>
        <v>23.570226039551585</v>
      </c>
      <c r="K5">
        <v>1.5</v>
      </c>
      <c r="L5">
        <f t="shared" si="6"/>
        <v>1.0750000000000001E-2</v>
      </c>
      <c r="M5">
        <f t="shared" si="7"/>
        <v>0.71666666666666679</v>
      </c>
      <c r="N5">
        <v>114</v>
      </c>
      <c r="O5">
        <f t="shared" si="8"/>
        <v>1.14E-2</v>
      </c>
      <c r="P5">
        <f t="shared" si="9"/>
        <v>3.6840000000000002</v>
      </c>
      <c r="Q5">
        <f t="shared" si="10"/>
        <v>3.2315789473684213</v>
      </c>
      <c r="R5">
        <f t="shared" si="11"/>
        <v>150.5892365827722</v>
      </c>
      <c r="S5">
        <f t="shared" si="12"/>
        <v>8.7809027666659922</v>
      </c>
      <c r="T5">
        <f t="shared" si="13"/>
        <v>9.5444800630532018</v>
      </c>
      <c r="U5">
        <v>13.32</v>
      </c>
      <c r="V5">
        <f t="shared" si="14"/>
        <v>1030.5498241949865</v>
      </c>
      <c r="W5">
        <f t="shared" si="15"/>
        <v>8.8452536862942335</v>
      </c>
      <c r="Y5">
        <f t="shared" ref="Y5:Y17" si="17" xml:space="preserve"> (R5/U5)</f>
        <v>11.305498241949865</v>
      </c>
      <c r="AA5">
        <f t="shared" si="16"/>
        <v>150.5892365827722</v>
      </c>
    </row>
    <row r="6" spans="1:27">
      <c r="A6">
        <v>3.05</v>
      </c>
      <c r="B6">
        <f t="shared" si="0"/>
        <v>3.0499999999999999E-2</v>
      </c>
      <c r="C6">
        <v>42</v>
      </c>
      <c r="D6">
        <v>41</v>
      </c>
      <c r="E6">
        <v>1</v>
      </c>
      <c r="F6">
        <f t="shared" si="1"/>
        <v>0.5</v>
      </c>
      <c r="G6">
        <f t="shared" si="2"/>
        <v>1</v>
      </c>
      <c r="H6">
        <f t="shared" si="3"/>
        <v>0.70710678118654757</v>
      </c>
      <c r="I6">
        <f t="shared" si="4"/>
        <v>1.7453292519943295E-2</v>
      </c>
      <c r="J6">
        <f t="shared" si="5"/>
        <v>70.710678118654755</v>
      </c>
      <c r="K6">
        <v>2.0499999999999998</v>
      </c>
      <c r="L6">
        <f t="shared" si="6"/>
        <v>1.1025E-2</v>
      </c>
      <c r="M6">
        <f t="shared" si="7"/>
        <v>0.53780487804878052</v>
      </c>
      <c r="N6">
        <v>158</v>
      </c>
      <c r="O6">
        <f t="shared" si="8"/>
        <v>1.5800000000000002E-2</v>
      </c>
      <c r="P6">
        <f t="shared" si="9"/>
        <v>3.948</v>
      </c>
      <c r="Q6">
        <f t="shared" si="10"/>
        <v>2.4987341772151899</v>
      </c>
      <c r="R6">
        <f t="shared" si="11"/>
        <v>36.217664494590771</v>
      </c>
      <c r="S6">
        <f t="shared" si="12"/>
        <v>8.7809027666659922</v>
      </c>
      <c r="T6">
        <f t="shared" si="13"/>
        <v>9.5444800630532018</v>
      </c>
      <c r="U6">
        <v>13.32</v>
      </c>
      <c r="V6">
        <f t="shared" si="14"/>
        <v>171.90438809752831</v>
      </c>
      <c r="W6">
        <f t="shared" si="15"/>
        <v>36.777633748276031</v>
      </c>
      <c r="Y6">
        <f t="shared" si="17"/>
        <v>2.719043880975283</v>
      </c>
      <c r="AA6">
        <f t="shared" si="16"/>
        <v>36.217664494590771</v>
      </c>
    </row>
    <row r="7" spans="1:27">
      <c r="A7">
        <v>3.05</v>
      </c>
      <c r="B7">
        <f t="shared" si="0"/>
        <v>3.0499999999999999E-2</v>
      </c>
      <c r="C7">
        <v>42</v>
      </c>
      <c r="D7">
        <v>42</v>
      </c>
      <c r="E7">
        <v>1</v>
      </c>
      <c r="F7">
        <f t="shared" si="1"/>
        <v>0.5</v>
      </c>
      <c r="G7">
        <f t="shared" si="2"/>
        <v>0</v>
      </c>
      <c r="H7">
        <f t="shared" si="3"/>
        <v>0.70710678118654757</v>
      </c>
      <c r="I7">
        <f t="shared" si="4"/>
        <v>0</v>
      </c>
      <c r="J7" t="e">
        <f t="shared" si="5"/>
        <v>#DIV/0!</v>
      </c>
      <c r="K7">
        <v>2.52</v>
      </c>
      <c r="L7">
        <f t="shared" si="6"/>
        <v>1.1260000000000001E-2</v>
      </c>
      <c r="M7">
        <f t="shared" si="7"/>
        <v>0.44682539682539685</v>
      </c>
      <c r="N7">
        <v>192</v>
      </c>
      <c r="O7">
        <f t="shared" si="8"/>
        <v>1.9200000000000002E-2</v>
      </c>
      <c r="P7">
        <f t="shared" si="9"/>
        <v>4.1520000000000001</v>
      </c>
      <c r="Q7">
        <f t="shared" si="10"/>
        <v>2.1625000000000001</v>
      </c>
      <c r="S7">
        <f t="shared" si="12"/>
        <v>8.7809027666659922</v>
      </c>
      <c r="T7">
        <f t="shared" si="13"/>
        <v>9.5444800630532018</v>
      </c>
      <c r="U7">
        <v>13.32</v>
      </c>
      <c r="V7">
        <f t="shared" si="14"/>
        <v>100</v>
      </c>
    </row>
    <row r="8" spans="1:27">
      <c r="A8">
        <v>3.05</v>
      </c>
      <c r="B8">
        <f t="shared" si="0"/>
        <v>3.0499999999999999E-2</v>
      </c>
      <c r="C8">
        <v>42</v>
      </c>
      <c r="D8">
        <v>44</v>
      </c>
      <c r="E8">
        <v>1</v>
      </c>
      <c r="F8">
        <f t="shared" si="1"/>
        <v>0.5</v>
      </c>
      <c r="G8">
        <f t="shared" si="2"/>
        <v>2</v>
      </c>
      <c r="H8">
        <f t="shared" si="3"/>
        <v>0.70710678118654757</v>
      </c>
      <c r="I8">
        <f t="shared" si="4"/>
        <v>3.4906585039886591E-2</v>
      </c>
      <c r="J8">
        <f t="shared" si="5"/>
        <v>35.355339059327378</v>
      </c>
      <c r="K8">
        <v>3.01</v>
      </c>
      <c r="L8">
        <f t="shared" si="6"/>
        <v>1.1505E-2</v>
      </c>
      <c r="M8">
        <f t="shared" si="7"/>
        <v>0.38222591362126246</v>
      </c>
      <c r="N8">
        <v>228</v>
      </c>
      <c r="O8">
        <f t="shared" si="8"/>
        <v>2.2800000000000001E-2</v>
      </c>
      <c r="P8">
        <f t="shared" si="9"/>
        <v>4.3680000000000003</v>
      </c>
      <c r="Q8">
        <f t="shared" si="10"/>
        <v>1.9157894736842107</v>
      </c>
      <c r="R8">
        <f t="shared" si="11"/>
        <v>50.196412194257391</v>
      </c>
      <c r="S8">
        <f t="shared" si="12"/>
        <v>8.7809027666659922</v>
      </c>
      <c r="T8">
        <f t="shared" si="13"/>
        <v>9.5444800630532018</v>
      </c>
      <c r="U8">
        <v>13.32</v>
      </c>
      <c r="V8">
        <f t="shared" si="14"/>
        <v>276.84994139832872</v>
      </c>
      <c r="W8">
        <f t="shared" si="15"/>
        <v>26.535761058882702</v>
      </c>
      <c r="Y8">
        <f t="shared" si="17"/>
        <v>3.7684994139832875</v>
      </c>
      <c r="AA8">
        <f t="shared" si="16"/>
        <v>50.196412194257391</v>
      </c>
    </row>
    <row r="9" spans="1:27">
      <c r="A9">
        <v>3.05</v>
      </c>
      <c r="B9">
        <f t="shared" si="0"/>
        <v>3.0499999999999999E-2</v>
      </c>
      <c r="C9">
        <v>42</v>
      </c>
      <c r="D9">
        <v>44</v>
      </c>
      <c r="E9">
        <v>1</v>
      </c>
      <c r="F9">
        <f t="shared" si="1"/>
        <v>0.5</v>
      </c>
      <c r="G9">
        <f t="shared" si="2"/>
        <v>2</v>
      </c>
      <c r="H9">
        <f t="shared" si="3"/>
        <v>0.70710678118654757</v>
      </c>
      <c r="I9">
        <f t="shared" si="4"/>
        <v>3.4906585039886591E-2</v>
      </c>
      <c r="J9">
        <f t="shared" si="5"/>
        <v>35.355339059327378</v>
      </c>
      <c r="K9">
        <v>3.51</v>
      </c>
      <c r="L9">
        <f t="shared" si="6"/>
        <v>1.1755E-2</v>
      </c>
      <c r="M9">
        <f t="shared" si="7"/>
        <v>0.33490028490028489</v>
      </c>
      <c r="N9">
        <v>264</v>
      </c>
      <c r="O9">
        <f t="shared" si="8"/>
        <v>2.64E-2</v>
      </c>
      <c r="P9">
        <f t="shared" si="9"/>
        <v>4.5839999999999996</v>
      </c>
      <c r="Q9">
        <f t="shared" si="10"/>
        <v>1.7363636363636363</v>
      </c>
      <c r="R9">
        <f t="shared" si="11"/>
        <v>43.351446895040482</v>
      </c>
      <c r="S9">
        <f t="shared" si="12"/>
        <v>8.7809027666659922</v>
      </c>
      <c r="T9">
        <f t="shared" si="13"/>
        <v>9.5444800630532018</v>
      </c>
      <c r="U9">
        <v>13.32</v>
      </c>
      <c r="V9">
        <f t="shared" si="14"/>
        <v>225.46131302582944</v>
      </c>
      <c r="W9">
        <f t="shared" si="15"/>
        <v>30.725618068179966</v>
      </c>
      <c r="Y9">
        <f t="shared" si="17"/>
        <v>3.2546131302582944</v>
      </c>
      <c r="AA9">
        <f t="shared" si="16"/>
        <v>43.351446895040482</v>
      </c>
    </row>
    <row r="10" spans="1:27">
      <c r="A10">
        <v>3.05</v>
      </c>
      <c r="B10">
        <f t="shared" si="0"/>
        <v>3.0499999999999999E-2</v>
      </c>
      <c r="C10">
        <v>42</v>
      </c>
      <c r="D10">
        <v>37</v>
      </c>
      <c r="E10">
        <v>1</v>
      </c>
      <c r="F10">
        <f t="shared" si="1"/>
        <v>0.5</v>
      </c>
      <c r="G10">
        <f t="shared" si="2"/>
        <v>5</v>
      </c>
      <c r="H10">
        <f t="shared" si="3"/>
        <v>0.70710678118654757</v>
      </c>
      <c r="I10">
        <f t="shared" si="4"/>
        <v>8.7266462599716474E-2</v>
      </c>
      <c r="J10">
        <f t="shared" si="5"/>
        <v>14.142135623730951</v>
      </c>
      <c r="K10">
        <v>4</v>
      </c>
      <c r="L10">
        <f t="shared" si="6"/>
        <v>1.2E-2</v>
      </c>
      <c r="M10">
        <f t="shared" si="7"/>
        <v>0.3</v>
      </c>
      <c r="N10">
        <v>300</v>
      </c>
      <c r="O10">
        <f t="shared" si="8"/>
        <v>3.0000000000000002E-2</v>
      </c>
      <c r="P10">
        <f t="shared" si="9"/>
        <v>4.8</v>
      </c>
      <c r="Q10">
        <f t="shared" si="10"/>
        <v>1.6</v>
      </c>
      <c r="R10">
        <f t="shared" si="11"/>
        <v>95.373183169089046</v>
      </c>
      <c r="S10">
        <f t="shared" si="12"/>
        <v>8.7809027666659922</v>
      </c>
      <c r="T10">
        <f t="shared" si="13"/>
        <v>9.5444800630532018</v>
      </c>
      <c r="U10">
        <v>13.32</v>
      </c>
      <c r="V10">
        <f t="shared" si="14"/>
        <v>616.01488865682461</v>
      </c>
      <c r="W10">
        <f t="shared" si="15"/>
        <v>13.966190030990894</v>
      </c>
      <c r="Y10">
        <f t="shared" si="17"/>
        <v>7.1601488865682468</v>
      </c>
      <c r="AA10">
        <f t="shared" si="16"/>
        <v>95.373183169089046</v>
      </c>
    </row>
    <row r="11" spans="1:27">
      <c r="A11">
        <v>3.05</v>
      </c>
      <c r="B11">
        <f t="shared" si="0"/>
        <v>3.0499999999999999E-2</v>
      </c>
      <c r="C11">
        <v>42</v>
      </c>
      <c r="D11">
        <v>37</v>
      </c>
      <c r="E11">
        <v>1</v>
      </c>
      <c r="F11">
        <f t="shared" si="1"/>
        <v>0.5</v>
      </c>
      <c r="G11">
        <f t="shared" si="2"/>
        <v>5</v>
      </c>
      <c r="H11">
        <f t="shared" si="3"/>
        <v>0.70710678118654757</v>
      </c>
      <c r="I11">
        <f t="shared" si="4"/>
        <v>8.7266462599716474E-2</v>
      </c>
      <c r="J11">
        <f t="shared" si="5"/>
        <v>14.142135623730951</v>
      </c>
      <c r="K11">
        <v>4.53</v>
      </c>
      <c r="L11">
        <f t="shared" si="6"/>
        <v>1.2265000000000002E-2</v>
      </c>
      <c r="M11">
        <f t="shared" si="7"/>
        <v>0.2707505518763797</v>
      </c>
      <c r="N11">
        <v>343</v>
      </c>
      <c r="O11">
        <f t="shared" si="8"/>
        <v>3.4300000000000004E-2</v>
      </c>
      <c r="P11">
        <f t="shared" si="9"/>
        <v>5.0579999999999998</v>
      </c>
      <c r="Q11">
        <f t="shared" si="10"/>
        <v>1.4746355685131194</v>
      </c>
      <c r="R11">
        <f t="shared" si="11"/>
        <v>83.41677828200207</v>
      </c>
      <c r="S11">
        <f t="shared" si="12"/>
        <v>8.7809027666659922</v>
      </c>
      <c r="T11">
        <f t="shared" si="13"/>
        <v>9.5444800630532018</v>
      </c>
      <c r="U11">
        <v>13.32</v>
      </c>
      <c r="V11">
        <f t="shared" si="14"/>
        <v>526.25208920421983</v>
      </c>
      <c r="W11">
        <f t="shared" si="15"/>
        <v>15.968010602099591</v>
      </c>
      <c r="Y11">
        <f t="shared" si="17"/>
        <v>6.2625208920421978</v>
      </c>
      <c r="AA11">
        <f t="shared" si="16"/>
        <v>83.41677828200207</v>
      </c>
    </row>
    <row r="12" spans="1:27">
      <c r="A12">
        <v>3.05</v>
      </c>
      <c r="B12">
        <f t="shared" si="0"/>
        <v>3.0499999999999999E-2</v>
      </c>
      <c r="C12">
        <v>42</v>
      </c>
      <c r="D12">
        <v>35</v>
      </c>
      <c r="E12">
        <v>1</v>
      </c>
      <c r="F12">
        <f t="shared" si="1"/>
        <v>0.5</v>
      </c>
      <c r="G12">
        <f t="shared" si="2"/>
        <v>7</v>
      </c>
      <c r="H12">
        <f t="shared" si="3"/>
        <v>0.70710678118654757</v>
      </c>
      <c r="I12">
        <f t="shared" si="4"/>
        <v>0.12217304763960307</v>
      </c>
      <c r="J12">
        <f t="shared" si="5"/>
        <v>10.101525445522109</v>
      </c>
      <c r="K12">
        <v>5</v>
      </c>
      <c r="L12">
        <f t="shared" si="6"/>
        <v>1.2500000000000001E-2</v>
      </c>
      <c r="M12">
        <f t="shared" si="7"/>
        <v>0.25</v>
      </c>
      <c r="N12">
        <v>375</v>
      </c>
      <c r="O12">
        <f t="shared" si="8"/>
        <v>3.7499999999999999E-2</v>
      </c>
      <c r="P12">
        <f t="shared" si="9"/>
        <v>5.25</v>
      </c>
      <c r="Q12">
        <f t="shared" si="10"/>
        <v>1.4000000000000001</v>
      </c>
      <c r="R12">
        <f t="shared" si="11"/>
        <v>106.81796514937973</v>
      </c>
      <c r="S12">
        <f t="shared" si="12"/>
        <v>8.7809027666659922</v>
      </c>
      <c r="T12">
        <f t="shared" si="13"/>
        <v>9.5444800630532018</v>
      </c>
      <c r="U12">
        <v>13.32</v>
      </c>
      <c r="V12">
        <f t="shared" si="14"/>
        <v>701.93667529564357</v>
      </c>
      <c r="W12">
        <f t="shared" si="15"/>
        <v>12.469812527670442</v>
      </c>
      <c r="Y12">
        <f t="shared" si="17"/>
        <v>8.0193667529564365</v>
      </c>
      <c r="AA12">
        <f t="shared" si="16"/>
        <v>106.81796514937973</v>
      </c>
    </row>
    <row r="13" spans="1:27">
      <c r="A13">
        <v>3.05</v>
      </c>
      <c r="B13">
        <f t="shared" si="0"/>
        <v>3.0499999999999999E-2</v>
      </c>
      <c r="C13">
        <v>42</v>
      </c>
      <c r="D13">
        <v>33</v>
      </c>
      <c r="E13">
        <v>1</v>
      </c>
      <c r="F13">
        <f t="shared" si="1"/>
        <v>0.5</v>
      </c>
      <c r="G13">
        <f t="shared" si="2"/>
        <v>9</v>
      </c>
      <c r="H13">
        <f t="shared" si="3"/>
        <v>0.70710678118654757</v>
      </c>
      <c r="I13">
        <f t="shared" si="4"/>
        <v>0.15707963267948966</v>
      </c>
      <c r="J13">
        <f t="shared" si="5"/>
        <v>7.8567420131838626</v>
      </c>
      <c r="K13">
        <v>5.49</v>
      </c>
      <c r="L13">
        <f t="shared" si="6"/>
        <v>1.2744999999999999E-2</v>
      </c>
      <c r="M13">
        <f t="shared" si="7"/>
        <v>0.23214936247723134</v>
      </c>
      <c r="N13">
        <v>417</v>
      </c>
      <c r="O13">
        <f t="shared" si="8"/>
        <v>4.1700000000000001E-2</v>
      </c>
      <c r="P13">
        <f t="shared" si="9"/>
        <v>5.5019999999999998</v>
      </c>
      <c r="Q13">
        <f t="shared" si="10"/>
        <v>1.3194244604316545</v>
      </c>
      <c r="R13">
        <f t="shared" si="11"/>
        <v>123.50484151392827</v>
      </c>
      <c r="S13">
        <f t="shared" si="12"/>
        <v>8.7809027666659922</v>
      </c>
      <c r="T13">
        <f t="shared" si="13"/>
        <v>9.5444800630532018</v>
      </c>
      <c r="U13">
        <v>13.32</v>
      </c>
      <c r="V13">
        <f t="shared" si="14"/>
        <v>827.21352487934132</v>
      </c>
      <c r="W13">
        <f t="shared" si="15"/>
        <v>10.785002301709635</v>
      </c>
      <c r="Y13">
        <f t="shared" si="17"/>
        <v>9.272135248793413</v>
      </c>
      <c r="AA13">
        <f t="shared" si="16"/>
        <v>123.50484151392827</v>
      </c>
    </row>
    <row r="14" spans="1:27">
      <c r="A14">
        <v>3.05</v>
      </c>
      <c r="B14">
        <f t="shared" si="0"/>
        <v>3.0499999999999999E-2</v>
      </c>
      <c r="C14">
        <v>42</v>
      </c>
      <c r="D14">
        <v>35</v>
      </c>
      <c r="E14">
        <v>1</v>
      </c>
      <c r="F14">
        <f t="shared" si="1"/>
        <v>0.5</v>
      </c>
      <c r="G14">
        <f t="shared" si="2"/>
        <v>7</v>
      </c>
      <c r="H14">
        <f t="shared" si="3"/>
        <v>0.70710678118654757</v>
      </c>
      <c r="I14">
        <f t="shared" si="4"/>
        <v>0.12217304763960307</v>
      </c>
      <c r="J14">
        <f t="shared" si="5"/>
        <v>10.101525445522109</v>
      </c>
      <c r="K14">
        <v>6.04</v>
      </c>
      <c r="L14">
        <f t="shared" si="6"/>
        <v>1.302E-2</v>
      </c>
      <c r="M14">
        <f t="shared" si="7"/>
        <v>0.2155629139072848</v>
      </c>
      <c r="N14">
        <v>456</v>
      </c>
      <c r="O14">
        <f t="shared" si="8"/>
        <v>4.5600000000000002E-2</v>
      </c>
      <c r="P14">
        <f t="shared" si="9"/>
        <v>5.7359999999999998</v>
      </c>
      <c r="Q14">
        <f t="shared" si="10"/>
        <v>1.2578947368421052</v>
      </c>
      <c r="R14">
        <f t="shared" si="11"/>
        <v>87.843721339950434</v>
      </c>
      <c r="S14">
        <f t="shared" si="12"/>
        <v>8.7809027666659922</v>
      </c>
      <c r="T14">
        <f t="shared" si="13"/>
        <v>9.5444800630532018</v>
      </c>
      <c r="U14">
        <v>13.32</v>
      </c>
      <c r="V14">
        <f t="shared" si="14"/>
        <v>559.48739744707541</v>
      </c>
      <c r="W14">
        <f t="shared" si="15"/>
        <v>15.163292033647258</v>
      </c>
      <c r="Y14">
        <f t="shared" si="17"/>
        <v>6.5948739744707536</v>
      </c>
      <c r="AA14">
        <f t="shared" si="16"/>
        <v>87.843721339950434</v>
      </c>
    </row>
    <row r="15" spans="1:27">
      <c r="A15">
        <v>3.05</v>
      </c>
      <c r="B15">
        <f t="shared" si="0"/>
        <v>3.0499999999999999E-2</v>
      </c>
      <c r="C15">
        <v>42</v>
      </c>
      <c r="D15">
        <v>35</v>
      </c>
      <c r="E15">
        <v>1</v>
      </c>
      <c r="F15">
        <f t="shared" si="1"/>
        <v>0.5</v>
      </c>
      <c r="G15">
        <f t="shared" si="2"/>
        <v>7</v>
      </c>
      <c r="H15">
        <f t="shared" si="3"/>
        <v>0.70710678118654757</v>
      </c>
      <c r="I15">
        <f t="shared" si="4"/>
        <v>0.12217304763960307</v>
      </c>
      <c r="J15">
        <f t="shared" si="5"/>
        <v>10.101525445522109</v>
      </c>
      <c r="K15">
        <v>6.53</v>
      </c>
      <c r="L15">
        <f t="shared" si="6"/>
        <v>1.3265000000000001E-2</v>
      </c>
      <c r="M15">
        <f t="shared" si="7"/>
        <v>0.20313935681470136</v>
      </c>
      <c r="N15">
        <v>487</v>
      </c>
      <c r="O15">
        <f t="shared" si="8"/>
        <v>4.87E-2</v>
      </c>
      <c r="P15">
        <f t="shared" si="9"/>
        <v>5.9219999999999997</v>
      </c>
      <c r="Q15">
        <f t="shared" si="10"/>
        <v>1.2160164271047227</v>
      </c>
      <c r="R15">
        <f t="shared" si="11"/>
        <v>82.252026552397126</v>
      </c>
      <c r="S15">
        <f t="shared" si="12"/>
        <v>8.7809027666659922</v>
      </c>
      <c r="T15">
        <f t="shared" si="13"/>
        <v>9.5444800630532018</v>
      </c>
      <c r="U15">
        <v>13.32</v>
      </c>
      <c r="V15">
        <f t="shared" si="14"/>
        <v>517.50770684982831</v>
      </c>
      <c r="W15">
        <f t="shared" si="15"/>
        <v>16.194129869268014</v>
      </c>
      <c r="Y15">
        <f t="shared" si="17"/>
        <v>6.1750770684982825</v>
      </c>
      <c r="AA15">
        <f t="shared" si="16"/>
        <v>82.252026552397126</v>
      </c>
    </row>
    <row r="16" spans="1:27">
      <c r="A16">
        <v>3.05</v>
      </c>
      <c r="B16">
        <f t="shared" si="0"/>
        <v>3.0499999999999999E-2</v>
      </c>
      <c r="C16">
        <v>42</v>
      </c>
      <c r="D16">
        <v>34</v>
      </c>
      <c r="E16">
        <v>1</v>
      </c>
      <c r="F16">
        <f t="shared" si="1"/>
        <v>0.5</v>
      </c>
      <c r="G16">
        <f t="shared" si="2"/>
        <v>8</v>
      </c>
      <c r="H16">
        <f t="shared" si="3"/>
        <v>0.70710678118654757</v>
      </c>
      <c r="I16">
        <f t="shared" si="4"/>
        <v>0.13962634015954636</v>
      </c>
      <c r="J16">
        <f t="shared" si="5"/>
        <v>8.8388347648318444</v>
      </c>
      <c r="K16">
        <v>7.05</v>
      </c>
      <c r="L16">
        <f t="shared" si="6"/>
        <v>1.3525000000000001E-2</v>
      </c>
      <c r="M16">
        <f t="shared" si="7"/>
        <v>0.19184397163120567</v>
      </c>
      <c r="N16">
        <v>527</v>
      </c>
      <c r="O16">
        <f t="shared" si="8"/>
        <v>5.2700000000000004E-2</v>
      </c>
      <c r="P16">
        <f t="shared" si="9"/>
        <v>6.1619999999999999</v>
      </c>
      <c r="Q16">
        <f t="shared" si="10"/>
        <v>1.1692599620493358</v>
      </c>
      <c r="R16">
        <f t="shared" si="11"/>
        <v>86.86741541017598</v>
      </c>
      <c r="S16">
        <f t="shared" si="12"/>
        <v>8.7809027666659922</v>
      </c>
      <c r="T16">
        <f t="shared" si="13"/>
        <v>9.5444800630532018</v>
      </c>
      <c r="U16">
        <v>13.32</v>
      </c>
      <c r="V16">
        <f t="shared" si="14"/>
        <v>552.15777334966947</v>
      </c>
      <c r="W16">
        <f t="shared" si="15"/>
        <v>15.333712804858754</v>
      </c>
      <c r="Y16">
        <f t="shared" si="17"/>
        <v>6.5215777334966951</v>
      </c>
      <c r="AA16">
        <f t="shared" si="16"/>
        <v>86.86741541017598</v>
      </c>
    </row>
    <row r="17" spans="1:27">
      <c r="A17">
        <v>3.05</v>
      </c>
      <c r="B17">
        <f t="shared" si="0"/>
        <v>3.0499999999999999E-2</v>
      </c>
      <c r="C17">
        <v>42</v>
      </c>
      <c r="D17">
        <v>35</v>
      </c>
      <c r="E17">
        <v>1</v>
      </c>
      <c r="F17">
        <f t="shared" si="1"/>
        <v>0.5</v>
      </c>
      <c r="G17">
        <f t="shared" si="2"/>
        <v>7</v>
      </c>
      <c r="H17">
        <f t="shared" si="3"/>
        <v>0.70710678118654757</v>
      </c>
      <c r="I17">
        <f t="shared" si="4"/>
        <v>0.12217304763960307</v>
      </c>
      <c r="J17">
        <f t="shared" si="5"/>
        <v>10.101525445522109</v>
      </c>
      <c r="K17">
        <v>7.32</v>
      </c>
      <c r="L17">
        <f t="shared" si="6"/>
        <v>1.366E-2</v>
      </c>
      <c r="M17">
        <f t="shared" si="7"/>
        <v>0.1866120218579235</v>
      </c>
      <c r="N17">
        <v>544</v>
      </c>
      <c r="O17">
        <f t="shared" si="8"/>
        <v>5.4400000000000004E-2</v>
      </c>
      <c r="P17">
        <f t="shared" si="9"/>
        <v>6.2639999999999993</v>
      </c>
      <c r="Q17">
        <f t="shared" si="10"/>
        <v>1.151470588235294</v>
      </c>
      <c r="R17">
        <f t="shared" si="11"/>
        <v>73.633707593781992</v>
      </c>
      <c r="S17">
        <f t="shared" si="12"/>
        <v>8.7809027666659922</v>
      </c>
      <c r="T17">
        <f t="shared" si="13"/>
        <v>9.5444800630532018</v>
      </c>
      <c r="U17">
        <v>13.32</v>
      </c>
      <c r="V17">
        <f t="shared" si="14"/>
        <v>452.8056125659308</v>
      </c>
      <c r="W17">
        <f t="shared" si="15"/>
        <v>18.089541373473921</v>
      </c>
      <c r="Y17">
        <f t="shared" si="17"/>
        <v>5.5280561256593082</v>
      </c>
      <c r="AA17">
        <f t="shared" si="16"/>
        <v>73.633707593781992</v>
      </c>
    </row>
    <row r="18" spans="1:27">
      <c r="Q18" t="s">
        <v>19</v>
      </c>
      <c r="R18">
        <f>AVERAGE(R3:R17)</f>
        <v>91.999802070486524</v>
      </c>
      <c r="Z18" t="s">
        <v>19</v>
      </c>
      <c r="AA18">
        <f>AVERAGE(AA3:AA17)</f>
        <v>91.999802070486524</v>
      </c>
    </row>
    <row r="19" spans="1:27">
      <c r="Q19" t="s">
        <v>22</v>
      </c>
      <c r="R19">
        <f>_xlfn.STDEV.P(R3:R17)</f>
        <v>34.008290179964021</v>
      </c>
      <c r="Z19" t="s">
        <v>22</v>
      </c>
      <c r="AA19">
        <f>_xlfn.STDEV.P(AA3:AA17)</f>
        <v>34.008290179964021</v>
      </c>
    </row>
    <row r="20" spans="1:27">
      <c r="Q20" t="s">
        <v>17</v>
      </c>
      <c r="R20">
        <f xml:space="preserve"> ABS(R18-U3)/U3 *100</f>
        <v>590.68920473338221</v>
      </c>
      <c r="Z20" t="s">
        <v>23</v>
      </c>
      <c r="AA20">
        <f>ABS(AA18-U3)/U3*100</f>
        <v>590.68920473338221</v>
      </c>
    </row>
    <row r="21" spans="1:27">
      <c r="Q21" t="s">
        <v>24</v>
      </c>
      <c r="R21">
        <f>CORREL(B27:B41,C27:C41)</f>
        <v>0.87435223147786179</v>
      </c>
    </row>
    <row r="22" spans="1:27" s="2" customFormat="1">
      <c r="A22" s="2" t="s">
        <v>25</v>
      </c>
    </row>
    <row r="24" spans="1:27">
      <c r="A24" t="s">
        <v>26</v>
      </c>
    </row>
    <row r="26" spans="1:27">
      <c r="A26" t="s">
        <v>12</v>
      </c>
      <c r="B26" t="s">
        <v>14</v>
      </c>
      <c r="C26" t="s">
        <v>27</v>
      </c>
    </row>
    <row r="27" spans="1:27">
      <c r="A27">
        <f>K3</f>
        <v>0.6</v>
      </c>
      <c r="B27">
        <f>O3</f>
        <v>4.6500000000000005E-3</v>
      </c>
      <c r="C27">
        <f>I3</f>
        <v>1.7453292519943295E-2</v>
      </c>
    </row>
    <row r="28" spans="1:27">
      <c r="A28">
        <f t="shared" ref="A28:A41" si="18">K4</f>
        <v>1.04</v>
      </c>
      <c r="B28">
        <f t="shared" ref="B28:B41" si="19">O4</f>
        <v>7.9000000000000008E-3</v>
      </c>
      <c r="C28">
        <f t="shared" ref="C28:C41" si="20">I4</f>
        <v>3.4906585039886591E-2</v>
      </c>
    </row>
    <row r="29" spans="1:27">
      <c r="A29">
        <f t="shared" si="18"/>
        <v>1.5</v>
      </c>
      <c r="B29">
        <f t="shared" si="19"/>
        <v>1.14E-2</v>
      </c>
      <c r="C29">
        <f t="shared" si="20"/>
        <v>5.235987755982989E-2</v>
      </c>
    </row>
    <row r="30" spans="1:27">
      <c r="A30">
        <f t="shared" si="18"/>
        <v>2.0499999999999998</v>
      </c>
      <c r="B30">
        <f t="shared" si="19"/>
        <v>1.5800000000000002E-2</v>
      </c>
      <c r="C30">
        <f t="shared" si="20"/>
        <v>1.7453292519943295E-2</v>
      </c>
    </row>
    <row r="31" spans="1:27">
      <c r="A31">
        <f t="shared" si="18"/>
        <v>2.52</v>
      </c>
      <c r="B31">
        <f t="shared" si="19"/>
        <v>1.9200000000000002E-2</v>
      </c>
      <c r="C31">
        <f t="shared" si="20"/>
        <v>0</v>
      </c>
    </row>
    <row r="32" spans="1:27">
      <c r="A32">
        <f t="shared" si="18"/>
        <v>3.01</v>
      </c>
      <c r="B32">
        <f t="shared" si="19"/>
        <v>2.2800000000000001E-2</v>
      </c>
      <c r="C32">
        <f t="shared" si="20"/>
        <v>3.4906585039886591E-2</v>
      </c>
    </row>
    <row r="33" spans="1:3">
      <c r="A33">
        <f t="shared" si="18"/>
        <v>3.51</v>
      </c>
      <c r="B33">
        <f t="shared" si="19"/>
        <v>2.64E-2</v>
      </c>
      <c r="C33">
        <f t="shared" si="20"/>
        <v>3.4906585039886591E-2</v>
      </c>
    </row>
    <row r="34" spans="1:3">
      <c r="A34">
        <f t="shared" si="18"/>
        <v>4</v>
      </c>
      <c r="B34">
        <f t="shared" si="19"/>
        <v>3.0000000000000002E-2</v>
      </c>
      <c r="C34">
        <f t="shared" si="20"/>
        <v>8.7266462599716474E-2</v>
      </c>
    </row>
    <row r="35" spans="1:3">
      <c r="A35">
        <f t="shared" si="18"/>
        <v>4.53</v>
      </c>
      <c r="B35">
        <f t="shared" si="19"/>
        <v>3.4300000000000004E-2</v>
      </c>
      <c r="C35">
        <f t="shared" si="20"/>
        <v>8.7266462599716474E-2</v>
      </c>
    </row>
    <row r="36" spans="1:3">
      <c r="A36">
        <f t="shared" si="18"/>
        <v>5</v>
      </c>
      <c r="B36">
        <f t="shared" si="19"/>
        <v>3.7499999999999999E-2</v>
      </c>
      <c r="C36">
        <f t="shared" si="20"/>
        <v>0.12217304763960307</v>
      </c>
    </row>
    <row r="37" spans="1:3">
      <c r="A37">
        <f t="shared" si="18"/>
        <v>5.49</v>
      </c>
      <c r="B37">
        <f t="shared" si="19"/>
        <v>4.1700000000000001E-2</v>
      </c>
      <c r="C37">
        <f t="shared" si="20"/>
        <v>0.15707963267948966</v>
      </c>
    </row>
    <row r="38" spans="1:3">
      <c r="A38">
        <f t="shared" si="18"/>
        <v>6.04</v>
      </c>
      <c r="B38">
        <f t="shared" si="19"/>
        <v>4.5600000000000002E-2</v>
      </c>
      <c r="C38">
        <f t="shared" si="20"/>
        <v>0.12217304763960307</v>
      </c>
    </row>
    <row r="39" spans="1:3">
      <c r="A39">
        <f t="shared" si="18"/>
        <v>6.53</v>
      </c>
      <c r="B39">
        <f t="shared" si="19"/>
        <v>4.87E-2</v>
      </c>
      <c r="C39">
        <f t="shared" si="20"/>
        <v>0.12217304763960307</v>
      </c>
    </row>
    <row r="40" spans="1:3">
      <c r="A40">
        <f t="shared" si="18"/>
        <v>7.05</v>
      </c>
      <c r="B40">
        <f t="shared" si="19"/>
        <v>5.2700000000000004E-2</v>
      </c>
      <c r="C40">
        <f t="shared" si="20"/>
        <v>0.13962634015954636</v>
      </c>
    </row>
    <row r="41" spans="1:3">
      <c r="A41">
        <f t="shared" si="18"/>
        <v>7.32</v>
      </c>
      <c r="B41">
        <f t="shared" si="19"/>
        <v>5.4400000000000004E-2</v>
      </c>
      <c r="C41">
        <f t="shared" si="20"/>
        <v>0.12217304763960307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A8DD-3E86-435D-BBC5-46EE0FD2379D}">
  <dimension ref="A1:AA40"/>
  <sheetViews>
    <sheetView topLeftCell="N1" workbookViewId="0">
      <selection activeCell="Z3" sqref="Z3"/>
    </sheetView>
  </sheetViews>
  <sheetFormatPr defaultColWidth="11.42578125" defaultRowHeight="15"/>
  <cols>
    <col min="1" max="1" width="15.42578125" customWidth="1"/>
    <col min="2" max="2" width="16.7109375" customWidth="1"/>
    <col min="3" max="3" width="21" customWidth="1"/>
    <col min="4" max="4" width="19.5703125" customWidth="1"/>
    <col min="5" max="6" width="14.5703125" customWidth="1"/>
    <col min="7" max="7" width="18.85546875" customWidth="1"/>
    <col min="8" max="9" width="16.28515625" customWidth="1"/>
    <col min="10" max="10" width="18.28515625" customWidth="1"/>
    <col min="11" max="11" width="11.7109375" customWidth="1"/>
    <col min="12" max="12" width="11" customWidth="1"/>
    <col min="13" max="13" width="17.85546875" customWidth="1"/>
    <col min="14" max="15" width="16.7109375" customWidth="1"/>
    <col min="17" max="17" width="18.5703125" customWidth="1"/>
    <col min="18" max="18" width="15.5703125" customWidth="1"/>
    <col min="20" max="20" width="17.85546875" customWidth="1"/>
    <col min="21" max="21" width="17.42578125" customWidth="1"/>
    <col min="22" max="22" width="11.85546875" customWidth="1"/>
    <col min="23" max="23" width="16.7109375" customWidth="1"/>
    <col min="27" max="27" width="14.28515625" customWidth="1"/>
  </cols>
  <sheetData>
    <row r="1" spans="1:27">
      <c r="A1" t="s">
        <v>28</v>
      </c>
      <c r="B1" t="s">
        <v>29</v>
      </c>
      <c r="C1">
        <v>45</v>
      </c>
      <c r="D1" t="s">
        <v>30</v>
      </c>
      <c r="E1">
        <v>19</v>
      </c>
    </row>
    <row r="2" spans="1:2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10</v>
      </c>
      <c r="J2" t="s">
        <v>11</v>
      </c>
      <c r="K2" t="s">
        <v>12</v>
      </c>
      <c r="L2" t="s">
        <v>8</v>
      </c>
      <c r="M2" t="s">
        <v>11</v>
      </c>
      <c r="N2" t="s">
        <v>13</v>
      </c>
      <c r="O2" t="s">
        <v>14</v>
      </c>
      <c r="P2" t="s">
        <v>8</v>
      </c>
      <c r="Q2" t="s">
        <v>11</v>
      </c>
      <c r="R2" t="s">
        <v>15</v>
      </c>
      <c r="S2" t="s">
        <v>8</v>
      </c>
      <c r="T2" t="s">
        <v>11</v>
      </c>
      <c r="U2" t="s">
        <v>31</v>
      </c>
      <c r="W2" t="s">
        <v>18</v>
      </c>
      <c r="X2" t="s">
        <v>19</v>
      </c>
      <c r="Y2" t="s">
        <v>32</v>
      </c>
      <c r="Z2" t="s">
        <v>19</v>
      </c>
      <c r="AA2" t="s">
        <v>33</v>
      </c>
    </row>
    <row r="3" spans="1:27">
      <c r="A3">
        <v>3.05</v>
      </c>
      <c r="B3">
        <f>$A$3/100</f>
        <v>3.0499999999999999E-2</v>
      </c>
      <c r="C3">
        <v>45</v>
      </c>
      <c r="D3" s="1">
        <v>45</v>
      </c>
      <c r="E3">
        <v>1</v>
      </c>
      <c r="F3">
        <f>$E$3/2</f>
        <v>0.5</v>
      </c>
      <c r="G3">
        <f>ABS(C3-D3)</f>
        <v>0</v>
      </c>
      <c r="H3">
        <f>SQRT(2)*F3</f>
        <v>0.70710678118654757</v>
      </c>
      <c r="I3">
        <f>RADIANS(G3)</f>
        <v>0</v>
      </c>
      <c r="J3" t="e">
        <f>H3/G3 * 100</f>
        <v>#DIV/0!</v>
      </c>
      <c r="K3">
        <v>1.02</v>
      </c>
      <c r="L3">
        <f xml:space="preserve"> (0.05*K3/100) + 0.01</f>
        <v>1.051E-2</v>
      </c>
      <c r="M3">
        <f xml:space="preserve"> L3/K3*100</f>
        <v>1.0303921568627452</v>
      </c>
      <c r="N3">
        <v>67.8</v>
      </c>
      <c r="O3">
        <f>N3*0.0001</f>
        <v>6.7800000000000004E-3</v>
      </c>
      <c r="P3">
        <f>(N3*0.6/100)+3</f>
        <v>3.4068000000000001</v>
      </c>
      <c r="Q3">
        <f>P3/N3 * 100</f>
        <v>5.0247787610619472</v>
      </c>
      <c r="R3">
        <f xml:space="preserve"> I3/(O3*B3)</f>
        <v>0</v>
      </c>
      <c r="S3">
        <f t="shared" ref="S3:S16" si="0">$R$18/SQRT(15)</f>
        <v>10.040580475969046</v>
      </c>
      <c r="T3">
        <f t="shared" ref="T3:T16" si="1">S3/$R$17*100</f>
        <v>10.198326125089228</v>
      </c>
      <c r="U3">
        <v>13.57</v>
      </c>
      <c r="V3">
        <f>ABS(U3-R3)/U3 * 100</f>
        <v>100</v>
      </c>
      <c r="X3">
        <f>AVERAGE(W3:W16)</f>
        <v>14.240197027472979</v>
      </c>
      <c r="Z3">
        <f>AVERAGE(Y3:Y16)</f>
        <v>7.813304703286458</v>
      </c>
    </row>
    <row r="4" spans="1:27">
      <c r="A4">
        <v>3.05</v>
      </c>
      <c r="B4">
        <f t="shared" ref="B4:B16" si="2">$A$3/100</f>
        <v>3.0499999999999999E-2</v>
      </c>
      <c r="C4">
        <v>45</v>
      </c>
      <c r="D4">
        <v>44</v>
      </c>
      <c r="E4">
        <v>1</v>
      </c>
      <c r="F4">
        <f t="shared" ref="F4:F16" si="3">$E$3/2</f>
        <v>0.5</v>
      </c>
      <c r="G4">
        <f t="shared" ref="G4:G16" si="4">ABS(C4-D4)</f>
        <v>1</v>
      </c>
      <c r="H4">
        <f t="shared" ref="H4:H16" si="5">SQRT(2)*F4</f>
        <v>0.70710678118654757</v>
      </c>
      <c r="I4">
        <f t="shared" ref="I4:I16" si="6">RADIANS(G4)</f>
        <v>1.7453292519943295E-2</v>
      </c>
      <c r="J4">
        <f t="shared" ref="J4:J16" si="7">H4/G4 * 100</f>
        <v>70.710678118654755</v>
      </c>
      <c r="K4">
        <v>1.53</v>
      </c>
      <c r="L4">
        <f t="shared" ref="L4:L16" si="8" xml:space="preserve"> (0.05*K4/100) + 0.01</f>
        <v>1.0765E-2</v>
      </c>
      <c r="M4">
        <f t="shared" ref="M4:M16" si="9" xml:space="preserve"> L4/K4*100</f>
        <v>0.70359477124183001</v>
      </c>
      <c r="N4">
        <v>102</v>
      </c>
      <c r="O4">
        <f t="shared" ref="O4:O16" si="10">N4*0.0001</f>
        <v>1.0200000000000001E-2</v>
      </c>
      <c r="P4">
        <f t="shared" ref="P4:P16" si="11">(N4*0.6/100)+3</f>
        <v>3.6120000000000001</v>
      </c>
      <c r="Q4">
        <f t="shared" ref="Q4:Q16" si="12">P4/N4 * 100</f>
        <v>3.5411764705882351</v>
      </c>
      <c r="R4">
        <f t="shared" ref="R4:R15" si="13" xml:space="preserve"> I4/(O4*B4)</f>
        <v>56.101872452405317</v>
      </c>
      <c r="S4">
        <f t="shared" si="0"/>
        <v>10.040580475969046</v>
      </c>
      <c r="T4">
        <f t="shared" si="1"/>
        <v>10.198326125089228</v>
      </c>
      <c r="U4">
        <v>13.57</v>
      </c>
      <c r="V4">
        <f t="shared" ref="V4:V16" si="14">ABS(U4-R4)/U4 * 100</f>
        <v>313.42573656894115</v>
      </c>
      <c r="W4">
        <f t="shared" ref="W4:W16" si="15">1/(R4/U4)*100</f>
        <v>24.188140977847521</v>
      </c>
      <c r="Y4">
        <f t="shared" ref="Y4:Y16" si="16">R4/U4</f>
        <v>4.1342573656894119</v>
      </c>
    </row>
    <row r="5" spans="1:27">
      <c r="A5">
        <v>3.05</v>
      </c>
      <c r="B5">
        <f t="shared" si="2"/>
        <v>3.0499999999999999E-2</v>
      </c>
      <c r="C5">
        <v>45</v>
      </c>
      <c r="D5">
        <v>43.9</v>
      </c>
      <c r="E5">
        <v>1</v>
      </c>
      <c r="F5">
        <f t="shared" si="3"/>
        <v>0.5</v>
      </c>
      <c r="G5">
        <f t="shared" si="4"/>
        <v>1.1000000000000014</v>
      </c>
      <c r="H5">
        <f t="shared" si="5"/>
        <v>0.70710678118654757</v>
      </c>
      <c r="I5">
        <f t="shared" si="6"/>
        <v>1.9198621771937648E-2</v>
      </c>
      <c r="J5">
        <f t="shared" si="7"/>
        <v>64.282434653322426</v>
      </c>
      <c r="K5">
        <v>1.99</v>
      </c>
      <c r="L5">
        <f t="shared" si="8"/>
        <v>1.0995E-2</v>
      </c>
      <c r="M5">
        <f t="shared" si="9"/>
        <v>0.55251256281407035</v>
      </c>
      <c r="N5">
        <v>131</v>
      </c>
      <c r="O5">
        <f t="shared" si="10"/>
        <v>1.3100000000000001E-2</v>
      </c>
      <c r="P5">
        <f t="shared" si="11"/>
        <v>3.786</v>
      </c>
      <c r="Q5">
        <f t="shared" si="12"/>
        <v>2.8900763358778629</v>
      </c>
      <c r="R5">
        <f t="shared" si="13"/>
        <v>48.050611367632712</v>
      </c>
      <c r="S5">
        <f t="shared" si="0"/>
        <v>10.040580475969046</v>
      </c>
      <c r="T5">
        <f t="shared" si="1"/>
        <v>10.198326125089228</v>
      </c>
      <c r="U5">
        <v>13.57</v>
      </c>
      <c r="V5">
        <f t="shared" si="14"/>
        <v>254.0944094888188</v>
      </c>
      <c r="W5">
        <f t="shared" si="15"/>
        <v>28.241055865401254</v>
      </c>
      <c r="Y5">
        <f t="shared" si="16"/>
        <v>3.5409440948881881</v>
      </c>
    </row>
    <row r="6" spans="1:27">
      <c r="A6">
        <v>3.05</v>
      </c>
      <c r="B6">
        <f t="shared" si="2"/>
        <v>3.0499999999999999E-2</v>
      </c>
      <c r="C6">
        <v>45</v>
      </c>
      <c r="D6">
        <v>41.15</v>
      </c>
      <c r="E6">
        <v>1</v>
      </c>
      <c r="F6">
        <f t="shared" si="3"/>
        <v>0.5</v>
      </c>
      <c r="G6">
        <f t="shared" si="4"/>
        <v>3.8500000000000014</v>
      </c>
      <c r="H6">
        <f t="shared" si="5"/>
        <v>0.70710678118654757</v>
      </c>
      <c r="I6">
        <f t="shared" si="6"/>
        <v>6.7195176201781712E-2</v>
      </c>
      <c r="J6">
        <f t="shared" si="7"/>
        <v>18.366409900949282</v>
      </c>
      <c r="K6">
        <v>2.5299999999999998</v>
      </c>
      <c r="L6">
        <f t="shared" si="8"/>
        <v>1.1265000000000001E-2</v>
      </c>
      <c r="M6">
        <f t="shared" si="9"/>
        <v>0.44525691699604752</v>
      </c>
      <c r="N6">
        <v>167</v>
      </c>
      <c r="O6">
        <f t="shared" si="10"/>
        <v>1.67E-2</v>
      </c>
      <c r="P6">
        <f t="shared" si="11"/>
        <v>4.0019999999999998</v>
      </c>
      <c r="Q6">
        <f t="shared" si="12"/>
        <v>2.3964071856287421</v>
      </c>
      <c r="R6">
        <f t="shared" si="13"/>
        <v>131.92338510215316</v>
      </c>
      <c r="S6">
        <f t="shared" si="0"/>
        <v>10.040580475969046</v>
      </c>
      <c r="T6">
        <f t="shared" si="1"/>
        <v>10.198326125089228</v>
      </c>
      <c r="U6">
        <v>13.57</v>
      </c>
      <c r="V6">
        <f t="shared" si="14"/>
        <v>872.16938174025915</v>
      </c>
      <c r="W6">
        <f t="shared" si="15"/>
        <v>10.286273346831001</v>
      </c>
      <c r="Y6">
        <f t="shared" si="16"/>
        <v>9.7216938174025902</v>
      </c>
    </row>
    <row r="7" spans="1:27">
      <c r="A7">
        <v>3.05</v>
      </c>
      <c r="B7">
        <f t="shared" si="2"/>
        <v>3.0499999999999999E-2</v>
      </c>
      <c r="C7">
        <v>45</v>
      </c>
      <c r="D7">
        <v>40.4</v>
      </c>
      <c r="E7">
        <v>1</v>
      </c>
      <c r="F7">
        <f t="shared" si="3"/>
        <v>0.5</v>
      </c>
      <c r="G7">
        <f t="shared" si="4"/>
        <v>4.6000000000000014</v>
      </c>
      <c r="H7">
        <f t="shared" si="5"/>
        <v>0.70710678118654757</v>
      </c>
      <c r="I7">
        <f t="shared" si="6"/>
        <v>8.0285145591739188E-2</v>
      </c>
      <c r="J7">
        <f t="shared" si="7"/>
        <v>15.37188654753364</v>
      </c>
      <c r="K7">
        <v>3.02</v>
      </c>
      <c r="L7">
        <f t="shared" si="8"/>
        <v>1.1510000000000001E-2</v>
      </c>
      <c r="M7">
        <f t="shared" si="9"/>
        <v>0.38112582781456961</v>
      </c>
      <c r="N7">
        <v>199</v>
      </c>
      <c r="O7">
        <f t="shared" si="10"/>
        <v>1.9900000000000001E-2</v>
      </c>
      <c r="P7">
        <f t="shared" si="11"/>
        <v>4.194</v>
      </c>
      <c r="Q7">
        <f t="shared" si="12"/>
        <v>2.107537688442211</v>
      </c>
      <c r="R7">
        <f t="shared" si="13"/>
        <v>132.27637464657582</v>
      </c>
      <c r="S7">
        <f t="shared" si="0"/>
        <v>10.040580475969046</v>
      </c>
      <c r="T7">
        <f t="shared" si="1"/>
        <v>10.198326125089228</v>
      </c>
      <c r="U7">
        <v>13.57</v>
      </c>
      <c r="V7">
        <f t="shared" si="14"/>
        <v>874.77063114646876</v>
      </c>
      <c r="W7">
        <f t="shared" si="15"/>
        <v>10.258823645762265</v>
      </c>
      <c r="Y7">
        <f t="shared" si="16"/>
        <v>9.7477063114646878</v>
      </c>
    </row>
    <row r="8" spans="1:27">
      <c r="A8">
        <v>3.05</v>
      </c>
      <c r="B8">
        <f t="shared" si="2"/>
        <v>3.0499999999999999E-2</v>
      </c>
      <c r="C8">
        <v>45</v>
      </c>
      <c r="D8">
        <v>39.15</v>
      </c>
      <c r="E8">
        <v>1</v>
      </c>
      <c r="F8">
        <f t="shared" si="3"/>
        <v>0.5</v>
      </c>
      <c r="G8">
        <f t="shared" si="4"/>
        <v>5.8500000000000014</v>
      </c>
      <c r="H8">
        <f t="shared" si="5"/>
        <v>0.70710678118654757</v>
      </c>
      <c r="I8">
        <f t="shared" si="6"/>
        <v>0.10210176124166831</v>
      </c>
      <c r="J8">
        <f t="shared" si="7"/>
        <v>12.087295404898246</v>
      </c>
      <c r="K8">
        <v>3.53</v>
      </c>
      <c r="L8">
        <f t="shared" si="8"/>
        <v>1.1764999999999999E-2</v>
      </c>
      <c r="M8">
        <f t="shared" si="9"/>
        <v>0.33328611898016997</v>
      </c>
      <c r="N8">
        <v>233</v>
      </c>
      <c r="O8">
        <f t="shared" si="10"/>
        <v>2.3300000000000001E-2</v>
      </c>
      <c r="P8">
        <f t="shared" si="11"/>
        <v>4.3979999999999997</v>
      </c>
      <c r="Q8">
        <f t="shared" si="12"/>
        <v>1.8875536480686694</v>
      </c>
      <c r="R8">
        <f t="shared" si="13"/>
        <v>143.67376520322</v>
      </c>
      <c r="S8">
        <f t="shared" si="0"/>
        <v>10.040580475969046</v>
      </c>
      <c r="T8">
        <f t="shared" si="1"/>
        <v>10.198326125089228</v>
      </c>
      <c r="U8">
        <v>13.57</v>
      </c>
      <c r="V8">
        <f t="shared" si="14"/>
        <v>958.76024468106118</v>
      </c>
      <c r="W8">
        <f t="shared" si="15"/>
        <v>9.4450089623570825</v>
      </c>
      <c r="Y8">
        <f t="shared" si="16"/>
        <v>10.587602446810612</v>
      </c>
    </row>
    <row r="9" spans="1:27">
      <c r="A9">
        <v>3.05</v>
      </c>
      <c r="B9">
        <f t="shared" si="2"/>
        <v>3.0499999999999999E-2</v>
      </c>
      <c r="C9">
        <v>45</v>
      </c>
      <c r="D9">
        <v>40.049999999999997</v>
      </c>
      <c r="E9">
        <v>1</v>
      </c>
      <c r="F9">
        <f t="shared" si="3"/>
        <v>0.5</v>
      </c>
      <c r="G9">
        <f t="shared" si="4"/>
        <v>4.9500000000000028</v>
      </c>
      <c r="H9">
        <f t="shared" si="5"/>
        <v>0.70710678118654757</v>
      </c>
      <c r="I9">
        <f t="shared" si="6"/>
        <v>8.6393797973719363E-2</v>
      </c>
      <c r="J9">
        <f t="shared" si="7"/>
        <v>14.284985478516104</v>
      </c>
      <c r="K9">
        <v>4.05</v>
      </c>
      <c r="L9">
        <f t="shared" si="8"/>
        <v>1.2025000000000001E-2</v>
      </c>
      <c r="M9">
        <f t="shared" si="9"/>
        <v>0.29691358024691361</v>
      </c>
      <c r="N9">
        <v>267</v>
      </c>
      <c r="O9">
        <f t="shared" si="10"/>
        <v>2.6700000000000002E-2</v>
      </c>
      <c r="P9">
        <f t="shared" si="11"/>
        <v>4.6020000000000003</v>
      </c>
      <c r="Q9">
        <f t="shared" si="12"/>
        <v>1.7235955056179777</v>
      </c>
      <c r="R9">
        <f t="shared" si="13"/>
        <v>106.08927116561597</v>
      </c>
      <c r="S9">
        <f t="shared" si="0"/>
        <v>10.040580475969046</v>
      </c>
      <c r="T9">
        <f t="shared" si="1"/>
        <v>10.198326125089228</v>
      </c>
      <c r="U9">
        <v>13.57</v>
      </c>
      <c r="V9">
        <f t="shared" si="14"/>
        <v>681.79271308486352</v>
      </c>
      <c r="W9">
        <f t="shared" si="15"/>
        <v>12.791114361428569</v>
      </c>
      <c r="Y9">
        <f t="shared" si="16"/>
        <v>7.8179271308486342</v>
      </c>
    </row>
    <row r="10" spans="1:27">
      <c r="A10">
        <v>3.05</v>
      </c>
      <c r="B10">
        <f t="shared" si="2"/>
        <v>3.0499999999999999E-2</v>
      </c>
      <c r="C10">
        <v>45</v>
      </c>
      <c r="D10">
        <v>38.9</v>
      </c>
      <c r="E10">
        <v>1</v>
      </c>
      <c r="F10">
        <f t="shared" si="3"/>
        <v>0.5</v>
      </c>
      <c r="G10">
        <f t="shared" si="4"/>
        <v>6.1000000000000014</v>
      </c>
      <c r="H10">
        <f t="shared" si="5"/>
        <v>0.70710678118654757</v>
      </c>
      <c r="I10">
        <f t="shared" si="6"/>
        <v>0.10646508437165413</v>
      </c>
      <c r="J10">
        <f t="shared" si="7"/>
        <v>11.591914445681105</v>
      </c>
      <c r="K10">
        <v>4.54</v>
      </c>
      <c r="L10">
        <f t="shared" si="8"/>
        <v>1.227E-2</v>
      </c>
      <c r="M10">
        <f t="shared" si="9"/>
        <v>0.27026431718061672</v>
      </c>
      <c r="N10">
        <v>299</v>
      </c>
      <c r="O10">
        <f t="shared" si="10"/>
        <v>2.9900000000000003E-2</v>
      </c>
      <c r="P10">
        <f t="shared" si="11"/>
        <v>4.7940000000000005</v>
      </c>
      <c r="Q10">
        <f t="shared" si="12"/>
        <v>1.6033444816053515</v>
      </c>
      <c r="R10">
        <f t="shared" si="13"/>
        <v>116.74443157152709</v>
      </c>
      <c r="S10">
        <f t="shared" si="0"/>
        <v>10.040580475969046</v>
      </c>
      <c r="T10">
        <f t="shared" si="1"/>
        <v>10.198326125089228</v>
      </c>
      <c r="U10">
        <v>13.57</v>
      </c>
      <c r="V10">
        <f t="shared" si="14"/>
        <v>760.31268659931527</v>
      </c>
      <c r="W10">
        <f t="shared" si="15"/>
        <v>11.623680733488278</v>
      </c>
      <c r="Y10">
        <f t="shared" si="16"/>
        <v>8.6031268659931524</v>
      </c>
    </row>
    <row r="11" spans="1:27">
      <c r="A11">
        <v>3.05</v>
      </c>
      <c r="B11">
        <f t="shared" si="2"/>
        <v>3.0499999999999999E-2</v>
      </c>
      <c r="C11">
        <v>45</v>
      </c>
      <c r="D11">
        <v>38.1</v>
      </c>
      <c r="E11">
        <v>1</v>
      </c>
      <c r="F11">
        <f t="shared" si="3"/>
        <v>0.5</v>
      </c>
      <c r="G11">
        <f t="shared" si="4"/>
        <v>6.8999999999999986</v>
      </c>
      <c r="H11">
        <f t="shared" si="5"/>
        <v>0.70710678118654757</v>
      </c>
      <c r="I11">
        <f t="shared" si="6"/>
        <v>0.12042771838760871</v>
      </c>
      <c r="J11">
        <f t="shared" si="7"/>
        <v>10.247924365022429</v>
      </c>
      <c r="K11">
        <v>4.99</v>
      </c>
      <c r="L11">
        <f t="shared" si="8"/>
        <v>1.2495000000000001E-2</v>
      </c>
      <c r="M11">
        <f t="shared" si="9"/>
        <v>0.25040080160320644</v>
      </c>
      <c r="N11">
        <v>327</v>
      </c>
      <c r="O11">
        <f t="shared" si="10"/>
        <v>3.27E-2</v>
      </c>
      <c r="P11">
        <f t="shared" si="11"/>
        <v>4.9619999999999997</v>
      </c>
      <c r="Q11">
        <f t="shared" si="12"/>
        <v>1.5174311926605504</v>
      </c>
      <c r="R11">
        <f t="shared" si="13"/>
        <v>120.74769979205767</v>
      </c>
      <c r="S11">
        <f t="shared" si="0"/>
        <v>10.040580475969046</v>
      </c>
      <c r="T11">
        <f t="shared" si="1"/>
        <v>10.198326125089228</v>
      </c>
      <c r="U11">
        <v>13.57</v>
      </c>
      <c r="V11">
        <f t="shared" si="14"/>
        <v>789.81355778966588</v>
      </c>
      <c r="W11">
        <f t="shared" si="15"/>
        <v>11.238309320483291</v>
      </c>
      <c r="Y11">
        <f t="shared" si="16"/>
        <v>8.8981355778966602</v>
      </c>
    </row>
    <row r="12" spans="1:27">
      <c r="A12">
        <v>3.05</v>
      </c>
      <c r="B12">
        <f t="shared" si="2"/>
        <v>3.0499999999999999E-2</v>
      </c>
      <c r="C12">
        <v>45</v>
      </c>
      <c r="D12">
        <v>37.299999999999997</v>
      </c>
      <c r="E12">
        <v>1</v>
      </c>
      <c r="F12">
        <f t="shared" si="3"/>
        <v>0.5</v>
      </c>
      <c r="G12">
        <f t="shared" si="4"/>
        <v>7.7000000000000028</v>
      </c>
      <c r="H12">
        <f t="shared" si="5"/>
        <v>0.70710678118654757</v>
      </c>
      <c r="I12">
        <f t="shared" si="6"/>
        <v>0.13439035240356342</v>
      </c>
      <c r="J12">
        <f t="shared" si="7"/>
        <v>9.1832049504746411</v>
      </c>
      <c r="K12">
        <v>5.58</v>
      </c>
      <c r="L12">
        <f t="shared" si="8"/>
        <v>1.2790000000000001E-2</v>
      </c>
      <c r="M12">
        <f t="shared" si="9"/>
        <v>0.22921146953405019</v>
      </c>
      <c r="N12">
        <v>366</v>
      </c>
      <c r="O12">
        <f t="shared" si="10"/>
        <v>3.6600000000000001E-2</v>
      </c>
      <c r="P12">
        <f t="shared" si="11"/>
        <v>5.1959999999999997</v>
      </c>
      <c r="Q12">
        <f t="shared" si="12"/>
        <v>1.4196721311475409</v>
      </c>
      <c r="R12">
        <f t="shared" si="13"/>
        <v>120.38910006589933</v>
      </c>
      <c r="S12">
        <f t="shared" si="0"/>
        <v>10.040580475969046</v>
      </c>
      <c r="T12">
        <f t="shared" si="1"/>
        <v>10.198326125089228</v>
      </c>
      <c r="U12">
        <v>13.57</v>
      </c>
      <c r="V12">
        <f t="shared" si="14"/>
        <v>787.17096585040042</v>
      </c>
      <c r="W12">
        <f t="shared" si="15"/>
        <v>11.271784565689062</v>
      </c>
      <c r="Y12">
        <f t="shared" si="16"/>
        <v>8.8717096585040025</v>
      </c>
    </row>
    <row r="13" spans="1:27">
      <c r="A13">
        <v>3.05</v>
      </c>
      <c r="B13">
        <f t="shared" si="2"/>
        <v>3.0499999999999999E-2</v>
      </c>
      <c r="C13">
        <v>45</v>
      </c>
      <c r="D13">
        <v>36</v>
      </c>
      <c r="E13">
        <v>1</v>
      </c>
      <c r="F13">
        <f t="shared" si="3"/>
        <v>0.5</v>
      </c>
      <c r="G13">
        <f t="shared" si="4"/>
        <v>9</v>
      </c>
      <c r="H13">
        <f t="shared" si="5"/>
        <v>0.70710678118654757</v>
      </c>
      <c r="I13">
        <f t="shared" si="6"/>
        <v>0.15707963267948966</v>
      </c>
      <c r="J13">
        <f t="shared" si="7"/>
        <v>7.8567420131838626</v>
      </c>
      <c r="K13">
        <v>6.04</v>
      </c>
      <c r="L13">
        <f t="shared" si="8"/>
        <v>1.302E-2</v>
      </c>
      <c r="M13">
        <f t="shared" si="9"/>
        <v>0.2155629139072848</v>
      </c>
      <c r="N13">
        <v>396</v>
      </c>
      <c r="O13">
        <f t="shared" si="10"/>
        <v>3.9600000000000003E-2</v>
      </c>
      <c r="P13">
        <f t="shared" si="11"/>
        <v>5.3759999999999994</v>
      </c>
      <c r="Q13">
        <f t="shared" si="12"/>
        <v>1.3575757575757574</v>
      </c>
      <c r="R13">
        <f t="shared" si="13"/>
        <v>130.05434068512142</v>
      </c>
      <c r="S13">
        <f t="shared" si="0"/>
        <v>10.040580475969046</v>
      </c>
      <c r="T13">
        <f t="shared" si="1"/>
        <v>10.198326125089228</v>
      </c>
      <c r="U13">
        <v>13.57</v>
      </c>
      <c r="V13">
        <f t="shared" si="14"/>
        <v>858.39602568254543</v>
      </c>
      <c r="W13">
        <f t="shared" si="15"/>
        <v>10.434100029659714</v>
      </c>
      <c r="Y13">
        <f t="shared" si="16"/>
        <v>9.5839602568254545</v>
      </c>
    </row>
    <row r="14" spans="1:27">
      <c r="A14">
        <v>3.05</v>
      </c>
      <c r="B14">
        <f t="shared" si="2"/>
        <v>3.0499999999999999E-2</v>
      </c>
      <c r="C14">
        <v>45</v>
      </c>
      <c r="D14">
        <v>37.200000000000003</v>
      </c>
      <c r="E14">
        <v>1</v>
      </c>
      <c r="F14">
        <f t="shared" si="3"/>
        <v>0.5</v>
      </c>
      <c r="G14">
        <f t="shared" si="4"/>
        <v>7.7999999999999972</v>
      </c>
      <c r="H14">
        <f t="shared" si="5"/>
        <v>0.70710678118654757</v>
      </c>
      <c r="I14">
        <f t="shared" si="6"/>
        <v>0.13613568165555764</v>
      </c>
      <c r="J14">
        <f t="shared" si="7"/>
        <v>9.0654715536736905</v>
      </c>
      <c r="K14">
        <v>6.54</v>
      </c>
      <c r="L14">
        <f t="shared" si="8"/>
        <v>1.3270000000000001E-2</v>
      </c>
      <c r="M14">
        <f t="shared" si="9"/>
        <v>0.20290519877675844</v>
      </c>
      <c r="N14">
        <v>427</v>
      </c>
      <c r="O14">
        <f t="shared" si="10"/>
        <v>4.2700000000000002E-2</v>
      </c>
      <c r="P14">
        <f t="shared" si="11"/>
        <v>5.5619999999999994</v>
      </c>
      <c r="Q14">
        <f t="shared" si="12"/>
        <v>1.302576112412178</v>
      </c>
      <c r="R14">
        <f t="shared" si="13"/>
        <v>104.53079560452846</v>
      </c>
      <c r="S14">
        <f t="shared" si="0"/>
        <v>10.040580475969046</v>
      </c>
      <c r="T14">
        <f t="shared" si="1"/>
        <v>10.198326125089228</v>
      </c>
      <c r="U14">
        <v>13.57</v>
      </c>
      <c r="V14">
        <f t="shared" si="14"/>
        <v>670.30800003337117</v>
      </c>
      <c r="W14">
        <f t="shared" si="15"/>
        <v>12.981820258347026</v>
      </c>
      <c r="Y14">
        <f t="shared" si="16"/>
        <v>7.7030800003337117</v>
      </c>
    </row>
    <row r="15" spans="1:27">
      <c r="A15">
        <v>3.05</v>
      </c>
      <c r="B15">
        <f t="shared" si="2"/>
        <v>3.0499999999999999E-2</v>
      </c>
      <c r="C15">
        <v>45</v>
      </c>
      <c r="D15">
        <v>38.200000000000003</v>
      </c>
      <c r="E15">
        <v>1</v>
      </c>
      <c r="F15">
        <f t="shared" si="3"/>
        <v>0.5</v>
      </c>
      <c r="G15">
        <f t="shared" si="4"/>
        <v>6.7999999999999972</v>
      </c>
      <c r="H15">
        <f t="shared" si="5"/>
        <v>0.70710678118654757</v>
      </c>
      <c r="I15">
        <f t="shared" si="6"/>
        <v>0.11868238913561437</v>
      </c>
      <c r="J15">
        <f t="shared" si="7"/>
        <v>10.398629135096291</v>
      </c>
      <c r="K15">
        <v>7</v>
      </c>
      <c r="L15">
        <f t="shared" si="8"/>
        <v>1.3500000000000002E-2</v>
      </c>
      <c r="M15">
        <f t="shared" si="9"/>
        <v>0.19285714285714289</v>
      </c>
      <c r="N15">
        <v>457</v>
      </c>
      <c r="O15">
        <f t="shared" si="10"/>
        <v>4.5700000000000005E-2</v>
      </c>
      <c r="P15">
        <f t="shared" si="11"/>
        <v>5.742</v>
      </c>
      <c r="Q15">
        <f t="shared" si="12"/>
        <v>1.2564551422319474</v>
      </c>
      <c r="R15">
        <f t="shared" si="13"/>
        <v>85.147174470433953</v>
      </c>
      <c r="S15">
        <f t="shared" si="0"/>
        <v>10.040580475969046</v>
      </c>
      <c r="T15">
        <f t="shared" si="1"/>
        <v>10.198326125089228</v>
      </c>
      <c r="U15">
        <v>13.57</v>
      </c>
      <c r="V15">
        <f t="shared" si="14"/>
        <v>527.46628202235786</v>
      </c>
      <c r="W15">
        <f t="shared" si="15"/>
        <v>15.937111342093887</v>
      </c>
      <c r="Y15">
        <f t="shared" si="16"/>
        <v>6.2746628202235781</v>
      </c>
    </row>
    <row r="16" spans="1:27">
      <c r="A16">
        <v>3.05</v>
      </c>
      <c r="B16">
        <f t="shared" si="2"/>
        <v>3.0499999999999999E-2</v>
      </c>
      <c r="C16">
        <v>45</v>
      </c>
      <c r="D16">
        <v>38.200000000000003</v>
      </c>
      <c r="E16">
        <v>1</v>
      </c>
      <c r="F16">
        <f t="shared" si="3"/>
        <v>0.5</v>
      </c>
      <c r="G16">
        <f t="shared" si="4"/>
        <v>6.7999999999999972</v>
      </c>
      <c r="H16">
        <f t="shared" si="5"/>
        <v>0.70710678118654757</v>
      </c>
      <c r="I16">
        <f t="shared" si="6"/>
        <v>0.11868238913561437</v>
      </c>
      <c r="J16">
        <f t="shared" si="7"/>
        <v>10.398629135096291</v>
      </c>
      <c r="K16">
        <v>7.24</v>
      </c>
      <c r="L16">
        <f t="shared" si="8"/>
        <v>1.362E-2</v>
      </c>
      <c r="M16">
        <f t="shared" si="9"/>
        <v>0.18812154696132596</v>
      </c>
      <c r="N16">
        <v>471</v>
      </c>
      <c r="O16">
        <f t="shared" si="10"/>
        <v>4.7100000000000003E-2</v>
      </c>
      <c r="P16">
        <f t="shared" si="11"/>
        <v>5.8259999999999996</v>
      </c>
      <c r="Q16">
        <f t="shared" si="12"/>
        <v>1.2369426751592356</v>
      </c>
      <c r="R16">
        <f xml:space="preserve"> I16/(O16*B16)</f>
        <v>82.616260579593032</v>
      </c>
      <c r="S16">
        <f t="shared" si="0"/>
        <v>10.040580475969046</v>
      </c>
      <c r="T16">
        <f t="shared" si="1"/>
        <v>10.198326125089228</v>
      </c>
      <c r="U16">
        <v>13.57</v>
      </c>
      <c r="V16">
        <f t="shared" si="14"/>
        <v>508.81547958432589</v>
      </c>
      <c r="W16">
        <f t="shared" si="15"/>
        <v>16.425337947759783</v>
      </c>
      <c r="Y16">
        <f t="shared" si="16"/>
        <v>6.0881547958432591</v>
      </c>
    </row>
    <row r="17" spans="1:18">
      <c r="Q17" t="s">
        <v>19</v>
      </c>
      <c r="R17">
        <f>AVERAGE(R3:R16)</f>
        <v>98.453220193340286</v>
      </c>
    </row>
    <row r="18" spans="1:18">
      <c r="Q18" t="s">
        <v>22</v>
      </c>
      <c r="R18">
        <f>_xlfn.STDEV.P(R3:R16)</f>
        <v>38.887000969683456</v>
      </c>
    </row>
    <row r="19" spans="1:18">
      <c r="Q19" t="s">
        <v>17</v>
      </c>
      <c r="R19">
        <f xml:space="preserve"> ABS(R17-U3)/U3 *100</f>
        <v>625.52115101945685</v>
      </c>
    </row>
    <row r="20" spans="1:18">
      <c r="Q20" t="s">
        <v>24</v>
      </c>
      <c r="R20">
        <f>CORREL(B26:B39,C26:C39)</f>
        <v>0.90034896339801274</v>
      </c>
    </row>
    <row r="21" spans="1:18" s="2" customFormat="1">
      <c r="A21" s="2" t="s">
        <v>25</v>
      </c>
    </row>
    <row r="23" spans="1:18">
      <c r="A23" t="s">
        <v>26</v>
      </c>
    </row>
    <row r="25" spans="1:18">
      <c r="A25" t="s">
        <v>12</v>
      </c>
      <c r="B25" t="s">
        <v>14</v>
      </c>
      <c r="C25" t="s">
        <v>27</v>
      </c>
    </row>
    <row r="26" spans="1:18">
      <c r="A26">
        <f t="shared" ref="A26:A39" si="17">K3</f>
        <v>1.02</v>
      </c>
      <c r="B26">
        <f t="shared" ref="B26:B39" si="18">N3</f>
        <v>67.8</v>
      </c>
      <c r="C26">
        <f t="shared" ref="C26:C39" si="19">I3</f>
        <v>0</v>
      </c>
    </row>
    <row r="27" spans="1:18">
      <c r="A27">
        <f t="shared" si="17"/>
        <v>1.53</v>
      </c>
      <c r="B27">
        <f t="shared" si="18"/>
        <v>102</v>
      </c>
      <c r="C27">
        <f t="shared" si="19"/>
        <v>1.7453292519943295E-2</v>
      </c>
    </row>
    <row r="28" spans="1:18">
      <c r="A28">
        <f t="shared" si="17"/>
        <v>1.99</v>
      </c>
      <c r="B28">
        <f t="shared" si="18"/>
        <v>131</v>
      </c>
      <c r="C28">
        <f t="shared" si="19"/>
        <v>1.9198621771937648E-2</v>
      </c>
    </row>
    <row r="29" spans="1:18">
      <c r="A29">
        <f t="shared" si="17"/>
        <v>2.5299999999999998</v>
      </c>
      <c r="B29">
        <f t="shared" si="18"/>
        <v>167</v>
      </c>
      <c r="C29">
        <f t="shared" si="19"/>
        <v>6.7195176201781712E-2</v>
      </c>
    </row>
    <row r="30" spans="1:18">
      <c r="A30">
        <f t="shared" si="17"/>
        <v>3.02</v>
      </c>
      <c r="B30">
        <f t="shared" si="18"/>
        <v>199</v>
      </c>
      <c r="C30">
        <f t="shared" si="19"/>
        <v>8.0285145591739188E-2</v>
      </c>
    </row>
    <row r="31" spans="1:18">
      <c r="A31">
        <f t="shared" si="17"/>
        <v>3.53</v>
      </c>
      <c r="B31">
        <f t="shared" si="18"/>
        <v>233</v>
      </c>
      <c r="C31">
        <f t="shared" si="19"/>
        <v>0.10210176124166831</v>
      </c>
    </row>
    <row r="32" spans="1:18">
      <c r="A32">
        <f t="shared" si="17"/>
        <v>4.05</v>
      </c>
      <c r="B32">
        <f t="shared" si="18"/>
        <v>267</v>
      </c>
      <c r="C32">
        <f t="shared" si="19"/>
        <v>8.6393797973719363E-2</v>
      </c>
    </row>
    <row r="33" spans="1:3">
      <c r="A33">
        <f t="shared" si="17"/>
        <v>4.54</v>
      </c>
      <c r="B33">
        <f t="shared" si="18"/>
        <v>299</v>
      </c>
      <c r="C33">
        <f t="shared" si="19"/>
        <v>0.10646508437165413</v>
      </c>
    </row>
    <row r="34" spans="1:3">
      <c r="A34">
        <f t="shared" si="17"/>
        <v>4.99</v>
      </c>
      <c r="B34">
        <f t="shared" si="18"/>
        <v>327</v>
      </c>
      <c r="C34">
        <f t="shared" si="19"/>
        <v>0.12042771838760871</v>
      </c>
    </row>
    <row r="35" spans="1:3">
      <c r="A35">
        <f t="shared" si="17"/>
        <v>5.58</v>
      </c>
      <c r="B35">
        <f t="shared" si="18"/>
        <v>366</v>
      </c>
      <c r="C35">
        <f t="shared" si="19"/>
        <v>0.13439035240356342</v>
      </c>
    </row>
    <row r="36" spans="1:3">
      <c r="A36">
        <f t="shared" si="17"/>
        <v>6.04</v>
      </c>
      <c r="B36">
        <f t="shared" si="18"/>
        <v>396</v>
      </c>
      <c r="C36">
        <f t="shared" si="19"/>
        <v>0.15707963267948966</v>
      </c>
    </row>
    <row r="37" spans="1:3">
      <c r="A37">
        <f t="shared" si="17"/>
        <v>6.54</v>
      </c>
      <c r="B37">
        <f t="shared" si="18"/>
        <v>427</v>
      </c>
      <c r="C37">
        <f t="shared" si="19"/>
        <v>0.13613568165555764</v>
      </c>
    </row>
    <row r="38" spans="1:3">
      <c r="A38">
        <f t="shared" si="17"/>
        <v>7</v>
      </c>
      <c r="B38">
        <f t="shared" si="18"/>
        <v>457</v>
      </c>
      <c r="C38">
        <f t="shared" si="19"/>
        <v>0.11868238913561437</v>
      </c>
    </row>
    <row r="39" spans="1:3">
      <c r="A39">
        <f t="shared" si="17"/>
        <v>7.24</v>
      </c>
      <c r="B39">
        <f t="shared" si="18"/>
        <v>471</v>
      </c>
      <c r="C39">
        <f t="shared" si="19"/>
        <v>0.11868238913561437</v>
      </c>
    </row>
    <row r="40" spans="1:3">
      <c r="A40" t="e">
        <f>#REF!</f>
        <v>#REF!</v>
      </c>
      <c r="B40" t="e">
        <f>#REF!</f>
        <v>#REF!</v>
      </c>
      <c r="C40" t="e">
        <f>#REF!</f>
        <v>#REF!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5B6-5380-4D71-B108-73AF7D0D83F2}">
  <dimension ref="A1:Z39"/>
  <sheetViews>
    <sheetView zoomScaleNormal="100" workbookViewId="0">
      <selection activeCell="A3" sqref="A3"/>
    </sheetView>
  </sheetViews>
  <sheetFormatPr defaultColWidth="11.42578125" defaultRowHeight="15"/>
  <cols>
    <col min="1" max="1" width="15.42578125" customWidth="1"/>
    <col min="2" max="2" width="16.7109375" customWidth="1"/>
    <col min="3" max="3" width="21" customWidth="1"/>
    <col min="4" max="4" width="19.5703125" customWidth="1"/>
    <col min="5" max="6" width="14.5703125" customWidth="1"/>
    <col min="7" max="7" width="18.85546875" customWidth="1"/>
    <col min="8" max="8" width="16.28515625" customWidth="1"/>
    <col min="9" max="9" width="15.42578125" customWidth="1"/>
    <col min="10" max="10" width="18.28515625" customWidth="1"/>
    <col min="11" max="11" width="11.7109375" customWidth="1"/>
    <col min="12" max="12" width="11" customWidth="1"/>
    <col min="13" max="13" width="17.85546875" customWidth="1"/>
    <col min="14" max="15" width="16.7109375" customWidth="1"/>
    <col min="17" max="17" width="18.5703125" customWidth="1"/>
    <col min="18" max="18" width="16.85546875" customWidth="1"/>
    <col min="20" max="20" width="17.85546875" customWidth="1"/>
    <col min="21" max="21" width="17.42578125" customWidth="1"/>
    <col min="22" max="22" width="11.85546875" customWidth="1"/>
    <col min="23" max="23" width="16.7109375" customWidth="1"/>
  </cols>
  <sheetData>
    <row r="1" spans="1:26">
      <c r="A1" t="s">
        <v>28</v>
      </c>
      <c r="B1" t="s">
        <v>29</v>
      </c>
      <c r="C1">
        <v>45</v>
      </c>
      <c r="D1" t="s">
        <v>30</v>
      </c>
      <c r="E1">
        <v>19</v>
      </c>
    </row>
    <row r="2" spans="1:2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10</v>
      </c>
      <c r="J2" t="s">
        <v>11</v>
      </c>
      <c r="K2" t="s">
        <v>12</v>
      </c>
      <c r="L2" t="s">
        <v>8</v>
      </c>
      <c r="M2" t="s">
        <v>11</v>
      </c>
      <c r="N2" t="s">
        <v>13</v>
      </c>
      <c r="O2" t="s">
        <v>14</v>
      </c>
      <c r="P2" t="s">
        <v>8</v>
      </c>
      <c r="Q2" t="s">
        <v>11</v>
      </c>
      <c r="R2" t="s">
        <v>15</v>
      </c>
      <c r="S2" t="s">
        <v>8</v>
      </c>
      <c r="T2" t="s">
        <v>11</v>
      </c>
      <c r="U2" t="s">
        <v>31</v>
      </c>
      <c r="V2" t="s">
        <v>23</v>
      </c>
      <c r="W2" t="s">
        <v>18</v>
      </c>
      <c r="X2" t="s">
        <v>19</v>
      </c>
      <c r="Y2" t="s">
        <v>34</v>
      </c>
      <c r="Z2" t="s">
        <v>19</v>
      </c>
    </row>
    <row r="3" spans="1:26">
      <c r="A3">
        <v>3.05</v>
      </c>
      <c r="B3">
        <f>$A$3/100</f>
        <v>3.0499999999999999E-2</v>
      </c>
      <c r="C3">
        <v>45</v>
      </c>
      <c r="D3" s="1">
        <v>48.5</v>
      </c>
      <c r="E3">
        <v>1</v>
      </c>
      <c r="F3">
        <f>$E$3/2</f>
        <v>0.5</v>
      </c>
      <c r="G3">
        <f>ABS(C3-D3)</f>
        <v>3.5</v>
      </c>
      <c r="H3">
        <f>SQRT(2)*F3</f>
        <v>0.70710678118654757</v>
      </c>
      <c r="I3">
        <f>RADIANS(G3)</f>
        <v>6.1086523819801536E-2</v>
      </c>
      <c r="J3">
        <f>H3/G3 * 100</f>
        <v>20.203050891044217</v>
      </c>
      <c r="K3">
        <v>1.01</v>
      </c>
      <c r="L3">
        <f xml:space="preserve"> (0.05*K3/100) + 0.01</f>
        <v>1.0505E-2</v>
      </c>
      <c r="M3">
        <f xml:space="preserve"> L3/K3*100</f>
        <v>1.0400990099009901</v>
      </c>
      <c r="N3">
        <v>49.9</v>
      </c>
      <c r="O3">
        <f>N3*0.001</f>
        <v>4.99E-2</v>
      </c>
      <c r="P3">
        <f t="shared" ref="P3:P16" si="0">(N3*0.6/100)+3</f>
        <v>3.2993999999999999</v>
      </c>
      <c r="Q3">
        <f t="shared" ref="Q3:Q16" si="1">P3/N3 * 100</f>
        <v>6.6120240480961918</v>
      </c>
      <c r="R3">
        <f>I3/(O3*B3)</f>
        <v>40.137010952923248</v>
      </c>
      <c r="S3">
        <f t="shared" ref="S3:S16" si="2">$R$18/SQRT(15)</f>
        <v>1.6213821358502054</v>
      </c>
      <c r="T3">
        <f t="shared" ref="T3:T16" si="3">S3/$R$17*100</f>
        <v>7.4155985456803215</v>
      </c>
      <c r="U3">
        <v>13.57</v>
      </c>
      <c r="V3">
        <f>ABS(U3-R3)/U3*100</f>
        <v>195.77753097216836</v>
      </c>
      <c r="W3">
        <f>1/(R3/U3)*100</f>
        <v>33.809194251949329</v>
      </c>
      <c r="X3">
        <f>AVERAGE(W3:W16)</f>
        <v>66.024848746243507</v>
      </c>
      <c r="Y3">
        <f>R3/U3</f>
        <v>2.9577753097216837</v>
      </c>
      <c r="Z3">
        <f>AVERAGE(Y3:Y16)</f>
        <v>1.6112366256965742</v>
      </c>
    </row>
    <row r="4" spans="1:26">
      <c r="A4">
        <v>3.05</v>
      </c>
      <c r="B4">
        <f t="shared" ref="B4:B16" si="4">$A$3/100</f>
        <v>3.0499999999999999E-2</v>
      </c>
      <c r="C4">
        <v>45</v>
      </c>
      <c r="D4">
        <v>48.9</v>
      </c>
      <c r="E4">
        <v>1</v>
      </c>
      <c r="F4">
        <f t="shared" ref="F4:F16" si="5">$E$3/2</f>
        <v>0.5</v>
      </c>
      <c r="G4">
        <f t="shared" ref="G4:G16" si="6">ABS(C4-D4)</f>
        <v>3.8999999999999986</v>
      </c>
      <c r="H4">
        <f t="shared" ref="H4:H16" si="7">SQRT(2)*F4</f>
        <v>0.70710678118654757</v>
      </c>
      <c r="I4">
        <f t="shared" ref="I4:I16" si="8">RADIANS(G4)</f>
        <v>6.8067840827778822E-2</v>
      </c>
      <c r="J4">
        <f t="shared" ref="J4:J16" si="9">H4/G4 * 100</f>
        <v>18.130943107347381</v>
      </c>
      <c r="K4">
        <v>1.56</v>
      </c>
      <c r="L4">
        <f t="shared" ref="L4:L16" si="10" xml:space="preserve"> (0.05*K4/100) + 0.01</f>
        <v>1.078E-2</v>
      </c>
      <c r="M4">
        <f t="shared" ref="M4:M16" si="11" xml:space="preserve"> L4/K4*100</f>
        <v>0.69102564102564101</v>
      </c>
      <c r="N4">
        <v>77</v>
      </c>
      <c r="O4">
        <f t="shared" ref="O4:O16" si="12">N4*0.001</f>
        <v>7.6999999999999999E-2</v>
      </c>
      <c r="P4">
        <f t="shared" si="0"/>
        <v>3.4619999999999997</v>
      </c>
      <c r="Q4">
        <f t="shared" si="1"/>
        <v>4.4961038961038957</v>
      </c>
      <c r="R4">
        <f t="shared" ref="R4:R16" si="13">I4/(O4*B4)</f>
        <v>28.983538781255621</v>
      </c>
      <c r="S4">
        <f t="shared" si="2"/>
        <v>1.6213821358502054</v>
      </c>
      <c r="T4">
        <f t="shared" si="3"/>
        <v>7.4155985456803215</v>
      </c>
      <c r="U4">
        <v>13.57</v>
      </c>
      <c r="V4">
        <f t="shared" ref="V4:V16" si="14">ABS(U4-R4)/U4*100</f>
        <v>113.58540000925292</v>
      </c>
      <c r="W4">
        <f t="shared" ref="W4:W16" si="15">1/(R4/U4)*100</f>
        <v>46.819679620267962</v>
      </c>
      <c r="Y4">
        <f t="shared" ref="Y4:Y16" si="16">R4/U4</f>
        <v>2.1358540000925292</v>
      </c>
    </row>
    <row r="5" spans="1:26">
      <c r="A5">
        <v>3.05</v>
      </c>
      <c r="B5">
        <f t="shared" si="4"/>
        <v>3.0499999999999999E-2</v>
      </c>
      <c r="C5">
        <v>45</v>
      </c>
      <c r="D5">
        <v>49</v>
      </c>
      <c r="E5">
        <v>1</v>
      </c>
      <c r="F5">
        <f t="shared" si="5"/>
        <v>0.5</v>
      </c>
      <c r="G5">
        <f t="shared" si="6"/>
        <v>4</v>
      </c>
      <c r="H5">
        <f t="shared" si="7"/>
        <v>0.70710678118654757</v>
      </c>
      <c r="I5">
        <f t="shared" si="8"/>
        <v>6.9813170079773182E-2</v>
      </c>
      <c r="J5">
        <f t="shared" si="9"/>
        <v>17.677669529663689</v>
      </c>
      <c r="K5">
        <v>1.99</v>
      </c>
      <c r="L5">
        <f t="shared" si="10"/>
        <v>1.0995E-2</v>
      </c>
      <c r="M5">
        <f t="shared" si="11"/>
        <v>0.55251256281407035</v>
      </c>
      <c r="N5">
        <v>97</v>
      </c>
      <c r="O5">
        <f t="shared" si="12"/>
        <v>9.7000000000000003E-2</v>
      </c>
      <c r="P5">
        <f t="shared" si="0"/>
        <v>3.5819999999999999</v>
      </c>
      <c r="Q5">
        <f t="shared" si="1"/>
        <v>3.6927835051546389</v>
      </c>
      <c r="R5">
        <f t="shared" si="13"/>
        <v>23.597488619156053</v>
      </c>
      <c r="S5">
        <f t="shared" si="2"/>
        <v>1.6213821358502054</v>
      </c>
      <c r="T5">
        <f t="shared" si="3"/>
        <v>7.4155985456803215</v>
      </c>
      <c r="U5">
        <v>13.57</v>
      </c>
      <c r="V5">
        <f t="shared" si="14"/>
        <v>73.894536618688662</v>
      </c>
      <c r="W5">
        <f t="shared" si="15"/>
        <v>57.506119481647289</v>
      </c>
      <c r="Y5">
        <f t="shared" si="16"/>
        <v>1.7389453661868868</v>
      </c>
    </row>
    <row r="6" spans="1:26">
      <c r="A6">
        <v>3.05</v>
      </c>
      <c r="B6">
        <f t="shared" si="4"/>
        <v>3.0499999999999999E-2</v>
      </c>
      <c r="C6">
        <v>45</v>
      </c>
      <c r="D6">
        <v>50.3</v>
      </c>
      <c r="E6">
        <v>1</v>
      </c>
      <c r="F6">
        <f t="shared" si="5"/>
        <v>0.5</v>
      </c>
      <c r="G6">
        <f t="shared" si="6"/>
        <v>5.2999999999999972</v>
      </c>
      <c r="H6">
        <f t="shared" si="7"/>
        <v>0.70710678118654757</v>
      </c>
      <c r="I6">
        <f t="shared" si="8"/>
        <v>9.2502450355699414E-2</v>
      </c>
      <c r="J6">
        <f t="shared" si="9"/>
        <v>13.341637380878263</v>
      </c>
      <c r="K6">
        <v>2.56</v>
      </c>
      <c r="L6">
        <f t="shared" si="10"/>
        <v>1.128E-2</v>
      </c>
      <c r="M6">
        <f t="shared" si="11"/>
        <v>0.44062499999999993</v>
      </c>
      <c r="N6">
        <v>124</v>
      </c>
      <c r="O6">
        <f t="shared" si="12"/>
        <v>0.124</v>
      </c>
      <c r="P6">
        <f t="shared" si="0"/>
        <v>3.7439999999999998</v>
      </c>
      <c r="Q6">
        <f t="shared" si="1"/>
        <v>3.0193548387096771</v>
      </c>
      <c r="R6">
        <f t="shared" si="13"/>
        <v>24.458606651427662</v>
      </c>
      <c r="S6">
        <f t="shared" si="2"/>
        <v>1.6213821358502054</v>
      </c>
      <c r="T6">
        <f t="shared" si="3"/>
        <v>7.4155985456803215</v>
      </c>
      <c r="U6">
        <v>13.57</v>
      </c>
      <c r="V6">
        <f t="shared" si="14"/>
        <v>80.240284829975394</v>
      </c>
      <c r="W6">
        <f t="shared" si="15"/>
        <v>55.481492439013948</v>
      </c>
      <c r="Y6">
        <f t="shared" si="16"/>
        <v>1.8024028482997541</v>
      </c>
    </row>
    <row r="7" spans="1:26">
      <c r="A7">
        <v>3.05</v>
      </c>
      <c r="B7">
        <f t="shared" si="4"/>
        <v>3.0499999999999999E-2</v>
      </c>
      <c r="C7">
        <v>45</v>
      </c>
      <c r="D7">
        <v>51.2</v>
      </c>
      <c r="E7">
        <v>1</v>
      </c>
      <c r="F7">
        <f t="shared" si="5"/>
        <v>0.5</v>
      </c>
      <c r="G7">
        <f t="shared" si="6"/>
        <v>6.2000000000000028</v>
      </c>
      <c r="H7">
        <f t="shared" si="7"/>
        <v>0.70710678118654757</v>
      </c>
      <c r="I7">
        <f t="shared" si="8"/>
        <v>0.10821041362364849</v>
      </c>
      <c r="J7">
        <f t="shared" si="9"/>
        <v>11.404948083653988</v>
      </c>
      <c r="K7">
        <v>3</v>
      </c>
      <c r="L7">
        <f t="shared" si="10"/>
        <v>1.15E-2</v>
      </c>
      <c r="M7">
        <f t="shared" si="11"/>
        <v>0.3833333333333333</v>
      </c>
      <c r="N7">
        <v>146</v>
      </c>
      <c r="O7">
        <f t="shared" si="12"/>
        <v>0.14599999999999999</v>
      </c>
      <c r="P7">
        <f t="shared" si="0"/>
        <v>3.8759999999999999</v>
      </c>
      <c r="Q7">
        <f t="shared" si="1"/>
        <v>2.6547945205479451</v>
      </c>
      <c r="R7">
        <f t="shared" si="13"/>
        <v>24.300564478699414</v>
      </c>
      <c r="S7">
        <f t="shared" si="2"/>
        <v>1.6213821358502054</v>
      </c>
      <c r="T7">
        <f t="shared" si="3"/>
        <v>7.4155985456803215</v>
      </c>
      <c r="U7">
        <v>13.57</v>
      </c>
      <c r="V7">
        <f t="shared" si="14"/>
        <v>79.075640963149695</v>
      </c>
      <c r="W7">
        <f t="shared" si="15"/>
        <v>55.842324205656801</v>
      </c>
      <c r="Y7">
        <f t="shared" si="16"/>
        <v>1.790756409631497</v>
      </c>
    </row>
    <row r="8" spans="1:26">
      <c r="A8">
        <v>3.05</v>
      </c>
      <c r="B8">
        <f t="shared" si="4"/>
        <v>3.0499999999999999E-2</v>
      </c>
      <c r="C8">
        <v>45</v>
      </c>
      <c r="D8">
        <v>51</v>
      </c>
      <c r="E8">
        <v>1</v>
      </c>
      <c r="F8">
        <f t="shared" si="5"/>
        <v>0.5</v>
      </c>
      <c r="G8">
        <f t="shared" si="6"/>
        <v>6</v>
      </c>
      <c r="H8">
        <f t="shared" si="7"/>
        <v>0.70710678118654757</v>
      </c>
      <c r="I8">
        <f t="shared" si="8"/>
        <v>0.10471975511965978</v>
      </c>
      <c r="J8">
        <f t="shared" si="9"/>
        <v>11.785113019775793</v>
      </c>
      <c r="K8">
        <v>3.51</v>
      </c>
      <c r="L8">
        <f t="shared" si="10"/>
        <v>1.1755E-2</v>
      </c>
      <c r="M8">
        <f t="shared" si="11"/>
        <v>0.33490028490028489</v>
      </c>
      <c r="N8">
        <v>171</v>
      </c>
      <c r="O8">
        <f t="shared" si="12"/>
        <v>0.17100000000000001</v>
      </c>
      <c r="P8">
        <f t="shared" si="0"/>
        <v>4.0259999999999998</v>
      </c>
      <c r="Q8">
        <f t="shared" si="1"/>
        <v>2.3543859649122805</v>
      </c>
      <c r="R8">
        <f t="shared" si="13"/>
        <v>20.078564877702956</v>
      </c>
      <c r="S8">
        <f t="shared" si="2"/>
        <v>1.6213821358502054</v>
      </c>
      <c r="T8">
        <f t="shared" si="3"/>
        <v>7.4155985456803215</v>
      </c>
      <c r="U8">
        <v>13.57</v>
      </c>
      <c r="V8">
        <f t="shared" si="14"/>
        <v>47.962895193094738</v>
      </c>
      <c r="W8">
        <f t="shared" si="15"/>
        <v>67.584511555750424</v>
      </c>
      <c r="Y8">
        <f t="shared" si="16"/>
        <v>1.4796289519309473</v>
      </c>
    </row>
    <row r="9" spans="1:26">
      <c r="A9">
        <v>3.05</v>
      </c>
      <c r="B9">
        <f t="shared" si="4"/>
        <v>3.0499999999999999E-2</v>
      </c>
      <c r="C9">
        <v>45</v>
      </c>
      <c r="D9">
        <v>52.9</v>
      </c>
      <c r="E9">
        <v>1</v>
      </c>
      <c r="F9">
        <f t="shared" si="5"/>
        <v>0.5</v>
      </c>
      <c r="G9">
        <f t="shared" si="6"/>
        <v>7.8999999999999986</v>
      </c>
      <c r="H9">
        <f t="shared" si="7"/>
        <v>0.70710678118654757</v>
      </c>
      <c r="I9">
        <f t="shared" si="8"/>
        <v>0.137881010907552</v>
      </c>
      <c r="J9">
        <f t="shared" si="9"/>
        <v>8.9507187491968061</v>
      </c>
      <c r="K9">
        <v>4.0199999999999996</v>
      </c>
      <c r="L9">
        <f t="shared" si="10"/>
        <v>1.201E-2</v>
      </c>
      <c r="M9">
        <f t="shared" si="11"/>
        <v>0.29875621890547266</v>
      </c>
      <c r="N9">
        <v>195</v>
      </c>
      <c r="O9">
        <f t="shared" si="12"/>
        <v>0.19500000000000001</v>
      </c>
      <c r="P9">
        <f t="shared" si="0"/>
        <v>4.17</v>
      </c>
      <c r="Q9">
        <f t="shared" si="1"/>
        <v>2.1384615384615384</v>
      </c>
      <c r="R9">
        <f t="shared" si="13"/>
        <v>23.183019908793948</v>
      </c>
      <c r="S9">
        <f t="shared" si="2"/>
        <v>1.6213821358502054</v>
      </c>
      <c r="T9">
        <f t="shared" si="3"/>
        <v>7.4155985456803215</v>
      </c>
      <c r="U9">
        <v>13.57</v>
      </c>
      <c r="V9">
        <f t="shared" si="14"/>
        <v>70.840235142180902</v>
      </c>
      <c r="W9">
        <f t="shared" si="15"/>
        <v>58.534220534627288</v>
      </c>
      <c r="Y9">
        <f t="shared" si="16"/>
        <v>1.708402351421809</v>
      </c>
    </row>
    <row r="10" spans="1:26">
      <c r="A10">
        <v>3.05</v>
      </c>
      <c r="B10">
        <f t="shared" si="4"/>
        <v>3.0499999999999999E-2</v>
      </c>
      <c r="C10">
        <v>45</v>
      </c>
      <c r="D10">
        <v>52</v>
      </c>
      <c r="E10">
        <v>1</v>
      </c>
      <c r="F10">
        <f t="shared" si="5"/>
        <v>0.5</v>
      </c>
      <c r="G10">
        <f t="shared" si="6"/>
        <v>7</v>
      </c>
      <c r="H10">
        <f t="shared" si="7"/>
        <v>0.70710678118654757</v>
      </c>
      <c r="I10">
        <f t="shared" si="8"/>
        <v>0.12217304763960307</v>
      </c>
      <c r="J10">
        <f t="shared" si="9"/>
        <v>10.101525445522109</v>
      </c>
      <c r="K10">
        <v>4.5199999999999996</v>
      </c>
      <c r="L10">
        <f t="shared" si="10"/>
        <v>1.226E-2</v>
      </c>
      <c r="M10">
        <f t="shared" si="11"/>
        <v>0.2712389380530974</v>
      </c>
      <c r="N10">
        <v>219</v>
      </c>
      <c r="O10">
        <f t="shared" si="12"/>
        <v>0.219</v>
      </c>
      <c r="P10">
        <f t="shared" si="0"/>
        <v>4.3140000000000001</v>
      </c>
      <c r="Q10">
        <f t="shared" si="1"/>
        <v>1.9698630136986301</v>
      </c>
      <c r="R10">
        <f t="shared" si="13"/>
        <v>18.290747457085573</v>
      </c>
      <c r="S10">
        <f t="shared" si="2"/>
        <v>1.6213821358502054</v>
      </c>
      <c r="T10">
        <f t="shared" si="3"/>
        <v>7.4155985456803215</v>
      </c>
      <c r="U10">
        <v>13.57</v>
      </c>
      <c r="V10">
        <f t="shared" si="14"/>
        <v>34.788116853983581</v>
      </c>
      <c r="W10">
        <f t="shared" si="15"/>
        <v>74.190516444658357</v>
      </c>
      <c r="Y10">
        <f t="shared" si="16"/>
        <v>1.3478811685398358</v>
      </c>
    </row>
    <row r="11" spans="1:26">
      <c r="A11">
        <v>3.05</v>
      </c>
      <c r="B11">
        <f t="shared" si="4"/>
        <v>3.0499999999999999E-2</v>
      </c>
      <c r="C11">
        <v>45</v>
      </c>
      <c r="D11">
        <v>52.8</v>
      </c>
      <c r="E11">
        <v>1</v>
      </c>
      <c r="F11">
        <f t="shared" si="5"/>
        <v>0.5</v>
      </c>
      <c r="G11">
        <f t="shared" si="6"/>
        <v>7.7999999999999972</v>
      </c>
      <c r="H11">
        <f t="shared" si="7"/>
        <v>0.70710678118654757</v>
      </c>
      <c r="I11">
        <f t="shared" si="8"/>
        <v>0.13613568165555764</v>
      </c>
      <c r="J11">
        <f t="shared" si="9"/>
        <v>9.0654715536736905</v>
      </c>
      <c r="K11">
        <v>5.0199999999999996</v>
      </c>
      <c r="L11">
        <f t="shared" si="10"/>
        <v>1.251E-2</v>
      </c>
      <c r="M11">
        <f t="shared" si="11"/>
        <v>0.24920318725099605</v>
      </c>
      <c r="N11">
        <v>243</v>
      </c>
      <c r="O11">
        <f t="shared" si="12"/>
        <v>0.24299999999999999</v>
      </c>
      <c r="P11">
        <f t="shared" si="0"/>
        <v>4.4580000000000002</v>
      </c>
      <c r="Q11">
        <f t="shared" si="1"/>
        <v>1.8345679012345679</v>
      </c>
      <c r="R11">
        <f t="shared" si="13"/>
        <v>18.368168610343069</v>
      </c>
      <c r="S11">
        <f t="shared" si="2"/>
        <v>1.6213821358502054</v>
      </c>
      <c r="T11">
        <f t="shared" si="3"/>
        <v>7.4155985456803215</v>
      </c>
      <c r="U11">
        <v>13.57</v>
      </c>
      <c r="V11">
        <f t="shared" si="14"/>
        <v>35.358648565534772</v>
      </c>
      <c r="W11">
        <f t="shared" si="15"/>
        <v>73.877806154059186</v>
      </c>
      <c r="Y11">
        <f t="shared" si="16"/>
        <v>1.3535864856553477</v>
      </c>
    </row>
    <row r="12" spans="1:26">
      <c r="A12">
        <v>3.05</v>
      </c>
      <c r="B12">
        <f t="shared" si="4"/>
        <v>3.0499999999999999E-2</v>
      </c>
      <c r="C12">
        <v>45</v>
      </c>
      <c r="D12">
        <v>53</v>
      </c>
      <c r="E12">
        <v>1</v>
      </c>
      <c r="F12">
        <f t="shared" si="5"/>
        <v>0.5</v>
      </c>
      <c r="G12">
        <f t="shared" si="6"/>
        <v>8</v>
      </c>
      <c r="H12">
        <f t="shared" si="7"/>
        <v>0.70710678118654757</v>
      </c>
      <c r="I12">
        <f t="shared" si="8"/>
        <v>0.13962634015954636</v>
      </c>
      <c r="J12">
        <f t="shared" si="9"/>
        <v>8.8388347648318444</v>
      </c>
      <c r="K12">
        <v>5.54</v>
      </c>
      <c r="L12">
        <f t="shared" si="10"/>
        <v>1.277E-2</v>
      </c>
      <c r="M12">
        <f t="shared" si="11"/>
        <v>0.23050541516245487</v>
      </c>
      <c r="N12">
        <v>268</v>
      </c>
      <c r="O12">
        <f t="shared" si="12"/>
        <v>0.26800000000000002</v>
      </c>
      <c r="P12">
        <f t="shared" si="0"/>
        <v>4.6079999999999997</v>
      </c>
      <c r="Q12">
        <f t="shared" si="1"/>
        <v>1.7194029850746269</v>
      </c>
      <c r="R12">
        <f t="shared" si="13"/>
        <v>17.08176414968759</v>
      </c>
      <c r="S12">
        <f t="shared" si="2"/>
        <v>1.6213821358502054</v>
      </c>
      <c r="T12">
        <f t="shared" si="3"/>
        <v>7.4155985456803215</v>
      </c>
      <c r="U12">
        <v>13.57</v>
      </c>
      <c r="V12">
        <f t="shared" si="14"/>
        <v>25.878880985170156</v>
      </c>
      <c r="W12">
        <f t="shared" si="15"/>
        <v>79.441443407636456</v>
      </c>
      <c r="Y12">
        <f t="shared" si="16"/>
        <v>1.2587888098517015</v>
      </c>
    </row>
    <row r="13" spans="1:26">
      <c r="A13">
        <v>3.05</v>
      </c>
      <c r="B13">
        <f t="shared" si="4"/>
        <v>3.0499999999999999E-2</v>
      </c>
      <c r="C13">
        <v>45</v>
      </c>
      <c r="D13">
        <v>54</v>
      </c>
      <c r="E13">
        <v>1</v>
      </c>
      <c r="F13">
        <f t="shared" si="5"/>
        <v>0.5</v>
      </c>
      <c r="G13">
        <f t="shared" si="6"/>
        <v>9</v>
      </c>
      <c r="H13">
        <f t="shared" si="7"/>
        <v>0.70710678118654757</v>
      </c>
      <c r="I13">
        <f t="shared" si="8"/>
        <v>0.15707963267948966</v>
      </c>
      <c r="J13">
        <f t="shared" si="9"/>
        <v>7.8567420131838626</v>
      </c>
      <c r="K13">
        <v>6.08</v>
      </c>
      <c r="L13">
        <f t="shared" si="10"/>
        <v>1.3040000000000001E-2</v>
      </c>
      <c r="M13">
        <f t="shared" si="11"/>
        <v>0.21447368421052634</v>
      </c>
      <c r="N13">
        <v>293</v>
      </c>
      <c r="O13">
        <f t="shared" si="12"/>
        <v>0.29299999999999998</v>
      </c>
      <c r="P13">
        <f t="shared" si="0"/>
        <v>4.758</v>
      </c>
      <c r="Q13">
        <f t="shared" si="1"/>
        <v>1.6238907849829354</v>
      </c>
      <c r="R13">
        <f t="shared" si="13"/>
        <v>17.57731020863757</v>
      </c>
      <c r="S13">
        <f t="shared" si="2"/>
        <v>1.6213821358502054</v>
      </c>
      <c r="T13">
        <f t="shared" si="3"/>
        <v>7.4155985456803215</v>
      </c>
      <c r="U13">
        <v>13.57</v>
      </c>
      <c r="V13">
        <f t="shared" si="14"/>
        <v>29.530657396002724</v>
      </c>
      <c r="W13">
        <f t="shared" si="15"/>
        <v>77.201800724502434</v>
      </c>
      <c r="Y13">
        <f t="shared" si="16"/>
        <v>1.2953065739600274</v>
      </c>
    </row>
    <row r="14" spans="1:26">
      <c r="A14">
        <v>3.05</v>
      </c>
      <c r="B14">
        <f t="shared" si="4"/>
        <v>3.0499999999999999E-2</v>
      </c>
      <c r="C14">
        <v>45</v>
      </c>
      <c r="D14">
        <v>54</v>
      </c>
      <c r="E14">
        <v>1</v>
      </c>
      <c r="F14">
        <f t="shared" si="5"/>
        <v>0.5</v>
      </c>
      <c r="G14">
        <f t="shared" si="6"/>
        <v>9</v>
      </c>
      <c r="H14">
        <f t="shared" si="7"/>
        <v>0.70710678118654757</v>
      </c>
      <c r="I14">
        <f t="shared" si="8"/>
        <v>0.15707963267948966</v>
      </c>
      <c r="J14">
        <f t="shared" si="9"/>
        <v>7.8567420131838626</v>
      </c>
      <c r="K14">
        <v>6.51</v>
      </c>
      <c r="L14">
        <f t="shared" si="10"/>
        <v>1.3254999999999999E-2</v>
      </c>
      <c r="M14">
        <f t="shared" si="11"/>
        <v>0.20360983102918587</v>
      </c>
      <c r="N14">
        <v>313</v>
      </c>
      <c r="O14">
        <f t="shared" si="12"/>
        <v>0.313</v>
      </c>
      <c r="P14">
        <f t="shared" si="0"/>
        <v>4.8780000000000001</v>
      </c>
      <c r="Q14">
        <f t="shared" si="1"/>
        <v>1.5584664536741213</v>
      </c>
      <c r="R14">
        <f t="shared" si="13"/>
        <v>16.454159396584053</v>
      </c>
      <c r="S14">
        <f t="shared" si="2"/>
        <v>1.6213821358502054</v>
      </c>
      <c r="T14">
        <f t="shared" si="3"/>
        <v>7.4155985456803215</v>
      </c>
      <c r="U14">
        <v>13.57</v>
      </c>
      <c r="V14">
        <f t="shared" si="14"/>
        <v>21.253938073574453</v>
      </c>
      <c r="W14">
        <f t="shared" si="15"/>
        <v>82.471548214229557</v>
      </c>
      <c r="Y14">
        <f t="shared" si="16"/>
        <v>1.2125393807357445</v>
      </c>
    </row>
    <row r="15" spans="1:26">
      <c r="A15">
        <v>3.05</v>
      </c>
      <c r="B15">
        <f t="shared" si="4"/>
        <v>3.0499999999999999E-2</v>
      </c>
      <c r="C15">
        <v>45</v>
      </c>
      <c r="D15">
        <v>54.9</v>
      </c>
      <c r="E15">
        <v>1</v>
      </c>
      <c r="F15">
        <f t="shared" si="5"/>
        <v>0.5</v>
      </c>
      <c r="G15">
        <f t="shared" si="6"/>
        <v>9.8999999999999986</v>
      </c>
      <c r="H15">
        <f t="shared" si="7"/>
        <v>0.70710678118654757</v>
      </c>
      <c r="I15">
        <f t="shared" si="8"/>
        <v>0.17278759594743859</v>
      </c>
      <c r="J15">
        <f t="shared" si="9"/>
        <v>7.1424927392580582</v>
      </c>
      <c r="K15">
        <v>7.02</v>
      </c>
      <c r="L15">
        <f t="shared" si="10"/>
        <v>1.3509999999999999E-2</v>
      </c>
      <c r="M15">
        <f t="shared" si="11"/>
        <v>0.19245014245014247</v>
      </c>
      <c r="N15">
        <v>337</v>
      </c>
      <c r="O15">
        <f t="shared" si="12"/>
        <v>0.33700000000000002</v>
      </c>
      <c r="P15">
        <f t="shared" si="0"/>
        <v>5.0220000000000002</v>
      </c>
      <c r="Q15">
        <f t="shared" si="1"/>
        <v>1.4902077151335311</v>
      </c>
      <c r="R15">
        <f t="shared" si="13"/>
        <v>16.810584807845363</v>
      </c>
      <c r="S15">
        <f t="shared" si="2"/>
        <v>1.6213821358502054</v>
      </c>
      <c r="T15">
        <f t="shared" si="3"/>
        <v>7.4155985456803215</v>
      </c>
      <c r="U15">
        <v>13.57</v>
      </c>
      <c r="V15">
        <f t="shared" si="14"/>
        <v>23.880507058550936</v>
      </c>
      <c r="W15">
        <f t="shared" si="15"/>
        <v>80.722950183547397</v>
      </c>
      <c r="Y15">
        <f t="shared" si="16"/>
        <v>1.2388050705855094</v>
      </c>
    </row>
    <row r="16" spans="1:26">
      <c r="A16">
        <v>3.05</v>
      </c>
      <c r="B16">
        <f t="shared" si="4"/>
        <v>3.0499999999999999E-2</v>
      </c>
      <c r="C16">
        <v>45</v>
      </c>
      <c r="D16">
        <v>55</v>
      </c>
      <c r="E16">
        <v>1</v>
      </c>
      <c r="F16">
        <f t="shared" si="5"/>
        <v>0.5</v>
      </c>
      <c r="G16">
        <f t="shared" si="6"/>
        <v>10</v>
      </c>
      <c r="H16">
        <f t="shared" si="7"/>
        <v>0.70710678118654757</v>
      </c>
      <c r="I16">
        <f t="shared" si="8"/>
        <v>0.17453292519943295</v>
      </c>
      <c r="J16">
        <f t="shared" si="9"/>
        <v>7.0710678118654755</v>
      </c>
      <c r="K16">
        <v>7.12</v>
      </c>
      <c r="L16">
        <f t="shared" si="10"/>
        <v>1.3560000000000001E-2</v>
      </c>
      <c r="M16">
        <f t="shared" si="11"/>
        <v>0.19044943820224722</v>
      </c>
      <c r="N16">
        <v>341</v>
      </c>
      <c r="O16">
        <f t="shared" si="12"/>
        <v>0.34100000000000003</v>
      </c>
      <c r="P16">
        <f t="shared" si="0"/>
        <v>5.0459999999999994</v>
      </c>
      <c r="Q16">
        <f t="shared" si="1"/>
        <v>1.4797653958944279</v>
      </c>
      <c r="R16">
        <f t="shared" si="13"/>
        <v>16.781205249693087</v>
      </c>
      <c r="S16">
        <f t="shared" si="2"/>
        <v>1.6213821358502054</v>
      </c>
      <c r="T16">
        <f t="shared" si="3"/>
        <v>7.4155985456803215</v>
      </c>
      <c r="U16">
        <v>13.57</v>
      </c>
      <c r="V16">
        <f t="shared" si="14"/>
        <v>23.66400331387684</v>
      </c>
      <c r="W16">
        <f t="shared" si="15"/>
        <v>80.864275229862784</v>
      </c>
      <c r="Y16">
        <f t="shared" si="16"/>
        <v>1.2366400331387684</v>
      </c>
    </row>
    <row r="17" spans="1:20">
      <c r="Q17" t="s">
        <v>19</v>
      </c>
      <c r="R17">
        <f>AVERAGE(R3:R16)</f>
        <v>21.864481010702512</v>
      </c>
    </row>
    <row r="18" spans="1:20">
      <c r="Q18" t="s">
        <v>22</v>
      </c>
      <c r="R18">
        <f>_xlfn.STDEV.P(R3:R16)</f>
        <v>6.2795860099860574</v>
      </c>
    </row>
    <row r="19" spans="1:20">
      <c r="Q19" t="s">
        <v>35</v>
      </c>
      <c r="R19">
        <f xml:space="preserve"> CORREL(B25:B38,C25:C38)</f>
        <v>0.9807186942469448</v>
      </c>
    </row>
    <row r="20" spans="1:20" s="2" customFormat="1">
      <c r="A20" s="2" t="s">
        <v>25</v>
      </c>
    </row>
    <row r="21" spans="1:20">
      <c r="T21" t="s">
        <v>36</v>
      </c>
    </row>
    <row r="22" spans="1:20">
      <c r="A22" t="s">
        <v>26</v>
      </c>
    </row>
    <row r="24" spans="1:20">
      <c r="A24" t="s">
        <v>12</v>
      </c>
      <c r="B24" t="s">
        <v>14</v>
      </c>
      <c r="C24" t="s">
        <v>27</v>
      </c>
    </row>
    <row r="25" spans="1:20">
      <c r="A25">
        <f t="shared" ref="A25:A38" si="17">K3</f>
        <v>1.01</v>
      </c>
      <c r="B25">
        <f t="shared" ref="B25:B38" si="18">N3</f>
        <v>49.9</v>
      </c>
      <c r="C25">
        <f t="shared" ref="C25:C38" si="19">I3</f>
        <v>6.1086523819801536E-2</v>
      </c>
    </row>
    <row r="26" spans="1:20">
      <c r="A26">
        <f t="shared" si="17"/>
        <v>1.56</v>
      </c>
      <c r="B26">
        <f t="shared" si="18"/>
        <v>77</v>
      </c>
      <c r="C26">
        <f t="shared" si="19"/>
        <v>6.8067840827778822E-2</v>
      </c>
    </row>
    <row r="27" spans="1:20">
      <c r="A27">
        <f t="shared" si="17"/>
        <v>1.99</v>
      </c>
      <c r="B27">
        <f t="shared" si="18"/>
        <v>97</v>
      </c>
      <c r="C27">
        <f t="shared" si="19"/>
        <v>6.9813170079773182E-2</v>
      </c>
    </row>
    <row r="28" spans="1:20">
      <c r="A28">
        <f t="shared" si="17"/>
        <v>2.56</v>
      </c>
      <c r="B28">
        <f t="shared" si="18"/>
        <v>124</v>
      </c>
      <c r="C28">
        <f t="shared" si="19"/>
        <v>9.2502450355699414E-2</v>
      </c>
    </row>
    <row r="29" spans="1:20">
      <c r="A29">
        <f t="shared" si="17"/>
        <v>3</v>
      </c>
      <c r="B29">
        <f t="shared" si="18"/>
        <v>146</v>
      </c>
      <c r="C29">
        <f t="shared" si="19"/>
        <v>0.10821041362364849</v>
      </c>
    </row>
    <row r="30" spans="1:20">
      <c r="A30">
        <f t="shared" si="17"/>
        <v>3.51</v>
      </c>
      <c r="B30">
        <f t="shared" si="18"/>
        <v>171</v>
      </c>
      <c r="C30">
        <f t="shared" si="19"/>
        <v>0.10471975511965978</v>
      </c>
    </row>
    <row r="31" spans="1:20">
      <c r="A31">
        <f t="shared" si="17"/>
        <v>4.0199999999999996</v>
      </c>
      <c r="B31">
        <f t="shared" si="18"/>
        <v>195</v>
      </c>
      <c r="C31">
        <f t="shared" si="19"/>
        <v>0.137881010907552</v>
      </c>
    </row>
    <row r="32" spans="1:20">
      <c r="A32">
        <f t="shared" si="17"/>
        <v>4.5199999999999996</v>
      </c>
      <c r="B32">
        <f t="shared" si="18"/>
        <v>219</v>
      </c>
      <c r="C32">
        <f t="shared" si="19"/>
        <v>0.12217304763960307</v>
      </c>
    </row>
    <row r="33" spans="1:3">
      <c r="A33">
        <f t="shared" si="17"/>
        <v>5.0199999999999996</v>
      </c>
      <c r="B33">
        <f t="shared" si="18"/>
        <v>243</v>
      </c>
      <c r="C33">
        <f t="shared" si="19"/>
        <v>0.13613568165555764</v>
      </c>
    </row>
    <row r="34" spans="1:3">
      <c r="A34">
        <f t="shared" si="17"/>
        <v>5.54</v>
      </c>
      <c r="B34">
        <f t="shared" si="18"/>
        <v>268</v>
      </c>
      <c r="C34">
        <f t="shared" si="19"/>
        <v>0.13962634015954636</v>
      </c>
    </row>
    <row r="35" spans="1:3">
      <c r="A35">
        <f t="shared" si="17"/>
        <v>6.08</v>
      </c>
      <c r="B35">
        <f t="shared" si="18"/>
        <v>293</v>
      </c>
      <c r="C35">
        <f t="shared" si="19"/>
        <v>0.15707963267948966</v>
      </c>
    </row>
    <row r="36" spans="1:3">
      <c r="A36">
        <f t="shared" si="17"/>
        <v>6.51</v>
      </c>
      <c r="B36">
        <f t="shared" si="18"/>
        <v>313</v>
      </c>
      <c r="C36">
        <f t="shared" si="19"/>
        <v>0.15707963267948966</v>
      </c>
    </row>
    <row r="37" spans="1:3">
      <c r="A37">
        <f t="shared" si="17"/>
        <v>7.02</v>
      </c>
      <c r="B37">
        <f t="shared" si="18"/>
        <v>337</v>
      </c>
      <c r="C37">
        <f t="shared" si="19"/>
        <v>0.17278759594743859</v>
      </c>
    </row>
    <row r="38" spans="1:3">
      <c r="A38">
        <f t="shared" si="17"/>
        <v>7.12</v>
      </c>
      <c r="B38">
        <f t="shared" si="18"/>
        <v>341</v>
      </c>
      <c r="C38">
        <f t="shared" si="19"/>
        <v>0.17453292519943295</v>
      </c>
    </row>
    <row r="39" spans="1:3">
      <c r="A39" t="e">
        <f>#REF!</f>
        <v>#REF!</v>
      </c>
      <c r="B39" t="e">
        <f>#REF!</f>
        <v>#REF!</v>
      </c>
      <c r="C39" t="e">
        <f>#REF!</f>
        <v>#REF!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26B-4D38-47FA-85D4-4CF6FBF65973}">
  <dimension ref="A1:W55"/>
  <sheetViews>
    <sheetView topLeftCell="G25" zoomScaleNormal="100" workbookViewId="0">
      <selection activeCell="G37" sqref="G37"/>
    </sheetView>
  </sheetViews>
  <sheetFormatPr defaultColWidth="11.42578125" defaultRowHeight="15"/>
  <cols>
    <col min="1" max="1" width="12.140625" customWidth="1"/>
    <col min="2" max="2" width="10.140625" customWidth="1"/>
    <col min="3" max="3" width="23" customWidth="1"/>
    <col min="4" max="4" width="7.42578125" customWidth="1"/>
    <col min="5" max="5" width="21.85546875" customWidth="1"/>
    <col min="6" max="6" width="10" customWidth="1"/>
    <col min="7" max="8" width="18.85546875" customWidth="1"/>
    <col min="9" max="9" width="16.28515625" customWidth="1"/>
    <col min="10" max="10" width="17.85546875" customWidth="1"/>
    <col min="11" max="11" width="10.5703125" customWidth="1"/>
    <col min="12" max="12" width="11.7109375" customWidth="1"/>
    <col min="13" max="13" width="19.140625" customWidth="1"/>
    <col min="14" max="14" width="17.85546875" customWidth="1"/>
    <col min="15" max="16" width="16.7109375" customWidth="1"/>
    <col min="17" max="17" width="17.5703125" customWidth="1"/>
    <col min="18" max="20" width="18.5703125" customWidth="1"/>
    <col min="21" max="21" width="16.85546875" customWidth="1"/>
    <col min="23" max="23" width="17.85546875" customWidth="1"/>
    <col min="24" max="24" width="17.42578125" customWidth="1"/>
    <col min="25" max="25" width="11.85546875" customWidth="1"/>
    <col min="26" max="26" width="16.7109375" customWidth="1"/>
  </cols>
  <sheetData>
    <row r="1" spans="1:23">
      <c r="A1" t="s">
        <v>37</v>
      </c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10</v>
      </c>
      <c r="J2" t="s">
        <v>11</v>
      </c>
      <c r="K2" t="s">
        <v>12</v>
      </c>
      <c r="L2" t="s">
        <v>8</v>
      </c>
      <c r="M2" t="s">
        <v>11</v>
      </c>
      <c r="N2" t="s">
        <v>13</v>
      </c>
      <c r="O2" t="s">
        <v>14</v>
      </c>
      <c r="P2" t="s">
        <v>8</v>
      </c>
      <c r="Q2" t="s">
        <v>11</v>
      </c>
      <c r="R2" t="s">
        <v>15</v>
      </c>
      <c r="S2" t="s">
        <v>8</v>
      </c>
      <c r="T2" t="s">
        <v>38</v>
      </c>
      <c r="U2" t="s">
        <v>11</v>
      </c>
      <c r="V2" t="s">
        <v>31</v>
      </c>
      <c r="W2" t="s">
        <v>23</v>
      </c>
    </row>
    <row r="3" spans="1:23">
      <c r="A3">
        <v>3.05</v>
      </c>
      <c r="B3">
        <f>$A$3/100</f>
        <v>3.0499999999999999E-2</v>
      </c>
      <c r="C3">
        <v>1.9</v>
      </c>
      <c r="D3" s="1">
        <v>0.2</v>
      </c>
      <c r="E3">
        <v>1</v>
      </c>
      <c r="F3">
        <f>$E$3/2</f>
        <v>0.5</v>
      </c>
      <c r="G3">
        <f>ABS(C3-D3)</f>
        <v>1.7</v>
      </c>
      <c r="H3">
        <f>SQRT(2)*F3</f>
        <v>0.70710678118654757</v>
      </c>
      <c r="I3">
        <f t="shared" ref="I3:I16" si="0">RADIANS(G3)</f>
        <v>2.9670597283903602E-2</v>
      </c>
      <c r="J3">
        <f>H3/G3 * 100</f>
        <v>41.59451654038515</v>
      </c>
      <c r="K3">
        <v>1.25</v>
      </c>
      <c r="L3">
        <f xml:space="preserve"> (0.05*K3/100) + 0.01</f>
        <v>1.0625000000000001E-2</v>
      </c>
      <c r="M3">
        <f xml:space="preserve"> L3/K3*100</f>
        <v>0.85000000000000009</v>
      </c>
      <c r="N3" s="3">
        <v>919</v>
      </c>
      <c r="O3">
        <f>N3*0.0001</f>
        <v>9.1900000000000009E-2</v>
      </c>
      <c r="P3" s="3">
        <f>(N3*0.6/100)+3</f>
        <v>8.5139999999999993</v>
      </c>
      <c r="Q3" s="3">
        <f>P3/N3 * 100</f>
        <v>0.92644178454842208</v>
      </c>
      <c r="R3">
        <f t="shared" ref="R3:R16" si="1">I3/(O3*B3)</f>
        <v>10.58548931800553</v>
      </c>
      <c r="S3">
        <f>Q3+M3+J3</f>
        <v>43.370958324933575</v>
      </c>
      <c r="T3">
        <f>$T$18/SQRT($T$20)</f>
        <v>0.15825158691664507</v>
      </c>
      <c r="U3">
        <f>T3/$T$17*100</f>
        <v>1.5169993657362095</v>
      </c>
      <c r="V3">
        <v>16.739999999999998</v>
      </c>
      <c r="W3">
        <f>ABS(V3-R3)/V3*100</f>
        <v>36.765296786107939</v>
      </c>
    </row>
    <row r="4" spans="1:23">
      <c r="A4">
        <v>3.05</v>
      </c>
      <c r="B4">
        <f t="shared" ref="B4:B16" si="2">$A$3/100</f>
        <v>3.0499999999999999E-2</v>
      </c>
      <c r="C4">
        <v>1.9</v>
      </c>
      <c r="D4">
        <v>-0.1</v>
      </c>
      <c r="E4">
        <v>1</v>
      </c>
      <c r="F4">
        <f t="shared" ref="F4:F16" si="3">$E$3/2</f>
        <v>0.5</v>
      </c>
      <c r="G4">
        <f t="shared" ref="G4:G16" si="4">ABS(C4-D4)</f>
        <v>2</v>
      </c>
      <c r="H4">
        <f t="shared" ref="H4:H16" si="5">SQRT(2)*F4</f>
        <v>0.70710678118654757</v>
      </c>
      <c r="I4">
        <f t="shared" si="0"/>
        <v>3.4906585039886591E-2</v>
      </c>
      <c r="J4">
        <f t="shared" ref="J4:J16" si="6">H4/G4 * 100</f>
        <v>35.355339059327378</v>
      </c>
      <c r="K4">
        <v>1.53</v>
      </c>
      <c r="L4">
        <f t="shared" ref="L4:L16" si="7" xml:space="preserve"> (0.05*K4/100) + 0.01</f>
        <v>1.0765E-2</v>
      </c>
      <c r="M4">
        <f t="shared" ref="M4:M16" si="8" xml:space="preserve"> L4/K4*100</f>
        <v>0.70359477124183001</v>
      </c>
      <c r="N4" s="3">
        <v>1150</v>
      </c>
      <c r="O4">
        <f t="shared" ref="O4:O16" si="9">N4*0.0001</f>
        <v>0.115</v>
      </c>
      <c r="P4">
        <f t="shared" ref="P4:P16" si="10">(N4*0.6/100)+3</f>
        <v>9.9</v>
      </c>
      <c r="Q4">
        <f t="shared" ref="Q4:Q16" si="11">P4/N4 * 100</f>
        <v>0.86086956521739133</v>
      </c>
      <c r="R4">
        <f t="shared" si="1"/>
        <v>9.9519843306875515</v>
      </c>
      <c r="S4">
        <f t="shared" ref="S4:S15" si="12">Q4+M4+J4</f>
        <v>36.919803395786602</v>
      </c>
      <c r="T4">
        <f t="shared" ref="T4:T16" si="13">$T$18/SQRT($T$20)</f>
        <v>0.15825158691664507</v>
      </c>
      <c r="U4">
        <f t="shared" ref="U4:U16" si="14">T4/$T$17*100</f>
        <v>1.5169993657362095</v>
      </c>
      <c r="V4">
        <v>16.739999999999998</v>
      </c>
      <c r="W4">
        <f t="shared" ref="W4:W16" si="15">ABS(V4-R4)/V4*100</f>
        <v>40.54967544392143</v>
      </c>
    </row>
    <row r="5" spans="1:23">
      <c r="A5">
        <v>3.05</v>
      </c>
      <c r="B5">
        <f t="shared" si="2"/>
        <v>3.0499999999999999E-2</v>
      </c>
      <c r="C5">
        <v>1.9</v>
      </c>
      <c r="D5">
        <v>-0.9</v>
      </c>
      <c r="E5">
        <v>1</v>
      </c>
      <c r="F5">
        <f t="shared" si="3"/>
        <v>0.5</v>
      </c>
      <c r="G5">
        <f t="shared" si="4"/>
        <v>2.8</v>
      </c>
      <c r="H5">
        <f t="shared" si="5"/>
        <v>0.70710678118654757</v>
      </c>
      <c r="I5">
        <f t="shared" si="0"/>
        <v>4.8869219055841226E-2</v>
      </c>
      <c r="J5">
        <f t="shared" si="6"/>
        <v>25.253813613805271</v>
      </c>
      <c r="K5">
        <v>2.09</v>
      </c>
      <c r="L5">
        <f t="shared" si="7"/>
        <v>1.1044999999999999E-2</v>
      </c>
      <c r="M5">
        <f t="shared" si="8"/>
        <v>0.52846889952153109</v>
      </c>
      <c r="N5" s="3">
        <v>1540</v>
      </c>
      <c r="O5">
        <f t="shared" si="9"/>
        <v>0.154</v>
      </c>
      <c r="P5">
        <f t="shared" si="10"/>
        <v>12.24</v>
      </c>
      <c r="Q5">
        <f t="shared" si="11"/>
        <v>0.79480519480519485</v>
      </c>
      <c r="R5">
        <f t="shared" si="1"/>
        <v>10.404347254809714</v>
      </c>
      <c r="S5">
        <f t="shared" si="12"/>
        <v>26.577087708131998</v>
      </c>
      <c r="T5">
        <f t="shared" si="13"/>
        <v>0.15825158691664507</v>
      </c>
      <c r="U5">
        <f t="shared" si="14"/>
        <v>1.5169993657362095</v>
      </c>
      <c r="V5">
        <v>16.739999999999998</v>
      </c>
      <c r="W5">
        <f t="shared" si="15"/>
        <v>37.847387964099674</v>
      </c>
    </row>
    <row r="6" spans="1:23">
      <c r="A6">
        <v>3.05</v>
      </c>
      <c r="B6">
        <f t="shared" si="2"/>
        <v>3.0499999999999999E-2</v>
      </c>
      <c r="C6">
        <v>1.9</v>
      </c>
      <c r="D6">
        <v>-1.1000000000000001</v>
      </c>
      <c r="E6">
        <v>1</v>
      </c>
      <c r="F6">
        <f t="shared" si="3"/>
        <v>0.5</v>
      </c>
      <c r="G6">
        <f t="shared" si="4"/>
        <v>3</v>
      </c>
      <c r="H6">
        <f t="shared" si="5"/>
        <v>0.70710678118654757</v>
      </c>
      <c r="I6">
        <f t="shared" si="0"/>
        <v>5.235987755982989E-2</v>
      </c>
      <c r="J6">
        <f t="shared" si="6"/>
        <v>23.570226039551585</v>
      </c>
      <c r="K6">
        <v>2.5</v>
      </c>
      <c r="L6">
        <f t="shared" si="7"/>
        <v>1.125E-2</v>
      </c>
      <c r="M6">
        <f t="shared" si="8"/>
        <v>0.44999999999999996</v>
      </c>
      <c r="N6" s="3">
        <v>1840</v>
      </c>
      <c r="O6">
        <f t="shared" si="9"/>
        <v>0.184</v>
      </c>
      <c r="P6">
        <f t="shared" si="10"/>
        <v>14.04</v>
      </c>
      <c r="Q6">
        <f t="shared" si="11"/>
        <v>0.76304347826086949</v>
      </c>
      <c r="R6">
        <f t="shared" si="1"/>
        <v>9.3299853100195822</v>
      </c>
      <c r="S6">
        <f t="shared" si="12"/>
        <v>24.783269517812453</v>
      </c>
      <c r="T6">
        <f t="shared" si="13"/>
        <v>0.15825158691664507</v>
      </c>
      <c r="U6">
        <f t="shared" si="14"/>
        <v>1.5169993657362095</v>
      </c>
      <c r="V6">
        <v>16.739999999999998</v>
      </c>
      <c r="W6">
        <f t="shared" si="15"/>
        <v>44.265320728676329</v>
      </c>
    </row>
    <row r="7" spans="1:23">
      <c r="A7">
        <v>3.05</v>
      </c>
      <c r="B7">
        <f t="shared" si="2"/>
        <v>3.0499999999999999E-2</v>
      </c>
      <c r="C7">
        <v>1.9</v>
      </c>
      <c r="D7">
        <v>-2</v>
      </c>
      <c r="E7">
        <v>1</v>
      </c>
      <c r="F7">
        <f t="shared" si="3"/>
        <v>0.5</v>
      </c>
      <c r="G7">
        <f t="shared" si="4"/>
        <v>3.9</v>
      </c>
      <c r="H7">
        <f t="shared" si="5"/>
        <v>0.70710678118654757</v>
      </c>
      <c r="I7">
        <f t="shared" si="0"/>
        <v>6.806784082777885E-2</v>
      </c>
      <c r="J7">
        <f t="shared" si="6"/>
        <v>18.130943107347374</v>
      </c>
      <c r="K7">
        <v>3</v>
      </c>
      <c r="L7">
        <f t="shared" si="7"/>
        <v>1.15E-2</v>
      </c>
      <c r="M7">
        <f t="shared" si="8"/>
        <v>0.3833333333333333</v>
      </c>
      <c r="N7" s="3">
        <v>2200</v>
      </c>
      <c r="O7">
        <f t="shared" si="9"/>
        <v>0.22</v>
      </c>
      <c r="P7">
        <f t="shared" si="10"/>
        <v>16.2</v>
      </c>
      <c r="Q7">
        <f t="shared" si="11"/>
        <v>0.73636363636363633</v>
      </c>
      <c r="R7">
        <f t="shared" si="1"/>
        <v>10.144238573439472</v>
      </c>
      <c r="S7">
        <f t="shared" si="12"/>
        <v>19.250640077044345</v>
      </c>
      <c r="T7">
        <f t="shared" si="13"/>
        <v>0.15825158691664507</v>
      </c>
      <c r="U7">
        <f t="shared" si="14"/>
        <v>1.5169993657362095</v>
      </c>
      <c r="V7">
        <v>16.739999999999998</v>
      </c>
      <c r="W7">
        <f t="shared" si="15"/>
        <v>39.401203264997179</v>
      </c>
    </row>
    <row r="8" spans="1:23">
      <c r="A8">
        <v>3.05</v>
      </c>
      <c r="B8">
        <f t="shared" si="2"/>
        <v>3.0499999999999999E-2</v>
      </c>
      <c r="C8">
        <v>1.9</v>
      </c>
      <c r="D8">
        <v>-3</v>
      </c>
      <c r="E8">
        <v>1</v>
      </c>
      <c r="F8">
        <f t="shared" si="3"/>
        <v>0.5</v>
      </c>
      <c r="G8">
        <f t="shared" si="4"/>
        <v>4.9000000000000004</v>
      </c>
      <c r="H8">
        <f t="shared" si="5"/>
        <v>0.70710678118654757</v>
      </c>
      <c r="I8">
        <f t="shared" si="0"/>
        <v>8.5521133347722156E-2</v>
      </c>
      <c r="J8">
        <f t="shared" si="6"/>
        <v>14.430750636460154</v>
      </c>
      <c r="K8">
        <v>3.5</v>
      </c>
      <c r="L8">
        <f t="shared" si="7"/>
        <v>1.175E-2</v>
      </c>
      <c r="M8">
        <f t="shared" si="8"/>
        <v>0.33571428571428574</v>
      </c>
      <c r="N8" s="3">
        <v>2546</v>
      </c>
      <c r="O8">
        <f t="shared" si="9"/>
        <v>0.25459999999999999</v>
      </c>
      <c r="P8">
        <f t="shared" si="10"/>
        <v>18.276</v>
      </c>
      <c r="Q8">
        <f t="shared" si="11"/>
        <v>0.71783189316575013</v>
      </c>
      <c r="R8">
        <f t="shared" si="1"/>
        <v>11.013242675456475</v>
      </c>
      <c r="S8">
        <f t="shared" si="12"/>
        <v>15.484296815340191</v>
      </c>
      <c r="T8">
        <f t="shared" si="13"/>
        <v>0.15825158691664507</v>
      </c>
      <c r="U8">
        <f t="shared" si="14"/>
        <v>1.5169993657362095</v>
      </c>
      <c r="V8">
        <v>16.739999999999998</v>
      </c>
      <c r="W8">
        <f t="shared" si="15"/>
        <v>34.210019859877683</v>
      </c>
    </row>
    <row r="9" spans="1:23">
      <c r="A9">
        <v>3.05</v>
      </c>
      <c r="B9">
        <f t="shared" si="2"/>
        <v>3.0499999999999999E-2</v>
      </c>
      <c r="C9">
        <v>1.9</v>
      </c>
      <c r="D9">
        <v>-3.5</v>
      </c>
      <c r="E9">
        <v>1</v>
      </c>
      <c r="F9">
        <f t="shared" si="3"/>
        <v>0.5</v>
      </c>
      <c r="G9">
        <f t="shared" si="4"/>
        <v>5.4</v>
      </c>
      <c r="H9">
        <f t="shared" si="5"/>
        <v>0.70710678118654757</v>
      </c>
      <c r="I9">
        <f t="shared" si="0"/>
        <v>9.4247779607693802E-2</v>
      </c>
      <c r="J9">
        <f t="shared" si="6"/>
        <v>13.094570021973103</v>
      </c>
      <c r="K9">
        <v>3.98</v>
      </c>
      <c r="L9">
        <f t="shared" si="7"/>
        <v>1.1990000000000001E-2</v>
      </c>
      <c r="M9">
        <f t="shared" si="8"/>
        <v>0.3012562814070352</v>
      </c>
      <c r="N9" s="3">
        <v>2880</v>
      </c>
      <c r="O9">
        <f t="shared" si="9"/>
        <v>0.28800000000000003</v>
      </c>
      <c r="P9">
        <f t="shared" si="10"/>
        <v>20.28</v>
      </c>
      <c r="Q9">
        <f t="shared" si="11"/>
        <v>0.70416666666666672</v>
      </c>
      <c r="R9">
        <f t="shared" si="1"/>
        <v>10.729483106522519</v>
      </c>
      <c r="S9">
        <f t="shared" si="12"/>
        <v>14.099992970046806</v>
      </c>
      <c r="T9">
        <f t="shared" si="13"/>
        <v>0.15825158691664507</v>
      </c>
      <c r="U9">
        <f t="shared" si="14"/>
        <v>1.5169993657362095</v>
      </c>
      <c r="V9">
        <v>16.739999999999998</v>
      </c>
      <c r="W9">
        <f t="shared" si="15"/>
        <v>35.905118837977781</v>
      </c>
    </row>
    <row r="10" spans="1:23">
      <c r="A10">
        <v>3.05</v>
      </c>
      <c r="B10">
        <f t="shared" si="2"/>
        <v>3.0499999999999999E-2</v>
      </c>
      <c r="C10">
        <v>1.9</v>
      </c>
      <c r="D10">
        <v>-4.3</v>
      </c>
      <c r="E10">
        <v>1</v>
      </c>
      <c r="F10">
        <f t="shared" si="3"/>
        <v>0.5</v>
      </c>
      <c r="G10">
        <f t="shared" si="4"/>
        <v>6.1999999999999993</v>
      </c>
      <c r="H10">
        <f t="shared" si="5"/>
        <v>0.70710678118654757</v>
      </c>
      <c r="I10">
        <f t="shared" si="0"/>
        <v>0.10821041362364842</v>
      </c>
      <c r="J10">
        <f t="shared" si="6"/>
        <v>11.404948083653995</v>
      </c>
      <c r="K10">
        <v>4.45</v>
      </c>
      <c r="L10">
        <f t="shared" si="7"/>
        <v>1.2225E-2</v>
      </c>
      <c r="M10">
        <f t="shared" si="8"/>
        <v>0.27471910112359549</v>
      </c>
      <c r="N10" s="3">
        <v>3180</v>
      </c>
      <c r="O10">
        <f t="shared" si="9"/>
        <v>0.318</v>
      </c>
      <c r="P10">
        <f t="shared" si="10"/>
        <v>22.08</v>
      </c>
      <c r="Q10">
        <f t="shared" si="11"/>
        <v>0.69433962264150939</v>
      </c>
      <c r="R10">
        <f t="shared" si="1"/>
        <v>11.156862936761359</v>
      </c>
      <c r="S10">
        <f t="shared" si="12"/>
        <v>12.3740068074191</v>
      </c>
      <c r="T10">
        <f t="shared" si="13"/>
        <v>0.15825158691664507</v>
      </c>
      <c r="U10">
        <f t="shared" si="14"/>
        <v>1.5169993657362095</v>
      </c>
      <c r="V10">
        <v>16.739999999999998</v>
      </c>
      <c r="W10">
        <f t="shared" si="15"/>
        <v>33.352073257100599</v>
      </c>
    </row>
    <row r="11" spans="1:23">
      <c r="A11">
        <v>3.05</v>
      </c>
      <c r="B11">
        <f t="shared" si="2"/>
        <v>3.0499999999999999E-2</v>
      </c>
      <c r="C11">
        <v>1.9</v>
      </c>
      <c r="D11">
        <v>-4.5</v>
      </c>
      <c r="E11">
        <v>1</v>
      </c>
      <c r="F11">
        <f t="shared" si="3"/>
        <v>0.5</v>
      </c>
      <c r="G11">
        <f t="shared" si="4"/>
        <v>6.4</v>
      </c>
      <c r="H11">
        <f t="shared" si="5"/>
        <v>0.70710678118654757</v>
      </c>
      <c r="I11">
        <f t="shared" si="0"/>
        <v>0.11170107212763709</v>
      </c>
      <c r="J11">
        <f t="shared" si="6"/>
        <v>11.048543456039805</v>
      </c>
      <c r="K11">
        <v>4.9800000000000004</v>
      </c>
      <c r="L11">
        <f t="shared" si="7"/>
        <v>1.2490000000000001E-2</v>
      </c>
      <c r="M11">
        <f t="shared" si="8"/>
        <v>0.25080321285140561</v>
      </c>
      <c r="N11" s="3">
        <v>3560</v>
      </c>
      <c r="O11">
        <f t="shared" si="9"/>
        <v>0.35600000000000004</v>
      </c>
      <c r="P11">
        <f t="shared" si="10"/>
        <v>24.36</v>
      </c>
      <c r="Q11">
        <f t="shared" si="11"/>
        <v>0.68426966292134828</v>
      </c>
      <c r="R11">
        <f t="shared" si="1"/>
        <v>10.287444476665783</v>
      </c>
      <c r="S11">
        <f t="shared" si="12"/>
        <v>11.983616331812559</v>
      </c>
      <c r="T11">
        <f t="shared" si="13"/>
        <v>0.15825158691664507</v>
      </c>
      <c r="U11">
        <f t="shared" si="14"/>
        <v>1.5169993657362095</v>
      </c>
      <c r="V11">
        <v>16.739999999999998</v>
      </c>
      <c r="W11">
        <f t="shared" si="15"/>
        <v>38.545731919559231</v>
      </c>
    </row>
    <row r="12" spans="1:23">
      <c r="A12">
        <v>3.05</v>
      </c>
      <c r="B12">
        <f t="shared" si="2"/>
        <v>3.0499999999999999E-2</v>
      </c>
      <c r="C12">
        <v>1.9</v>
      </c>
      <c r="D12">
        <v>-5.5</v>
      </c>
      <c r="E12">
        <v>1</v>
      </c>
      <c r="F12">
        <f t="shared" si="3"/>
        <v>0.5</v>
      </c>
      <c r="G12">
        <f t="shared" si="4"/>
        <v>7.4</v>
      </c>
      <c r="H12">
        <f t="shared" si="5"/>
        <v>0.70710678118654757</v>
      </c>
      <c r="I12">
        <f t="shared" si="0"/>
        <v>0.1291543646475804</v>
      </c>
      <c r="J12">
        <f t="shared" si="6"/>
        <v>9.5554970430614539</v>
      </c>
      <c r="K12">
        <v>5.51</v>
      </c>
      <c r="L12">
        <f t="shared" si="7"/>
        <v>1.2755000000000001E-2</v>
      </c>
      <c r="M12">
        <f t="shared" si="8"/>
        <v>0.23148820326678771</v>
      </c>
      <c r="N12" s="3">
        <v>3930</v>
      </c>
      <c r="O12">
        <f t="shared" si="9"/>
        <v>0.39300000000000002</v>
      </c>
      <c r="P12">
        <f t="shared" si="10"/>
        <v>26.58</v>
      </c>
      <c r="Q12">
        <f t="shared" si="11"/>
        <v>0.6763358778625953</v>
      </c>
      <c r="R12">
        <f t="shared" si="1"/>
        <v>10.774985579408535</v>
      </c>
      <c r="S12">
        <f t="shared" si="12"/>
        <v>10.463321124190838</v>
      </c>
      <c r="T12">
        <f t="shared" si="13"/>
        <v>0.15825158691664507</v>
      </c>
      <c r="U12">
        <f t="shared" si="14"/>
        <v>1.5169993657362095</v>
      </c>
      <c r="V12">
        <v>16.739999999999998</v>
      </c>
      <c r="W12">
        <f t="shared" si="15"/>
        <v>35.633300003533243</v>
      </c>
    </row>
    <row r="13" spans="1:23">
      <c r="A13">
        <v>3.05</v>
      </c>
      <c r="B13">
        <f t="shared" si="2"/>
        <v>3.0499999999999999E-2</v>
      </c>
      <c r="C13">
        <v>1.9</v>
      </c>
      <c r="D13">
        <v>-5</v>
      </c>
      <c r="E13">
        <v>1</v>
      </c>
      <c r="F13">
        <f t="shared" si="3"/>
        <v>0.5</v>
      </c>
      <c r="G13">
        <f t="shared" si="4"/>
        <v>6.9</v>
      </c>
      <c r="H13">
        <f t="shared" si="5"/>
        <v>0.70710678118654757</v>
      </c>
      <c r="I13">
        <f t="shared" si="0"/>
        <v>0.12042771838760874</v>
      </c>
      <c r="J13">
        <f t="shared" si="6"/>
        <v>10.247924365022428</v>
      </c>
      <c r="K13">
        <v>6.01</v>
      </c>
      <c r="L13">
        <f t="shared" si="7"/>
        <v>1.3004999999999999E-2</v>
      </c>
      <c r="M13">
        <f t="shared" si="8"/>
        <v>0.21638935108153076</v>
      </c>
      <c r="N13" s="3">
        <v>4260</v>
      </c>
      <c r="O13">
        <f t="shared" si="9"/>
        <v>0.42600000000000005</v>
      </c>
      <c r="P13">
        <f t="shared" si="10"/>
        <v>28.56</v>
      </c>
      <c r="Q13">
        <f t="shared" si="11"/>
        <v>0.6704225352112676</v>
      </c>
      <c r="R13">
        <f t="shared" si="1"/>
        <v>9.2686614629114707</v>
      </c>
      <c r="S13">
        <f t="shared" si="12"/>
        <v>11.134736251315227</v>
      </c>
      <c r="T13">
        <f t="shared" si="13"/>
        <v>0.15825158691664507</v>
      </c>
      <c r="U13">
        <f t="shared" si="14"/>
        <v>1.5169993657362095</v>
      </c>
      <c r="V13">
        <v>16.739999999999998</v>
      </c>
      <c r="W13">
        <f t="shared" si="15"/>
        <v>44.631651953933861</v>
      </c>
    </row>
    <row r="14" spans="1:23">
      <c r="A14">
        <v>3.05</v>
      </c>
      <c r="B14">
        <f t="shared" si="2"/>
        <v>3.0499999999999999E-2</v>
      </c>
      <c r="C14">
        <v>1.9</v>
      </c>
      <c r="D14">
        <v>-7</v>
      </c>
      <c r="E14">
        <v>1</v>
      </c>
      <c r="F14">
        <f t="shared" si="3"/>
        <v>0.5</v>
      </c>
      <c r="G14">
        <f t="shared" si="4"/>
        <v>8.9</v>
      </c>
      <c r="H14">
        <f t="shared" si="5"/>
        <v>0.70710678118654757</v>
      </c>
      <c r="I14">
        <f t="shared" si="0"/>
        <v>0.15533430342749532</v>
      </c>
      <c r="J14">
        <f t="shared" si="6"/>
        <v>7.9450200133319955</v>
      </c>
      <c r="K14">
        <v>6.43</v>
      </c>
      <c r="L14">
        <f t="shared" si="7"/>
        <v>1.3215000000000001E-2</v>
      </c>
      <c r="M14">
        <f t="shared" si="8"/>
        <v>0.20552099533437018</v>
      </c>
      <c r="N14" s="3">
        <v>4560</v>
      </c>
      <c r="O14">
        <f t="shared" si="9"/>
        <v>0.45600000000000002</v>
      </c>
      <c r="P14">
        <f t="shared" si="10"/>
        <v>30.36</v>
      </c>
      <c r="Q14">
        <f t="shared" si="11"/>
        <v>0.66578947368421049</v>
      </c>
      <c r="R14">
        <f t="shared" si="1"/>
        <v>11.168701713222269</v>
      </c>
      <c r="S14">
        <f t="shared" si="12"/>
        <v>8.8163304823505761</v>
      </c>
      <c r="T14">
        <f t="shared" si="13"/>
        <v>0.15825158691664507</v>
      </c>
      <c r="U14">
        <f t="shared" si="14"/>
        <v>1.5169993657362095</v>
      </c>
      <c r="V14">
        <v>16.739999999999998</v>
      </c>
      <c r="W14">
        <f t="shared" si="15"/>
        <v>33.281351772865769</v>
      </c>
    </row>
    <row r="15" spans="1:23">
      <c r="A15">
        <v>3.05</v>
      </c>
      <c r="B15">
        <f t="shared" si="2"/>
        <v>3.0499999999999999E-2</v>
      </c>
      <c r="C15">
        <v>1.9</v>
      </c>
      <c r="D15">
        <v>-7.6</v>
      </c>
      <c r="E15">
        <v>1</v>
      </c>
      <c r="F15">
        <f t="shared" si="3"/>
        <v>0.5</v>
      </c>
      <c r="G15">
        <f t="shared" si="4"/>
        <v>9.5</v>
      </c>
      <c r="H15">
        <f t="shared" si="5"/>
        <v>0.70710678118654757</v>
      </c>
      <c r="I15">
        <f t="shared" si="0"/>
        <v>0.16580627893946132</v>
      </c>
      <c r="J15">
        <f>H15/G15 * 100</f>
        <v>7.4432292756478695</v>
      </c>
      <c r="K15">
        <v>7</v>
      </c>
      <c r="L15">
        <f t="shared" si="7"/>
        <v>1.3500000000000002E-2</v>
      </c>
      <c r="M15">
        <f t="shared" si="8"/>
        <v>0.19285714285714289</v>
      </c>
      <c r="N15" s="3">
        <v>4940</v>
      </c>
      <c r="O15">
        <f t="shared" si="9"/>
        <v>0.49400000000000005</v>
      </c>
      <c r="P15">
        <f t="shared" si="10"/>
        <v>32.64</v>
      </c>
      <c r="Q15">
        <f t="shared" si="11"/>
        <v>0.66072874493927125</v>
      </c>
      <c r="R15">
        <f t="shared" si="1"/>
        <v>11.004598057971814</v>
      </c>
      <c r="S15">
        <f t="shared" si="12"/>
        <v>8.2968151634442844</v>
      </c>
      <c r="T15">
        <f t="shared" si="13"/>
        <v>0.15825158691664507</v>
      </c>
      <c r="U15">
        <f t="shared" si="14"/>
        <v>1.5169993657362095</v>
      </c>
      <c r="V15">
        <v>16.739999999999998</v>
      </c>
      <c r="W15">
        <f t="shared" si="15"/>
        <v>34.261660346643879</v>
      </c>
    </row>
    <row r="16" spans="1:23">
      <c r="A16">
        <v>3.05</v>
      </c>
      <c r="B16">
        <f t="shared" si="2"/>
        <v>3.0499999999999999E-2</v>
      </c>
      <c r="C16">
        <v>1.9</v>
      </c>
      <c r="D16">
        <v>-7.5</v>
      </c>
      <c r="E16">
        <v>1</v>
      </c>
      <c r="F16">
        <f t="shared" si="3"/>
        <v>0.5</v>
      </c>
      <c r="G16">
        <f t="shared" si="4"/>
        <v>9.4</v>
      </c>
      <c r="H16">
        <f t="shared" si="5"/>
        <v>0.70710678118654757</v>
      </c>
      <c r="I16">
        <f t="shared" si="0"/>
        <v>0.16406094968746698</v>
      </c>
      <c r="J16">
        <f t="shared" si="6"/>
        <v>7.5224125658143359</v>
      </c>
      <c r="K16">
        <v>7.46</v>
      </c>
      <c r="L16">
        <f t="shared" si="7"/>
        <v>1.3729999999999999E-2</v>
      </c>
      <c r="M16">
        <f t="shared" si="8"/>
        <v>0.18404825737265415</v>
      </c>
      <c r="N16" s="3">
        <v>5260</v>
      </c>
      <c r="O16">
        <f t="shared" si="9"/>
        <v>0.52600000000000002</v>
      </c>
      <c r="P16">
        <f t="shared" si="10"/>
        <v>34.56</v>
      </c>
      <c r="Q16">
        <f t="shared" si="11"/>
        <v>0.65703422053231941</v>
      </c>
      <c r="R16">
        <f t="shared" si="1"/>
        <v>10.226326104062018</v>
      </c>
      <c r="S16">
        <f>Q16+M16+J16</f>
        <v>8.3634950437193094</v>
      </c>
      <c r="T16">
        <f t="shared" si="13"/>
        <v>0.15825158691664507</v>
      </c>
      <c r="U16">
        <f t="shared" si="14"/>
        <v>1.5169993657362095</v>
      </c>
      <c r="V16">
        <v>16.739999999999998</v>
      </c>
      <c r="W16">
        <f t="shared" si="15"/>
        <v>38.910835698554244</v>
      </c>
    </row>
    <row r="17" spans="1:23">
      <c r="Q17" t="s">
        <v>19</v>
      </c>
      <c r="T17">
        <f>AVERAGE(R3:R16)</f>
        <v>10.431882207138864</v>
      </c>
    </row>
    <row r="18" spans="1:23">
      <c r="Q18" t="s">
        <v>22</v>
      </c>
      <c r="T18">
        <f>_xlfn.STDEV.P(R3:R16)</f>
        <v>0.59212321915536337</v>
      </c>
    </row>
    <row r="19" spans="1:23">
      <c r="Q19" t="s">
        <v>35</v>
      </c>
      <c r="T19">
        <f xml:space="preserve"> CORREL(B25:B38,C25:C38)</f>
        <v>0.99035039129831903</v>
      </c>
    </row>
    <row r="20" spans="1:23" s="2" customFormat="1">
      <c r="A20" s="2" t="s">
        <v>25</v>
      </c>
      <c r="Q20" s="2" t="s">
        <v>39</v>
      </c>
      <c r="T20" s="2">
        <f>COUNT(R3:R16)</f>
        <v>14</v>
      </c>
    </row>
    <row r="21" spans="1:23">
      <c r="W21" t="s">
        <v>36</v>
      </c>
    </row>
    <row r="22" spans="1:23">
      <c r="A22" t="s">
        <v>26</v>
      </c>
      <c r="E22" t="s">
        <v>40</v>
      </c>
    </row>
    <row r="23" spans="1:23">
      <c r="E23" t="s">
        <v>41</v>
      </c>
      <c r="F23" t="s">
        <v>42</v>
      </c>
      <c r="G23" t="s">
        <v>43</v>
      </c>
      <c r="J23" t="s">
        <v>23</v>
      </c>
      <c r="K23" t="s">
        <v>44</v>
      </c>
      <c r="L23" t="s">
        <v>45</v>
      </c>
    </row>
    <row r="24" spans="1:23">
      <c r="A24" t="s">
        <v>46</v>
      </c>
      <c r="B24" t="s">
        <v>47</v>
      </c>
      <c r="C24" t="s">
        <v>48</v>
      </c>
      <c r="E24" t="s">
        <v>49</v>
      </c>
      <c r="F24" t="s">
        <v>27</v>
      </c>
      <c r="G24" cm="1">
        <f t="array" ref="G24:H28">LINEST(F25:F38,E25:E38,TRUE,TRUE  )</f>
        <v>10.66738119526509</v>
      </c>
      <c r="H24">
        <v>-1.6459331945539862E-3</v>
      </c>
      <c r="J24">
        <f>ABS(G24-V3)/(V3) * 100</f>
        <v>36.276097997221676</v>
      </c>
      <c r="K24">
        <f>2*G25/SQRT(T20)</f>
        <v>0.23033710954914369</v>
      </c>
      <c r="L24">
        <f>K24/G24*100</f>
        <v>2.1592657591666731</v>
      </c>
    </row>
    <row r="25" spans="1:23">
      <c r="A25">
        <f t="shared" ref="A25:A38" si="16">K3</f>
        <v>1.25</v>
      </c>
      <c r="B25" s="3">
        <f>O3</f>
        <v>9.1900000000000009E-2</v>
      </c>
      <c r="C25">
        <f t="shared" ref="C25:C38" si="17">I3</f>
        <v>2.9670597283903602E-2</v>
      </c>
      <c r="E25">
        <f t="shared" ref="E25:E38" si="18">O3*B3</f>
        <v>2.8029500000000002E-3</v>
      </c>
      <c r="F25">
        <f>I3</f>
        <v>2.9670597283903602E-2</v>
      </c>
      <c r="G25">
        <v>0.43092127369635602</v>
      </c>
      <c r="H25">
        <v>4.3982988322032318E-3</v>
      </c>
    </row>
    <row r="26" spans="1:23">
      <c r="A26">
        <f t="shared" si="16"/>
        <v>1.53</v>
      </c>
      <c r="B26" s="3">
        <f t="shared" ref="B26:B38" si="19">O4</f>
        <v>0.115</v>
      </c>
      <c r="C26">
        <f t="shared" si="17"/>
        <v>3.4906585039886591E-2</v>
      </c>
      <c r="E26">
        <f t="shared" si="18"/>
        <v>3.5075000000000002E-3</v>
      </c>
      <c r="F26">
        <f t="shared" ref="F26:F38" si="20">I4</f>
        <v>3.4906585039886591E-2</v>
      </c>
      <c r="G26">
        <v>0.98079389754473301</v>
      </c>
      <c r="H26">
        <v>6.7212881282936463E-3</v>
      </c>
    </row>
    <row r="27" spans="1:23">
      <c r="A27">
        <f t="shared" si="16"/>
        <v>2.09</v>
      </c>
      <c r="B27" s="3">
        <f t="shared" si="19"/>
        <v>0.154</v>
      </c>
      <c r="C27">
        <f t="shared" si="17"/>
        <v>4.8869219055841226E-2</v>
      </c>
      <c r="E27">
        <f t="shared" si="18"/>
        <v>4.6969999999999998E-3</v>
      </c>
      <c r="F27">
        <f t="shared" si="20"/>
        <v>4.8869219055841226E-2</v>
      </c>
      <c r="G27">
        <v>612.80141548496147</v>
      </c>
      <c r="H27">
        <v>12</v>
      </c>
    </row>
    <row r="28" spans="1:23">
      <c r="A28">
        <f t="shared" si="16"/>
        <v>2.5</v>
      </c>
      <c r="B28" s="3">
        <f t="shared" si="19"/>
        <v>0.184</v>
      </c>
      <c r="C28">
        <f t="shared" si="17"/>
        <v>5.235987755982989E-2</v>
      </c>
      <c r="E28">
        <f t="shared" si="18"/>
        <v>5.6119999999999998E-3</v>
      </c>
      <c r="F28">
        <f t="shared" si="20"/>
        <v>5.235987755982989E-2</v>
      </c>
      <c r="G28">
        <v>2.7683741548193926E-2</v>
      </c>
      <c r="H28">
        <v>5.4210856924249322E-4</v>
      </c>
    </row>
    <row r="29" spans="1:23">
      <c r="A29">
        <f t="shared" si="16"/>
        <v>3</v>
      </c>
      <c r="B29" s="3">
        <f t="shared" si="19"/>
        <v>0.22</v>
      </c>
      <c r="C29">
        <f t="shared" si="17"/>
        <v>6.806784082777885E-2</v>
      </c>
      <c r="E29">
        <f t="shared" si="18"/>
        <v>6.7099999999999998E-3</v>
      </c>
      <c r="F29">
        <f t="shared" si="20"/>
        <v>6.806784082777885E-2</v>
      </c>
    </row>
    <row r="30" spans="1:23">
      <c r="A30">
        <f t="shared" si="16"/>
        <v>3.5</v>
      </c>
      <c r="B30" s="3">
        <f t="shared" si="19"/>
        <v>0.25459999999999999</v>
      </c>
      <c r="C30">
        <f t="shared" si="17"/>
        <v>8.5521133347722156E-2</v>
      </c>
      <c r="E30">
        <f t="shared" si="18"/>
        <v>7.7652999999999993E-3</v>
      </c>
      <c r="F30">
        <f t="shared" si="20"/>
        <v>8.5521133347722156E-2</v>
      </c>
    </row>
    <row r="31" spans="1:23">
      <c r="A31">
        <f t="shared" si="16"/>
        <v>3.98</v>
      </c>
      <c r="B31" s="3">
        <f t="shared" si="19"/>
        <v>0.28800000000000003</v>
      </c>
      <c r="C31">
        <f t="shared" si="17"/>
        <v>9.4247779607693802E-2</v>
      </c>
      <c r="E31">
        <f t="shared" si="18"/>
        <v>8.7840000000000001E-3</v>
      </c>
      <c r="F31">
        <f t="shared" si="20"/>
        <v>9.4247779607693802E-2</v>
      </c>
    </row>
    <row r="32" spans="1:23">
      <c r="A32">
        <f t="shared" si="16"/>
        <v>4.45</v>
      </c>
      <c r="B32" s="3">
        <f t="shared" si="19"/>
        <v>0.318</v>
      </c>
      <c r="C32">
        <f t="shared" si="17"/>
        <v>0.10821041362364842</v>
      </c>
      <c r="E32">
        <f t="shared" si="18"/>
        <v>9.6989999999999993E-3</v>
      </c>
      <c r="F32">
        <f t="shared" si="20"/>
        <v>0.10821041362364842</v>
      </c>
    </row>
    <row r="33" spans="1:8">
      <c r="A33">
        <f t="shared" si="16"/>
        <v>4.9800000000000004</v>
      </c>
      <c r="B33" s="3">
        <f t="shared" si="19"/>
        <v>0.35600000000000004</v>
      </c>
      <c r="C33">
        <f t="shared" si="17"/>
        <v>0.11170107212763709</v>
      </c>
      <c r="E33">
        <f t="shared" si="18"/>
        <v>1.0858000000000001E-2</v>
      </c>
      <c r="F33">
        <f t="shared" si="20"/>
        <v>0.11170107212763709</v>
      </c>
    </row>
    <row r="34" spans="1:8">
      <c r="A34">
        <f t="shared" si="16"/>
        <v>5.51</v>
      </c>
      <c r="B34" s="3">
        <f t="shared" si="19"/>
        <v>0.39300000000000002</v>
      </c>
      <c r="C34">
        <f t="shared" si="17"/>
        <v>0.1291543646475804</v>
      </c>
      <c r="E34">
        <f t="shared" si="18"/>
        <v>1.1986500000000001E-2</v>
      </c>
      <c r="F34">
        <f t="shared" si="20"/>
        <v>0.1291543646475804</v>
      </c>
    </row>
    <row r="35" spans="1:8">
      <c r="A35">
        <f t="shared" si="16"/>
        <v>6.01</v>
      </c>
      <c r="B35" s="3">
        <f t="shared" si="19"/>
        <v>0.42600000000000005</v>
      </c>
      <c r="C35">
        <f t="shared" si="17"/>
        <v>0.12042771838760874</v>
      </c>
      <c r="E35">
        <f t="shared" si="18"/>
        <v>1.2993000000000001E-2</v>
      </c>
      <c r="F35">
        <f t="shared" si="20"/>
        <v>0.12042771838760874</v>
      </c>
    </row>
    <row r="36" spans="1:8">
      <c r="A36">
        <f t="shared" si="16"/>
        <v>6.43</v>
      </c>
      <c r="B36" s="3">
        <f t="shared" si="19"/>
        <v>0.45600000000000002</v>
      </c>
      <c r="C36">
        <f t="shared" si="17"/>
        <v>0.15533430342749532</v>
      </c>
      <c r="E36">
        <f t="shared" si="18"/>
        <v>1.3908E-2</v>
      </c>
      <c r="F36">
        <f t="shared" si="20"/>
        <v>0.15533430342749532</v>
      </c>
    </row>
    <row r="37" spans="1:8">
      <c r="A37">
        <f t="shared" si="16"/>
        <v>7</v>
      </c>
      <c r="B37" s="3">
        <f t="shared" si="19"/>
        <v>0.49400000000000005</v>
      </c>
      <c r="C37">
        <f t="shared" si="17"/>
        <v>0.16580627893946132</v>
      </c>
      <c r="E37">
        <f t="shared" si="18"/>
        <v>1.5067000000000001E-2</v>
      </c>
      <c r="F37">
        <f t="shared" si="20"/>
        <v>0.16580627893946132</v>
      </c>
    </row>
    <row r="38" spans="1:8">
      <c r="A38">
        <f t="shared" si="16"/>
        <v>7.46</v>
      </c>
      <c r="B38" s="3">
        <f t="shared" si="19"/>
        <v>0.52600000000000002</v>
      </c>
      <c r="C38">
        <f t="shared" si="17"/>
        <v>0.16406094968746698</v>
      </c>
      <c r="E38">
        <f t="shared" si="18"/>
        <v>1.6043000000000002E-2</v>
      </c>
      <c r="F38">
        <f t="shared" si="20"/>
        <v>0.16406094968746698</v>
      </c>
    </row>
    <row r="41" spans="1:8">
      <c r="A41" s="4" t="s">
        <v>46</v>
      </c>
      <c r="B41" s="4" t="s">
        <v>50</v>
      </c>
      <c r="C41" s="4" t="s">
        <v>51</v>
      </c>
      <c r="D41" s="4" t="s">
        <v>50</v>
      </c>
      <c r="E41" s="4" t="s">
        <v>52</v>
      </c>
      <c r="F41" s="4" t="s">
        <v>50</v>
      </c>
      <c r="G41" s="4" t="s">
        <v>53</v>
      </c>
      <c r="H41" s="4" t="s">
        <v>50</v>
      </c>
    </row>
    <row r="42" spans="1:8">
      <c r="A42" s="4">
        <f>A25</f>
        <v>1.25</v>
      </c>
      <c r="B42" s="4">
        <f>M3</f>
        <v>0.85000000000000009</v>
      </c>
      <c r="C42" s="5">
        <f>B25</f>
        <v>9.1900000000000009E-2</v>
      </c>
      <c r="D42" s="4">
        <f>Q3</f>
        <v>0.92644178454842208</v>
      </c>
      <c r="E42" s="4">
        <f>C25</f>
        <v>2.9670597283903602E-2</v>
      </c>
      <c r="F42" s="4">
        <f>J3</f>
        <v>41.59451654038515</v>
      </c>
      <c r="G42">
        <f>R3</f>
        <v>10.58548931800553</v>
      </c>
      <c r="H42">
        <f>F42+D42+B42</f>
        <v>43.370958324933575</v>
      </c>
    </row>
    <row r="43" spans="1:8">
      <c r="A43" s="4">
        <f t="shared" ref="A43:A55" si="21">A26</f>
        <v>1.53</v>
      </c>
      <c r="B43" s="4">
        <f t="shared" ref="B43:B55" si="22">M4</f>
        <v>0.70359477124183001</v>
      </c>
      <c r="C43" s="5">
        <f t="shared" ref="C43:C55" si="23">B26</f>
        <v>0.115</v>
      </c>
      <c r="D43" s="4">
        <f t="shared" ref="D43:D55" si="24">Q4</f>
        <v>0.86086956521739133</v>
      </c>
      <c r="E43" s="4">
        <f t="shared" ref="E43:E55" si="25">C26</f>
        <v>3.4906585039886591E-2</v>
      </c>
      <c r="F43" s="4">
        <f t="shared" ref="F43:F55" si="26">J4</f>
        <v>35.355339059327378</v>
      </c>
      <c r="G43">
        <f t="shared" ref="G43:G55" si="27">R4</f>
        <v>9.9519843306875515</v>
      </c>
      <c r="H43">
        <f t="shared" ref="H43:H55" si="28">F43+D43+B43</f>
        <v>36.919803395786602</v>
      </c>
    </row>
    <row r="44" spans="1:8">
      <c r="A44" s="4">
        <f t="shared" si="21"/>
        <v>2.09</v>
      </c>
      <c r="B44" s="4">
        <f t="shared" si="22"/>
        <v>0.52846889952153109</v>
      </c>
      <c r="C44" s="5">
        <f t="shared" si="23"/>
        <v>0.154</v>
      </c>
      <c r="D44" s="4">
        <f t="shared" si="24"/>
        <v>0.79480519480519485</v>
      </c>
      <c r="E44" s="4">
        <f t="shared" si="25"/>
        <v>4.8869219055841226E-2</v>
      </c>
      <c r="F44" s="4">
        <f t="shared" si="26"/>
        <v>25.253813613805271</v>
      </c>
      <c r="G44">
        <f t="shared" si="27"/>
        <v>10.404347254809714</v>
      </c>
      <c r="H44">
        <f t="shared" si="28"/>
        <v>26.577087708131998</v>
      </c>
    </row>
    <row r="45" spans="1:8">
      <c r="A45" s="4">
        <f t="shared" si="21"/>
        <v>2.5</v>
      </c>
      <c r="B45" s="4">
        <f t="shared" si="22"/>
        <v>0.44999999999999996</v>
      </c>
      <c r="C45" s="5">
        <f t="shared" si="23"/>
        <v>0.184</v>
      </c>
      <c r="D45" s="4">
        <f t="shared" si="24"/>
        <v>0.76304347826086949</v>
      </c>
      <c r="E45" s="4">
        <f t="shared" si="25"/>
        <v>5.235987755982989E-2</v>
      </c>
      <c r="F45" s="4">
        <f t="shared" si="26"/>
        <v>23.570226039551585</v>
      </c>
      <c r="G45">
        <f t="shared" si="27"/>
        <v>9.3299853100195822</v>
      </c>
      <c r="H45">
        <f t="shared" si="28"/>
        <v>24.783269517812453</v>
      </c>
    </row>
    <row r="46" spans="1:8">
      <c r="A46" s="4">
        <f t="shared" si="21"/>
        <v>3</v>
      </c>
      <c r="B46" s="4">
        <f t="shared" si="22"/>
        <v>0.3833333333333333</v>
      </c>
      <c r="C46" s="5">
        <f t="shared" si="23"/>
        <v>0.22</v>
      </c>
      <c r="D46" s="4">
        <f t="shared" si="24"/>
        <v>0.73636363636363633</v>
      </c>
      <c r="E46" s="4">
        <f t="shared" si="25"/>
        <v>6.806784082777885E-2</v>
      </c>
      <c r="F46" s="4">
        <f t="shared" si="26"/>
        <v>18.130943107347374</v>
      </c>
      <c r="G46">
        <f t="shared" si="27"/>
        <v>10.144238573439472</v>
      </c>
      <c r="H46">
        <f t="shared" si="28"/>
        <v>19.250640077044345</v>
      </c>
    </row>
    <row r="47" spans="1:8">
      <c r="A47" s="4">
        <f t="shared" si="21"/>
        <v>3.5</v>
      </c>
      <c r="B47" s="4">
        <f t="shared" si="22"/>
        <v>0.33571428571428574</v>
      </c>
      <c r="C47" s="5">
        <f t="shared" si="23"/>
        <v>0.25459999999999999</v>
      </c>
      <c r="D47" s="4">
        <f t="shared" si="24"/>
        <v>0.71783189316575013</v>
      </c>
      <c r="E47" s="4">
        <f t="shared" si="25"/>
        <v>8.5521133347722156E-2</v>
      </c>
      <c r="F47" s="4">
        <f t="shared" si="26"/>
        <v>14.430750636460154</v>
      </c>
      <c r="G47">
        <f t="shared" si="27"/>
        <v>11.013242675456475</v>
      </c>
      <c r="H47">
        <f t="shared" si="28"/>
        <v>15.484296815340189</v>
      </c>
    </row>
    <row r="48" spans="1:8">
      <c r="A48" s="4">
        <f t="shared" si="21"/>
        <v>3.98</v>
      </c>
      <c r="B48" s="4">
        <f t="shared" si="22"/>
        <v>0.3012562814070352</v>
      </c>
      <c r="C48" s="5">
        <f t="shared" si="23"/>
        <v>0.28800000000000003</v>
      </c>
      <c r="D48" s="4">
        <f t="shared" si="24"/>
        <v>0.70416666666666672</v>
      </c>
      <c r="E48" s="4">
        <f t="shared" si="25"/>
        <v>9.4247779607693802E-2</v>
      </c>
      <c r="F48" s="4">
        <f t="shared" si="26"/>
        <v>13.094570021973103</v>
      </c>
      <c r="G48">
        <f t="shared" si="27"/>
        <v>10.729483106522519</v>
      </c>
      <c r="H48">
        <f t="shared" si="28"/>
        <v>14.099992970046806</v>
      </c>
    </row>
    <row r="49" spans="1:8">
      <c r="A49" s="4">
        <f t="shared" si="21"/>
        <v>4.45</v>
      </c>
      <c r="B49" s="4">
        <f t="shared" si="22"/>
        <v>0.27471910112359549</v>
      </c>
      <c r="C49" s="5">
        <f t="shared" si="23"/>
        <v>0.318</v>
      </c>
      <c r="D49" s="4">
        <f t="shared" si="24"/>
        <v>0.69433962264150939</v>
      </c>
      <c r="E49" s="4">
        <f t="shared" si="25"/>
        <v>0.10821041362364842</v>
      </c>
      <c r="F49" s="4">
        <f t="shared" si="26"/>
        <v>11.404948083653995</v>
      </c>
      <c r="G49">
        <f t="shared" si="27"/>
        <v>11.156862936761359</v>
      </c>
      <c r="H49">
        <f t="shared" si="28"/>
        <v>12.3740068074191</v>
      </c>
    </row>
    <row r="50" spans="1:8">
      <c r="A50" s="4">
        <f t="shared" si="21"/>
        <v>4.9800000000000004</v>
      </c>
      <c r="B50" s="4">
        <f t="shared" si="22"/>
        <v>0.25080321285140561</v>
      </c>
      <c r="C50" s="5">
        <f t="shared" si="23"/>
        <v>0.35600000000000004</v>
      </c>
      <c r="D50" s="4">
        <f t="shared" si="24"/>
        <v>0.68426966292134828</v>
      </c>
      <c r="E50" s="4">
        <f t="shared" si="25"/>
        <v>0.11170107212763709</v>
      </c>
      <c r="F50" s="4">
        <f t="shared" si="26"/>
        <v>11.048543456039805</v>
      </c>
      <c r="G50">
        <f t="shared" si="27"/>
        <v>10.287444476665783</v>
      </c>
      <c r="H50">
        <f t="shared" si="28"/>
        <v>11.983616331812559</v>
      </c>
    </row>
    <row r="51" spans="1:8">
      <c r="A51" s="4">
        <f t="shared" si="21"/>
        <v>5.51</v>
      </c>
      <c r="B51" s="4">
        <f t="shared" si="22"/>
        <v>0.23148820326678771</v>
      </c>
      <c r="C51" s="5">
        <f t="shared" si="23"/>
        <v>0.39300000000000002</v>
      </c>
      <c r="D51" s="4">
        <f t="shared" si="24"/>
        <v>0.6763358778625953</v>
      </c>
      <c r="E51" s="4">
        <f t="shared" si="25"/>
        <v>0.1291543646475804</v>
      </c>
      <c r="F51" s="4">
        <f t="shared" si="26"/>
        <v>9.5554970430614539</v>
      </c>
      <c r="G51">
        <f t="shared" si="27"/>
        <v>10.774985579408535</v>
      </c>
      <c r="H51">
        <f t="shared" si="28"/>
        <v>10.463321124190836</v>
      </c>
    </row>
    <row r="52" spans="1:8">
      <c r="A52" s="4">
        <f t="shared" si="21"/>
        <v>6.01</v>
      </c>
      <c r="B52" s="4">
        <f t="shared" si="22"/>
        <v>0.21638935108153076</v>
      </c>
      <c r="C52" s="5">
        <f t="shared" si="23"/>
        <v>0.42600000000000005</v>
      </c>
      <c r="D52" s="4">
        <f t="shared" si="24"/>
        <v>0.6704225352112676</v>
      </c>
      <c r="E52" s="4">
        <f t="shared" si="25"/>
        <v>0.12042771838760874</v>
      </c>
      <c r="F52" s="4">
        <f t="shared" si="26"/>
        <v>10.247924365022428</v>
      </c>
      <c r="G52">
        <f t="shared" si="27"/>
        <v>9.2686614629114707</v>
      </c>
      <c r="H52">
        <f t="shared" si="28"/>
        <v>11.134736251315227</v>
      </c>
    </row>
    <row r="53" spans="1:8">
      <c r="A53" s="4">
        <f t="shared" si="21"/>
        <v>6.43</v>
      </c>
      <c r="B53" s="4">
        <f t="shared" si="22"/>
        <v>0.20552099533437018</v>
      </c>
      <c r="C53" s="5">
        <f t="shared" si="23"/>
        <v>0.45600000000000002</v>
      </c>
      <c r="D53" s="4">
        <f t="shared" si="24"/>
        <v>0.66578947368421049</v>
      </c>
      <c r="E53" s="4">
        <f t="shared" si="25"/>
        <v>0.15533430342749532</v>
      </c>
      <c r="F53" s="4">
        <f t="shared" si="26"/>
        <v>7.9450200133319955</v>
      </c>
      <c r="G53">
        <f t="shared" si="27"/>
        <v>11.168701713222269</v>
      </c>
      <c r="H53">
        <f t="shared" si="28"/>
        <v>8.8163304823505761</v>
      </c>
    </row>
    <row r="54" spans="1:8">
      <c r="A54" s="4">
        <f t="shared" si="21"/>
        <v>7</v>
      </c>
      <c r="B54" s="4">
        <f t="shared" si="22"/>
        <v>0.19285714285714289</v>
      </c>
      <c r="C54" s="5">
        <f t="shared" si="23"/>
        <v>0.49400000000000005</v>
      </c>
      <c r="D54" s="4">
        <f t="shared" si="24"/>
        <v>0.66072874493927125</v>
      </c>
      <c r="E54" s="4">
        <f t="shared" si="25"/>
        <v>0.16580627893946132</v>
      </c>
      <c r="F54" s="4">
        <f t="shared" si="26"/>
        <v>7.4432292756478695</v>
      </c>
      <c r="G54">
        <f t="shared" si="27"/>
        <v>11.004598057971814</v>
      </c>
      <c r="H54">
        <f t="shared" si="28"/>
        <v>8.2968151634442844</v>
      </c>
    </row>
    <row r="55" spans="1:8">
      <c r="A55" s="4">
        <f t="shared" si="21"/>
        <v>7.46</v>
      </c>
      <c r="B55" s="4">
        <f t="shared" si="22"/>
        <v>0.18404825737265415</v>
      </c>
      <c r="C55" s="5">
        <f t="shared" si="23"/>
        <v>0.52600000000000002</v>
      </c>
      <c r="D55" s="4">
        <f t="shared" si="24"/>
        <v>0.65703422053231941</v>
      </c>
      <c r="E55" s="4">
        <f t="shared" si="25"/>
        <v>0.16406094968746698</v>
      </c>
      <c r="F55" s="4">
        <f t="shared" si="26"/>
        <v>7.5224125658143359</v>
      </c>
      <c r="G55">
        <f t="shared" si="27"/>
        <v>10.226326104062018</v>
      </c>
      <c r="H55">
        <f t="shared" si="28"/>
        <v>8.3634950437193094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6889-A7C5-4930-A449-0E3E92F5B4C6}">
  <dimension ref="A1:X57"/>
  <sheetViews>
    <sheetView topLeftCell="D25" zoomScaleNormal="100" workbookViewId="0">
      <selection activeCell="C60" sqref="C60"/>
    </sheetView>
  </sheetViews>
  <sheetFormatPr defaultColWidth="11.42578125" defaultRowHeight="15"/>
  <cols>
    <col min="1" max="1" width="14.140625" customWidth="1"/>
    <col min="2" max="2" width="11.5703125" customWidth="1"/>
    <col min="3" max="3" width="20.140625" customWidth="1"/>
    <col min="4" max="4" width="11.28515625" customWidth="1"/>
    <col min="5" max="5" width="25.5703125" customWidth="1"/>
    <col min="6" max="6" width="14.85546875" customWidth="1"/>
    <col min="7" max="7" width="13.42578125" customWidth="1"/>
    <col min="8" max="8" width="12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20" width="18.5703125" customWidth="1"/>
    <col min="21" max="21" width="16.85546875" customWidth="1"/>
    <col min="22" max="23" width="17.85546875" customWidth="1"/>
    <col min="24" max="24" width="17.42578125" customWidth="1"/>
    <col min="25" max="25" width="11.85546875" customWidth="1"/>
    <col min="26" max="26" width="16.7109375" customWidth="1"/>
  </cols>
  <sheetData>
    <row r="1" spans="1:24">
      <c r="A1" t="s">
        <v>37</v>
      </c>
      <c r="B1" t="s">
        <v>54</v>
      </c>
      <c r="C1">
        <v>0</v>
      </c>
      <c r="D1" t="s">
        <v>30</v>
      </c>
      <c r="E1">
        <v>100</v>
      </c>
    </row>
    <row r="2" spans="1:2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15</v>
      </c>
      <c r="T2" t="s">
        <v>8</v>
      </c>
      <c r="U2" t="s">
        <v>8</v>
      </c>
      <c r="V2" t="s">
        <v>11</v>
      </c>
      <c r="W2" t="s">
        <v>31</v>
      </c>
      <c r="X2" t="s">
        <v>23</v>
      </c>
    </row>
    <row r="3" spans="1:24">
      <c r="A3">
        <v>4.04</v>
      </c>
      <c r="B3">
        <f>$A$3/100</f>
        <v>4.0399999999999998E-2</v>
      </c>
      <c r="C3">
        <v>2</v>
      </c>
      <c r="D3" s="1">
        <v>-1.1000000000000001</v>
      </c>
      <c r="E3">
        <v>1</v>
      </c>
      <c r="F3">
        <f>$E$3/2</f>
        <v>0.5</v>
      </c>
      <c r="G3">
        <f>ABS(C3-D3)</f>
        <v>3.1</v>
      </c>
      <c r="H3">
        <f>G3*60</f>
        <v>186</v>
      </c>
      <c r="I3">
        <f>SQRT(2)*F3</f>
        <v>0.70710678118654757</v>
      </c>
      <c r="J3">
        <f>RADIANS(G3)</f>
        <v>5.4105206811824215E-2</v>
      </c>
      <c r="K3">
        <f>I3/G3*100</f>
        <v>22.809896167307986</v>
      </c>
      <c r="L3">
        <v>1.17</v>
      </c>
      <c r="M3">
        <f xml:space="preserve"> (0.05*L3/100) + 0.01</f>
        <v>1.0585000000000001E-2</v>
      </c>
      <c r="N3">
        <f xml:space="preserve"> M3/L3*100</f>
        <v>0.90470085470085482</v>
      </c>
      <c r="O3" s="3">
        <v>890</v>
      </c>
      <c r="P3">
        <f>O3*0.0001</f>
        <v>8.900000000000001E-2</v>
      </c>
      <c r="Q3">
        <f t="shared" ref="Q3:Q16" si="0">(O3*0.6/100)+3</f>
        <v>8.34</v>
      </c>
      <c r="R3">
        <f t="shared" ref="R3:R16" si="1">Q3/O3 * 100</f>
        <v>0.93707865168539317</v>
      </c>
      <c r="S3">
        <f t="shared" ref="S3:S16" si="2">J3/(P3*B3)</f>
        <v>15.047615644627937</v>
      </c>
      <c r="T3">
        <f>R3+N3+K3</f>
        <v>24.651675673694236</v>
      </c>
      <c r="U3">
        <f>$S$18/SQRT(14)</f>
        <v>0.40668735934703998</v>
      </c>
      <c r="V3">
        <f t="shared" ref="V3:V16" si="3">U3/$S$17*100</f>
        <v>3.2964965492321285</v>
      </c>
      <c r="W3">
        <v>16.739999999999998</v>
      </c>
      <c r="X3">
        <f>ABS(W3-S3)/W3*100</f>
        <v>10.109822911422112</v>
      </c>
    </row>
    <row r="4" spans="1:24">
      <c r="A4">
        <v>4.04</v>
      </c>
      <c r="B4">
        <f t="shared" ref="B4:B16" si="4">$A$3/100</f>
        <v>4.0399999999999998E-2</v>
      </c>
      <c r="C4">
        <v>2</v>
      </c>
      <c r="D4">
        <v>-1.9</v>
      </c>
      <c r="E4">
        <v>1</v>
      </c>
      <c r="F4">
        <f t="shared" ref="F4:F16" si="5">$E$3/2</f>
        <v>0.5</v>
      </c>
      <c r="G4">
        <f t="shared" ref="G4:G16" si="6">ABS(C4-D4)</f>
        <v>3.9</v>
      </c>
      <c r="H4">
        <f t="shared" ref="H4:H16" si="7">G4*60</f>
        <v>234</v>
      </c>
      <c r="I4">
        <f t="shared" ref="I4:I16" si="8">SQRT(2)*F4</f>
        <v>0.70710678118654757</v>
      </c>
      <c r="J4">
        <f t="shared" ref="J4:J16" si="9">RADIANS(G4)</f>
        <v>6.806784082777885E-2</v>
      </c>
      <c r="K4">
        <f t="shared" ref="K4:K16" si="10">I4/G4*100</f>
        <v>18.130943107347374</v>
      </c>
      <c r="L4">
        <v>1.5</v>
      </c>
      <c r="M4">
        <f t="shared" ref="M4:M16" si="11" xml:space="preserve"> (0.05*L4/100) + 0.01</f>
        <v>1.0750000000000001E-2</v>
      </c>
      <c r="N4">
        <f t="shared" ref="N4:N16" si="12" xml:space="preserve"> M4/L4*100</f>
        <v>0.71666666666666679</v>
      </c>
      <c r="O4" s="3">
        <v>1130</v>
      </c>
      <c r="P4">
        <f t="shared" ref="P4:P16" si="13">O4*0.0001</f>
        <v>0.113</v>
      </c>
      <c r="Q4">
        <f t="shared" si="0"/>
        <v>9.7800000000000011</v>
      </c>
      <c r="R4">
        <f t="shared" si="1"/>
        <v>0.86548672566371698</v>
      </c>
      <c r="S4">
        <f t="shared" si="2"/>
        <v>14.910155267628767</v>
      </c>
      <c r="T4">
        <f t="shared" ref="T4:T16" si="14">R4+N4+K4</f>
        <v>19.713096499677757</v>
      </c>
      <c r="U4">
        <f t="shared" ref="U4:U16" si="15">$S$18/SQRT(14)</f>
        <v>0.40668735934703998</v>
      </c>
      <c r="V4">
        <f t="shared" si="3"/>
        <v>3.2964965492321285</v>
      </c>
      <c r="W4">
        <v>16.739999999999998</v>
      </c>
      <c r="X4">
        <f t="shared" ref="X4:X16" si="16">ABS(W4-S4)/W4*100</f>
        <v>10.930972116912974</v>
      </c>
    </row>
    <row r="5" spans="1:24">
      <c r="A5">
        <v>4.04</v>
      </c>
      <c r="B5">
        <f t="shared" si="4"/>
        <v>4.0399999999999998E-2</v>
      </c>
      <c r="C5">
        <v>2</v>
      </c>
      <c r="D5">
        <v>-2.9</v>
      </c>
      <c r="E5">
        <v>1</v>
      </c>
      <c r="F5">
        <f t="shared" si="5"/>
        <v>0.5</v>
      </c>
      <c r="G5">
        <f t="shared" si="6"/>
        <v>4.9000000000000004</v>
      </c>
      <c r="H5">
        <f t="shared" si="7"/>
        <v>294</v>
      </c>
      <c r="I5">
        <f t="shared" si="8"/>
        <v>0.70710678118654757</v>
      </c>
      <c r="J5">
        <f t="shared" si="9"/>
        <v>8.5521133347722156E-2</v>
      </c>
      <c r="K5">
        <f t="shared" si="10"/>
        <v>14.430750636460154</v>
      </c>
      <c r="L5">
        <v>2.04</v>
      </c>
      <c r="M5">
        <f t="shared" si="11"/>
        <v>1.102E-2</v>
      </c>
      <c r="N5">
        <f t="shared" si="12"/>
        <v>0.54019607843137263</v>
      </c>
      <c r="O5" s="3">
        <v>1510</v>
      </c>
      <c r="P5">
        <f t="shared" si="13"/>
        <v>0.151</v>
      </c>
      <c r="Q5">
        <f t="shared" si="0"/>
        <v>12.06</v>
      </c>
      <c r="R5">
        <f t="shared" si="1"/>
        <v>0.79867549668874183</v>
      </c>
      <c r="S5">
        <f t="shared" si="2"/>
        <v>14.018938651190441</v>
      </c>
      <c r="T5">
        <f t="shared" si="14"/>
        <v>15.769622211580268</v>
      </c>
      <c r="U5">
        <f t="shared" si="15"/>
        <v>0.40668735934703998</v>
      </c>
      <c r="V5">
        <f t="shared" si="3"/>
        <v>3.2964965492321285</v>
      </c>
      <c r="W5">
        <v>16.739999999999998</v>
      </c>
      <c r="X5">
        <f t="shared" si="16"/>
        <v>16.254846767082189</v>
      </c>
    </row>
    <row r="6" spans="1:24">
      <c r="A6">
        <v>4.04</v>
      </c>
      <c r="B6">
        <f t="shared" si="4"/>
        <v>4.0399999999999998E-2</v>
      </c>
      <c r="C6">
        <v>2</v>
      </c>
      <c r="D6">
        <v>-3.7</v>
      </c>
      <c r="E6">
        <v>1</v>
      </c>
      <c r="F6">
        <f t="shared" si="5"/>
        <v>0.5</v>
      </c>
      <c r="G6">
        <f t="shared" si="6"/>
        <v>5.7</v>
      </c>
      <c r="H6">
        <f t="shared" si="7"/>
        <v>342</v>
      </c>
      <c r="I6">
        <f t="shared" si="8"/>
        <v>0.70710678118654757</v>
      </c>
      <c r="J6">
        <f t="shared" si="9"/>
        <v>9.9483767363676784E-2</v>
      </c>
      <c r="K6">
        <f t="shared" si="10"/>
        <v>12.405382126079783</v>
      </c>
      <c r="L6">
        <v>2.5299999999999998</v>
      </c>
      <c r="M6">
        <f t="shared" si="11"/>
        <v>1.1265000000000001E-2</v>
      </c>
      <c r="N6">
        <f t="shared" si="12"/>
        <v>0.44525691699604752</v>
      </c>
      <c r="O6" s="3">
        <v>1850</v>
      </c>
      <c r="P6">
        <f t="shared" si="13"/>
        <v>0.185</v>
      </c>
      <c r="Q6">
        <f t="shared" si="0"/>
        <v>14.1</v>
      </c>
      <c r="R6">
        <f t="shared" si="1"/>
        <v>0.76216216216216215</v>
      </c>
      <c r="S6">
        <f t="shared" si="2"/>
        <v>13.310645887567137</v>
      </c>
      <c r="T6">
        <f t="shared" si="14"/>
        <v>13.612801205237993</v>
      </c>
      <c r="U6">
        <f t="shared" si="15"/>
        <v>0.40668735934703998</v>
      </c>
      <c r="V6">
        <f t="shared" si="3"/>
        <v>3.2964965492321285</v>
      </c>
      <c r="W6">
        <v>16.739999999999998</v>
      </c>
      <c r="X6">
        <f t="shared" si="16"/>
        <v>20.48598633472438</v>
      </c>
    </row>
    <row r="7" spans="1:24">
      <c r="A7">
        <v>4.04</v>
      </c>
      <c r="B7">
        <f t="shared" si="4"/>
        <v>4.0399999999999998E-2</v>
      </c>
      <c r="C7">
        <v>2</v>
      </c>
      <c r="D7">
        <v>-4.9000000000000004</v>
      </c>
      <c r="E7">
        <v>1</v>
      </c>
      <c r="F7">
        <f t="shared" si="5"/>
        <v>0.5</v>
      </c>
      <c r="G7">
        <f t="shared" si="6"/>
        <v>6.9</v>
      </c>
      <c r="H7">
        <f t="shared" si="7"/>
        <v>414</v>
      </c>
      <c r="I7">
        <f t="shared" si="8"/>
        <v>0.70710678118654757</v>
      </c>
      <c r="J7">
        <f t="shared" si="9"/>
        <v>0.12042771838760874</v>
      </c>
      <c r="K7">
        <f t="shared" si="10"/>
        <v>10.247924365022428</v>
      </c>
      <c r="L7">
        <v>2.96</v>
      </c>
      <c r="M7">
        <f t="shared" si="11"/>
        <v>1.1480000000000001E-2</v>
      </c>
      <c r="N7">
        <f t="shared" si="12"/>
        <v>0.38783783783783787</v>
      </c>
      <c r="O7" s="3">
        <v>2180</v>
      </c>
      <c r="P7">
        <f t="shared" si="13"/>
        <v>0.218</v>
      </c>
      <c r="Q7">
        <f t="shared" si="0"/>
        <v>16.079999999999998</v>
      </c>
      <c r="R7">
        <f t="shared" si="1"/>
        <v>0.7376146788990825</v>
      </c>
      <c r="S7">
        <f t="shared" si="2"/>
        <v>13.673780360115446</v>
      </c>
      <c r="T7">
        <f t="shared" si="14"/>
        <v>11.373376881759349</v>
      </c>
      <c r="U7">
        <f t="shared" si="15"/>
        <v>0.40668735934703998</v>
      </c>
      <c r="V7">
        <f t="shared" si="3"/>
        <v>3.2964965492321285</v>
      </c>
      <c r="W7">
        <v>16.739999999999998</v>
      </c>
      <c r="X7">
        <f t="shared" si="16"/>
        <v>18.316724252595897</v>
      </c>
    </row>
    <row r="8" spans="1:24">
      <c r="A8">
        <v>4.04</v>
      </c>
      <c r="B8">
        <f t="shared" si="4"/>
        <v>4.0399999999999998E-2</v>
      </c>
      <c r="C8">
        <v>2</v>
      </c>
      <c r="D8">
        <v>-5.2</v>
      </c>
      <c r="E8">
        <v>1</v>
      </c>
      <c r="F8">
        <f t="shared" si="5"/>
        <v>0.5</v>
      </c>
      <c r="G8">
        <f t="shared" si="6"/>
        <v>7.2</v>
      </c>
      <c r="H8">
        <f t="shared" si="7"/>
        <v>432</v>
      </c>
      <c r="I8">
        <f t="shared" si="8"/>
        <v>0.70710678118654757</v>
      </c>
      <c r="J8">
        <f t="shared" si="9"/>
        <v>0.12566370614359174</v>
      </c>
      <c r="K8">
        <f t="shared" si="10"/>
        <v>9.8209275164798271</v>
      </c>
      <c r="L8">
        <v>3.52</v>
      </c>
      <c r="M8">
        <f t="shared" si="11"/>
        <v>1.176E-2</v>
      </c>
      <c r="N8">
        <f t="shared" si="12"/>
        <v>0.33409090909090911</v>
      </c>
      <c r="O8" s="3">
        <v>2550</v>
      </c>
      <c r="P8">
        <f t="shared" si="13"/>
        <v>0.255</v>
      </c>
      <c r="Q8">
        <f t="shared" si="0"/>
        <v>18.3</v>
      </c>
      <c r="R8">
        <f t="shared" si="1"/>
        <v>0.71764705882352942</v>
      </c>
      <c r="S8">
        <f t="shared" si="2"/>
        <v>12.197991277770504</v>
      </c>
      <c r="T8">
        <f t="shared" si="14"/>
        <v>10.872665484394265</v>
      </c>
      <c r="U8">
        <f t="shared" si="15"/>
        <v>0.40668735934703998</v>
      </c>
      <c r="V8">
        <f t="shared" si="3"/>
        <v>3.2964965492321285</v>
      </c>
      <c r="W8">
        <v>16.739999999999998</v>
      </c>
      <c r="X8">
        <f t="shared" si="16"/>
        <v>27.132668591574046</v>
      </c>
    </row>
    <row r="9" spans="1:24">
      <c r="A9">
        <v>4.04</v>
      </c>
      <c r="B9">
        <f t="shared" si="4"/>
        <v>4.0399999999999998E-2</v>
      </c>
      <c r="C9">
        <v>2</v>
      </c>
      <c r="D9">
        <v>-6.2</v>
      </c>
      <c r="E9">
        <v>1</v>
      </c>
      <c r="F9">
        <f t="shared" si="5"/>
        <v>0.5</v>
      </c>
      <c r="G9">
        <f t="shared" si="6"/>
        <v>8.1999999999999993</v>
      </c>
      <c r="H9">
        <f t="shared" si="7"/>
        <v>491.99999999999994</v>
      </c>
      <c r="I9">
        <f t="shared" si="8"/>
        <v>0.70710678118654757</v>
      </c>
      <c r="J9">
        <f t="shared" si="9"/>
        <v>0.143116998663535</v>
      </c>
      <c r="K9">
        <f t="shared" si="10"/>
        <v>8.6232534291042402</v>
      </c>
      <c r="L9">
        <v>4.08</v>
      </c>
      <c r="M9">
        <f t="shared" si="11"/>
        <v>1.204E-2</v>
      </c>
      <c r="N9">
        <f t="shared" si="12"/>
        <v>0.29509803921568628</v>
      </c>
      <c r="O9" s="3">
        <v>2940</v>
      </c>
      <c r="P9">
        <f t="shared" si="13"/>
        <v>0.29400000000000004</v>
      </c>
      <c r="Q9">
        <f t="shared" si="0"/>
        <v>20.64</v>
      </c>
      <c r="R9">
        <f t="shared" si="1"/>
        <v>0.70204081632653059</v>
      </c>
      <c r="S9">
        <f t="shared" si="2"/>
        <v>12.04931961537137</v>
      </c>
      <c r="T9">
        <f t="shared" si="14"/>
        <v>9.6203922846464565</v>
      </c>
      <c r="U9">
        <f t="shared" si="15"/>
        <v>0.40668735934703998</v>
      </c>
      <c r="V9">
        <f t="shared" si="3"/>
        <v>3.2964965492321285</v>
      </c>
      <c r="W9">
        <v>16.739999999999998</v>
      </c>
      <c r="X9">
        <f t="shared" si="16"/>
        <v>28.020790828128007</v>
      </c>
    </row>
    <row r="10" spans="1:24">
      <c r="A10">
        <v>4.04</v>
      </c>
      <c r="B10">
        <f t="shared" si="4"/>
        <v>4.0399999999999998E-2</v>
      </c>
      <c r="C10">
        <v>2</v>
      </c>
      <c r="D10">
        <v>-6.8</v>
      </c>
      <c r="E10">
        <v>1</v>
      </c>
      <c r="F10">
        <f t="shared" si="5"/>
        <v>0.5</v>
      </c>
      <c r="G10">
        <f t="shared" si="6"/>
        <v>8.8000000000000007</v>
      </c>
      <c r="H10">
        <f t="shared" si="7"/>
        <v>528</v>
      </c>
      <c r="I10">
        <f t="shared" si="8"/>
        <v>0.70710678118654757</v>
      </c>
      <c r="J10">
        <f t="shared" si="9"/>
        <v>0.15358897417550102</v>
      </c>
      <c r="K10">
        <f t="shared" si="10"/>
        <v>8.0353043316653139</v>
      </c>
      <c r="L10">
        <v>4.49</v>
      </c>
      <c r="M10">
        <f t="shared" si="11"/>
        <v>1.2245000000000001E-2</v>
      </c>
      <c r="N10">
        <f t="shared" si="12"/>
        <v>0.27271714922048995</v>
      </c>
      <c r="O10" s="3">
        <v>3220</v>
      </c>
      <c r="P10">
        <f t="shared" si="13"/>
        <v>0.32200000000000001</v>
      </c>
      <c r="Q10">
        <f t="shared" si="0"/>
        <v>22.32</v>
      </c>
      <c r="R10">
        <f t="shared" si="1"/>
        <v>0.69316770186335408</v>
      </c>
      <c r="S10">
        <f t="shared" si="2"/>
        <v>11.806544352707478</v>
      </c>
      <c r="T10">
        <f t="shared" si="14"/>
        <v>9.0011891827491581</v>
      </c>
      <c r="U10">
        <f t="shared" si="15"/>
        <v>0.40668735934703998</v>
      </c>
      <c r="V10">
        <f t="shared" si="3"/>
        <v>3.2964965492321285</v>
      </c>
      <c r="W10">
        <v>16.739999999999998</v>
      </c>
      <c r="X10">
        <f t="shared" si="16"/>
        <v>29.471061214411716</v>
      </c>
    </row>
    <row r="11" spans="1:24">
      <c r="A11">
        <v>4.04</v>
      </c>
      <c r="B11">
        <f t="shared" si="4"/>
        <v>4.0399999999999998E-2</v>
      </c>
      <c r="C11">
        <v>2</v>
      </c>
      <c r="D11">
        <v>-7.7</v>
      </c>
      <c r="E11">
        <v>1</v>
      </c>
      <c r="F11">
        <f t="shared" si="5"/>
        <v>0.5</v>
      </c>
      <c r="G11">
        <f t="shared" si="6"/>
        <v>9.6999999999999993</v>
      </c>
      <c r="H11">
        <f t="shared" si="7"/>
        <v>582</v>
      </c>
      <c r="I11">
        <f t="shared" si="8"/>
        <v>0.70710678118654757</v>
      </c>
      <c r="J11">
        <f t="shared" si="9"/>
        <v>0.16929693744344995</v>
      </c>
      <c r="K11">
        <f t="shared" si="10"/>
        <v>7.2897606307891509</v>
      </c>
      <c r="L11">
        <v>5.0199999999999996</v>
      </c>
      <c r="M11">
        <f t="shared" si="11"/>
        <v>1.251E-2</v>
      </c>
      <c r="N11">
        <f t="shared" si="12"/>
        <v>0.24920318725099605</v>
      </c>
      <c r="O11" s="3">
        <v>3590</v>
      </c>
      <c r="P11">
        <f t="shared" si="13"/>
        <v>0.35900000000000004</v>
      </c>
      <c r="Q11">
        <f t="shared" si="0"/>
        <v>24.54</v>
      </c>
      <c r="R11">
        <f t="shared" si="1"/>
        <v>0.6835654596100279</v>
      </c>
      <c r="S11">
        <f t="shared" si="2"/>
        <v>11.672752795405962</v>
      </c>
      <c r="T11">
        <f t="shared" si="14"/>
        <v>8.2225292776501746</v>
      </c>
      <c r="U11">
        <f t="shared" si="15"/>
        <v>0.40668735934703998</v>
      </c>
      <c r="V11">
        <f t="shared" si="3"/>
        <v>3.2964965492321285</v>
      </c>
      <c r="W11">
        <v>16.739999999999998</v>
      </c>
      <c r="X11">
        <f t="shared" si="16"/>
        <v>30.270293934253505</v>
      </c>
    </row>
    <row r="12" spans="1:24">
      <c r="A12">
        <v>4.04</v>
      </c>
      <c r="B12">
        <f t="shared" si="4"/>
        <v>4.0399999999999998E-2</v>
      </c>
      <c r="C12">
        <v>2</v>
      </c>
      <c r="D12">
        <v>-8.1</v>
      </c>
      <c r="E12">
        <v>1</v>
      </c>
      <c r="F12">
        <f t="shared" si="5"/>
        <v>0.5</v>
      </c>
      <c r="G12">
        <f t="shared" si="6"/>
        <v>10.1</v>
      </c>
      <c r="H12">
        <f t="shared" si="7"/>
        <v>606</v>
      </c>
      <c r="I12">
        <f t="shared" si="8"/>
        <v>0.70710678118654757</v>
      </c>
      <c r="J12">
        <f t="shared" si="9"/>
        <v>0.17627825445142728</v>
      </c>
      <c r="K12">
        <f t="shared" si="10"/>
        <v>7.001057239470768</v>
      </c>
      <c r="L12">
        <v>5.52</v>
      </c>
      <c r="M12">
        <f t="shared" si="11"/>
        <v>1.2760000000000001E-2</v>
      </c>
      <c r="N12">
        <f t="shared" si="12"/>
        <v>0.23115942028985509</v>
      </c>
      <c r="O12" s="3">
        <v>3930</v>
      </c>
      <c r="P12">
        <f t="shared" si="13"/>
        <v>0.39300000000000002</v>
      </c>
      <c r="Q12">
        <f t="shared" si="0"/>
        <v>26.58</v>
      </c>
      <c r="R12">
        <f t="shared" si="1"/>
        <v>0.6763358778625953</v>
      </c>
      <c r="S12">
        <f t="shared" si="2"/>
        <v>11.102603384187846</v>
      </c>
      <c r="T12">
        <f t="shared" si="14"/>
        <v>7.9085525376232182</v>
      </c>
      <c r="U12">
        <f t="shared" si="15"/>
        <v>0.40668735934703998</v>
      </c>
      <c r="V12">
        <f t="shared" si="3"/>
        <v>3.2964965492321285</v>
      </c>
      <c r="W12">
        <v>16.739999999999998</v>
      </c>
      <c r="X12">
        <f t="shared" si="16"/>
        <v>33.676204395532572</v>
      </c>
    </row>
    <row r="13" spans="1:24">
      <c r="A13">
        <v>4.04</v>
      </c>
      <c r="B13">
        <f t="shared" si="4"/>
        <v>4.0399999999999998E-2</v>
      </c>
      <c r="C13">
        <v>2</v>
      </c>
      <c r="D13">
        <v>-8.9</v>
      </c>
      <c r="E13">
        <v>1</v>
      </c>
      <c r="F13">
        <f t="shared" si="5"/>
        <v>0.5</v>
      </c>
      <c r="G13">
        <f t="shared" si="6"/>
        <v>10.9</v>
      </c>
      <c r="H13">
        <f t="shared" si="7"/>
        <v>654</v>
      </c>
      <c r="I13">
        <f t="shared" si="8"/>
        <v>0.70710678118654757</v>
      </c>
      <c r="J13">
        <f t="shared" si="9"/>
        <v>0.19024088846738194</v>
      </c>
      <c r="K13">
        <f t="shared" si="10"/>
        <v>6.4872181760233723</v>
      </c>
      <c r="L13">
        <v>6</v>
      </c>
      <c r="M13">
        <f t="shared" si="11"/>
        <v>1.3000000000000001E-2</v>
      </c>
      <c r="N13">
        <f t="shared" si="12"/>
        <v>0.2166666666666667</v>
      </c>
      <c r="O13" s="3">
        <v>4260</v>
      </c>
      <c r="P13">
        <f t="shared" si="13"/>
        <v>0.42600000000000005</v>
      </c>
      <c r="Q13">
        <f t="shared" si="0"/>
        <v>28.56</v>
      </c>
      <c r="R13">
        <f t="shared" si="1"/>
        <v>0.6704225352112676</v>
      </c>
      <c r="S13">
        <f t="shared" si="2"/>
        <v>11.05383305834739</v>
      </c>
      <c r="T13">
        <f t="shared" si="14"/>
        <v>7.3743073779013066</v>
      </c>
      <c r="U13">
        <f t="shared" si="15"/>
        <v>0.40668735934703998</v>
      </c>
      <c r="V13">
        <f t="shared" si="3"/>
        <v>3.2964965492321285</v>
      </c>
      <c r="W13">
        <v>16.739999999999998</v>
      </c>
      <c r="X13">
        <f t="shared" si="16"/>
        <v>33.967544454316659</v>
      </c>
    </row>
    <row r="14" spans="1:24">
      <c r="A14">
        <v>4.04</v>
      </c>
      <c r="B14">
        <f t="shared" si="4"/>
        <v>4.0399999999999998E-2</v>
      </c>
      <c r="C14">
        <v>2</v>
      </c>
      <c r="D14">
        <v>-9.6</v>
      </c>
      <c r="E14">
        <v>1</v>
      </c>
      <c r="F14">
        <f t="shared" si="5"/>
        <v>0.5</v>
      </c>
      <c r="G14">
        <f t="shared" si="6"/>
        <v>11.6</v>
      </c>
      <c r="H14">
        <f t="shared" si="7"/>
        <v>696</v>
      </c>
      <c r="I14">
        <f t="shared" si="8"/>
        <v>0.70710678118654757</v>
      </c>
      <c r="J14">
        <f t="shared" si="9"/>
        <v>0.20245819323134223</v>
      </c>
      <c r="K14">
        <f t="shared" si="10"/>
        <v>6.0957481136771348</v>
      </c>
      <c r="L14">
        <v>6.51</v>
      </c>
      <c r="M14">
        <f t="shared" si="11"/>
        <v>1.3254999999999999E-2</v>
      </c>
      <c r="N14">
        <f t="shared" si="12"/>
        <v>0.20360983102918587</v>
      </c>
      <c r="O14" s="3">
        <v>4610</v>
      </c>
      <c r="P14">
        <f t="shared" si="13"/>
        <v>0.46100000000000002</v>
      </c>
      <c r="Q14">
        <f t="shared" si="0"/>
        <v>30.66</v>
      </c>
      <c r="R14">
        <f t="shared" si="1"/>
        <v>0.66507592190889375</v>
      </c>
      <c r="S14">
        <f t="shared" si="2"/>
        <v>10.870588756219918</v>
      </c>
      <c r="T14">
        <f t="shared" si="14"/>
        <v>6.9644338666152148</v>
      </c>
      <c r="U14">
        <f t="shared" si="15"/>
        <v>0.40668735934703998</v>
      </c>
      <c r="V14">
        <f t="shared" si="3"/>
        <v>3.2964965492321285</v>
      </c>
      <c r="W14">
        <v>16.739999999999998</v>
      </c>
      <c r="X14">
        <f t="shared" si="16"/>
        <v>35.062193809916849</v>
      </c>
    </row>
    <row r="15" spans="1:24">
      <c r="A15">
        <v>4.04</v>
      </c>
      <c r="B15">
        <f t="shared" si="4"/>
        <v>4.0399999999999998E-2</v>
      </c>
      <c r="C15">
        <v>2</v>
      </c>
      <c r="D15">
        <v>-10</v>
      </c>
      <c r="E15">
        <v>1</v>
      </c>
      <c r="F15">
        <f t="shared" si="5"/>
        <v>0.5</v>
      </c>
      <c r="G15">
        <f t="shared" si="6"/>
        <v>12</v>
      </c>
      <c r="H15">
        <f t="shared" si="7"/>
        <v>720</v>
      </c>
      <c r="I15">
        <f t="shared" si="8"/>
        <v>0.70710678118654757</v>
      </c>
      <c r="J15">
        <f t="shared" si="9"/>
        <v>0.20943951023931956</v>
      </c>
      <c r="K15">
        <f t="shared" si="10"/>
        <v>5.8925565098878963</v>
      </c>
      <c r="L15">
        <v>7.01</v>
      </c>
      <c r="M15">
        <f t="shared" si="11"/>
        <v>1.3505E-2</v>
      </c>
      <c r="N15">
        <f t="shared" si="12"/>
        <v>0.19265335235378031</v>
      </c>
      <c r="O15" s="3">
        <v>4940</v>
      </c>
      <c r="P15">
        <f t="shared" si="13"/>
        <v>0.49400000000000005</v>
      </c>
      <c r="Q15">
        <f t="shared" si="0"/>
        <v>32.64</v>
      </c>
      <c r="R15">
        <f t="shared" si="1"/>
        <v>0.66072874493927125</v>
      </c>
      <c r="S15">
        <f t="shared" si="2"/>
        <v>10.494223265288388</v>
      </c>
      <c r="T15">
        <f t="shared" si="14"/>
        <v>6.745938607180948</v>
      </c>
      <c r="U15">
        <f t="shared" si="15"/>
        <v>0.40668735934703998</v>
      </c>
      <c r="V15">
        <f t="shared" si="3"/>
        <v>3.2964965492321285</v>
      </c>
      <c r="W15">
        <v>16.739999999999998</v>
      </c>
      <c r="X15">
        <f t="shared" si="16"/>
        <v>37.310494233641641</v>
      </c>
    </row>
    <row r="16" spans="1:24">
      <c r="A16">
        <v>4.04</v>
      </c>
      <c r="B16">
        <f t="shared" si="4"/>
        <v>4.0399999999999998E-2</v>
      </c>
      <c r="C16">
        <v>2</v>
      </c>
      <c r="D16">
        <v>-10.6</v>
      </c>
      <c r="E16">
        <v>1</v>
      </c>
      <c r="F16">
        <f t="shared" si="5"/>
        <v>0.5</v>
      </c>
      <c r="G16">
        <f t="shared" si="6"/>
        <v>12.6</v>
      </c>
      <c r="H16">
        <f t="shared" si="7"/>
        <v>756</v>
      </c>
      <c r="I16">
        <f t="shared" si="8"/>
        <v>0.70710678118654757</v>
      </c>
      <c r="J16">
        <f t="shared" si="9"/>
        <v>0.21991148575128552</v>
      </c>
      <c r="K16">
        <f t="shared" si="10"/>
        <v>5.6119585808456156</v>
      </c>
      <c r="L16">
        <v>7.34</v>
      </c>
      <c r="M16">
        <f t="shared" si="11"/>
        <v>1.367E-2</v>
      </c>
      <c r="N16">
        <f t="shared" si="12"/>
        <v>0.18623978201634878</v>
      </c>
      <c r="O16" s="3">
        <v>5180</v>
      </c>
      <c r="P16">
        <f t="shared" si="13"/>
        <v>0.51800000000000002</v>
      </c>
      <c r="Q16">
        <f t="shared" si="0"/>
        <v>34.08</v>
      </c>
      <c r="R16">
        <f t="shared" si="1"/>
        <v>0.65791505791505789</v>
      </c>
      <c r="S16">
        <f t="shared" si="2"/>
        <v>10.508404648079319</v>
      </c>
      <c r="T16">
        <f t="shared" si="14"/>
        <v>6.4561134207770223</v>
      </c>
      <c r="U16">
        <f t="shared" si="15"/>
        <v>0.40668735934703998</v>
      </c>
      <c r="V16">
        <f t="shared" si="3"/>
        <v>3.2964965492321285</v>
      </c>
      <c r="W16">
        <v>16.739999999999998</v>
      </c>
      <c r="X16">
        <f t="shared" si="16"/>
        <v>37.225778685308725</v>
      </c>
    </row>
    <row r="17" spans="1:23">
      <c r="R17" s="4" t="s">
        <v>19</v>
      </c>
      <c r="S17" s="4">
        <f>AVERAGE(S3:S16)</f>
        <v>12.336956926036278</v>
      </c>
    </row>
    <row r="18" spans="1:23">
      <c r="R18" s="4" t="s">
        <v>22</v>
      </c>
      <c r="S18" s="4">
        <f>_xlfn.STDEV.P(S3:S16)</f>
        <v>1.5216847622084404</v>
      </c>
    </row>
    <row r="19" spans="1:23">
      <c r="R19" s="4" t="s">
        <v>35</v>
      </c>
      <c r="S19" s="4">
        <f xml:space="preserve"> CORREL(B25:B38,C25:C38)</f>
        <v>0.99639997883907161</v>
      </c>
    </row>
    <row r="20" spans="1:23" s="2" customFormat="1">
      <c r="A20" s="2" t="s">
        <v>25</v>
      </c>
      <c r="R20" s="4" t="s">
        <v>39</v>
      </c>
      <c r="S20" s="4">
        <f>COUNT(S3:S16)</f>
        <v>14</v>
      </c>
    </row>
    <row r="21" spans="1:23">
      <c r="W21" t="s">
        <v>36</v>
      </c>
    </row>
    <row r="22" spans="1:23">
      <c r="A22" t="s">
        <v>26</v>
      </c>
      <c r="E22" t="s">
        <v>56</v>
      </c>
    </row>
    <row r="23" spans="1:23">
      <c r="E23" t="s">
        <v>41</v>
      </c>
      <c r="F23" t="s">
        <v>42</v>
      </c>
      <c r="G23" t="s">
        <v>57</v>
      </c>
      <c r="J23" t="s">
        <v>23</v>
      </c>
      <c r="R23" s="4" t="s">
        <v>58</v>
      </c>
      <c r="S23">
        <f>2*S18/SQRT(S20)</f>
        <v>0.81337471869407996</v>
      </c>
    </row>
    <row r="24" spans="1:23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LINEST(F25:F38,E25:E38,TRUE,TRUE  )</f>
        <v>9.317746099466687</v>
      </c>
      <c r="H24">
        <v>2.9085955402806951E-2</v>
      </c>
      <c r="J24">
        <f>ABS(G24-W3)/(W3)*100</f>
        <v>44.338434292313693</v>
      </c>
      <c r="R24" s="4" t="s">
        <v>59</v>
      </c>
      <c r="S24">
        <f>S23/S17*100</f>
        <v>6.5929930984642571</v>
      </c>
    </row>
    <row r="25" spans="1:23">
      <c r="A25">
        <f t="shared" ref="A25:A38" si="17">L3</f>
        <v>1.17</v>
      </c>
      <c r="B25">
        <f>P3</f>
        <v>8.900000000000001E-2</v>
      </c>
      <c r="C25">
        <f t="shared" ref="C25:C38" si="18">J3</f>
        <v>5.4105206811824215E-2</v>
      </c>
      <c r="E25">
        <f t="shared" ref="E25:E38" si="19">P3*B3</f>
        <v>3.5956000000000004E-3</v>
      </c>
      <c r="F25">
        <f>J3</f>
        <v>5.4105206811824215E-2</v>
      </c>
      <c r="G25">
        <v>0.22885628538418676</v>
      </c>
      <c r="H25">
        <v>3.0962782077456068E-3</v>
      </c>
      <c r="R25" s="4" t="s">
        <v>17</v>
      </c>
      <c r="S25">
        <f>ABS(S17-W7)/W8*100</f>
        <v>26.302527323558667</v>
      </c>
    </row>
    <row r="26" spans="1:23">
      <c r="A26">
        <f t="shared" si="17"/>
        <v>1.5</v>
      </c>
      <c r="B26">
        <f t="shared" ref="B26:B38" si="20">P4</f>
        <v>0.113</v>
      </c>
      <c r="C26">
        <f t="shared" si="18"/>
        <v>6.806784082777885E-2</v>
      </c>
      <c r="E26">
        <f t="shared" si="19"/>
        <v>4.5652000000000002E-3</v>
      </c>
      <c r="F26">
        <f t="shared" ref="F26:F38" si="21">J4</f>
        <v>6.806784082777885E-2</v>
      </c>
      <c r="G26">
        <v>0.99281291783050252</v>
      </c>
      <c r="H26">
        <v>4.7401033898165053E-3</v>
      </c>
    </row>
    <row r="27" spans="1:23">
      <c r="A27">
        <f t="shared" si="17"/>
        <v>2.04</v>
      </c>
      <c r="B27">
        <f t="shared" si="20"/>
        <v>0.151</v>
      </c>
      <c r="C27">
        <f t="shared" si="18"/>
        <v>8.5521133347722156E-2</v>
      </c>
      <c r="E27">
        <f t="shared" si="19"/>
        <v>6.1003999999999997E-3</v>
      </c>
      <c r="F27">
        <f t="shared" si="21"/>
        <v>8.5521133347722156E-2</v>
      </c>
      <c r="G27">
        <v>1657.6622797675604</v>
      </c>
      <c r="H27">
        <v>12</v>
      </c>
    </row>
    <row r="28" spans="1:23">
      <c r="A28">
        <f t="shared" si="17"/>
        <v>2.5299999999999998</v>
      </c>
      <c r="B28">
        <f t="shared" si="20"/>
        <v>0.185</v>
      </c>
      <c r="C28">
        <f t="shared" si="18"/>
        <v>9.9483767363676784E-2</v>
      </c>
      <c r="E28">
        <f t="shared" si="19"/>
        <v>7.4739999999999997E-3</v>
      </c>
      <c r="F28">
        <f t="shared" si="21"/>
        <v>9.9483767363676784E-2</v>
      </c>
      <c r="G28">
        <v>3.7245317788207027E-2</v>
      </c>
      <c r="H28">
        <v>2.6962296175379907E-4</v>
      </c>
    </row>
    <row r="29" spans="1:23">
      <c r="A29">
        <f t="shared" si="17"/>
        <v>2.96</v>
      </c>
      <c r="B29">
        <f t="shared" si="20"/>
        <v>0.218</v>
      </c>
      <c r="C29">
        <f t="shared" si="18"/>
        <v>0.12042771838760874</v>
      </c>
      <c r="E29">
        <f t="shared" si="19"/>
        <v>8.8071999999999994E-3</v>
      </c>
      <c r="F29">
        <f t="shared" si="21"/>
        <v>0.12042771838760874</v>
      </c>
    </row>
    <row r="30" spans="1:23">
      <c r="A30">
        <f t="shared" si="17"/>
        <v>3.52</v>
      </c>
      <c r="B30">
        <f t="shared" si="20"/>
        <v>0.255</v>
      </c>
      <c r="C30">
        <f t="shared" si="18"/>
        <v>0.12566370614359174</v>
      </c>
      <c r="E30">
        <f t="shared" si="19"/>
        <v>1.0302E-2</v>
      </c>
      <c r="F30">
        <f t="shared" si="21"/>
        <v>0.12566370614359174</v>
      </c>
    </row>
    <row r="31" spans="1:23">
      <c r="A31">
        <f t="shared" si="17"/>
        <v>4.08</v>
      </c>
      <c r="B31">
        <f t="shared" si="20"/>
        <v>0.29400000000000004</v>
      </c>
      <c r="C31">
        <f t="shared" si="18"/>
        <v>0.143116998663535</v>
      </c>
      <c r="E31">
        <f t="shared" si="19"/>
        <v>1.18776E-2</v>
      </c>
      <c r="F31">
        <f t="shared" si="21"/>
        <v>0.143116998663535</v>
      </c>
    </row>
    <row r="32" spans="1:23">
      <c r="A32">
        <f t="shared" si="17"/>
        <v>4.49</v>
      </c>
      <c r="B32">
        <f t="shared" si="20"/>
        <v>0.32200000000000001</v>
      </c>
      <c r="C32">
        <f t="shared" si="18"/>
        <v>0.15358897417550102</v>
      </c>
      <c r="E32">
        <f t="shared" si="19"/>
        <v>1.3008799999999999E-2</v>
      </c>
      <c r="F32">
        <f t="shared" si="21"/>
        <v>0.15358897417550102</v>
      </c>
    </row>
    <row r="33" spans="1:8">
      <c r="A33">
        <f t="shared" si="17"/>
        <v>5.0199999999999996</v>
      </c>
      <c r="B33">
        <f t="shared" si="20"/>
        <v>0.35900000000000004</v>
      </c>
      <c r="C33">
        <f t="shared" si="18"/>
        <v>0.16929693744344995</v>
      </c>
      <c r="E33">
        <f t="shared" si="19"/>
        <v>1.4503600000000002E-2</v>
      </c>
      <c r="F33">
        <f t="shared" si="21"/>
        <v>0.16929693744344995</v>
      </c>
    </row>
    <row r="34" spans="1:8">
      <c r="A34">
        <f t="shared" si="17"/>
        <v>5.52</v>
      </c>
      <c r="B34">
        <f t="shared" si="20"/>
        <v>0.39300000000000002</v>
      </c>
      <c r="C34">
        <f t="shared" si="18"/>
        <v>0.17627825445142728</v>
      </c>
      <c r="E34">
        <f t="shared" si="19"/>
        <v>1.5877200000000001E-2</v>
      </c>
      <c r="F34">
        <f t="shared" si="21"/>
        <v>0.17627825445142728</v>
      </c>
    </row>
    <row r="35" spans="1:8">
      <c r="A35">
        <f t="shared" si="17"/>
        <v>6</v>
      </c>
      <c r="B35">
        <f t="shared" si="20"/>
        <v>0.42600000000000005</v>
      </c>
      <c r="C35">
        <f t="shared" si="18"/>
        <v>0.19024088846738194</v>
      </c>
      <c r="E35">
        <f t="shared" si="19"/>
        <v>1.7210400000000001E-2</v>
      </c>
      <c r="F35">
        <f t="shared" si="21"/>
        <v>0.19024088846738194</v>
      </c>
    </row>
    <row r="36" spans="1:8">
      <c r="A36">
        <f t="shared" si="17"/>
        <v>6.51</v>
      </c>
      <c r="B36">
        <f t="shared" si="20"/>
        <v>0.46100000000000002</v>
      </c>
      <c r="C36">
        <f t="shared" si="18"/>
        <v>0.20245819323134223</v>
      </c>
      <c r="E36">
        <f t="shared" si="19"/>
        <v>1.8624399999999999E-2</v>
      </c>
      <c r="F36">
        <f t="shared" si="21"/>
        <v>0.20245819323134223</v>
      </c>
    </row>
    <row r="37" spans="1:8">
      <c r="A37">
        <f t="shared" si="17"/>
        <v>7.01</v>
      </c>
      <c r="B37">
        <f t="shared" si="20"/>
        <v>0.49400000000000005</v>
      </c>
      <c r="C37">
        <f t="shared" si="18"/>
        <v>0.20943951023931956</v>
      </c>
      <c r="E37">
        <f t="shared" si="19"/>
        <v>1.9957600000000002E-2</v>
      </c>
      <c r="F37">
        <f t="shared" si="21"/>
        <v>0.20943951023931956</v>
      </c>
    </row>
    <row r="38" spans="1:8">
      <c r="A38">
        <f t="shared" si="17"/>
        <v>7.34</v>
      </c>
      <c r="B38">
        <f t="shared" si="20"/>
        <v>0.51800000000000002</v>
      </c>
      <c r="C38">
        <f t="shared" si="18"/>
        <v>0.21991148575128552</v>
      </c>
      <c r="E38">
        <f t="shared" si="19"/>
        <v>2.09272E-2</v>
      </c>
      <c r="F38">
        <f t="shared" si="21"/>
        <v>0.21991148575128552</v>
      </c>
    </row>
    <row r="42" spans="1:8">
      <c r="A42" s="4" t="s">
        <v>46</v>
      </c>
      <c r="B42" s="4" t="s">
        <v>50</v>
      </c>
      <c r="C42" s="4" t="s">
        <v>51</v>
      </c>
      <c r="D42" s="4" t="s">
        <v>50</v>
      </c>
      <c r="E42" s="4" t="s">
        <v>52</v>
      </c>
      <c r="F42" s="4" t="s">
        <v>50</v>
      </c>
      <c r="G42" s="4" t="s">
        <v>53</v>
      </c>
      <c r="H42" s="4" t="s">
        <v>50</v>
      </c>
    </row>
    <row r="43" spans="1:8">
      <c r="A43" s="4">
        <f>L3</f>
        <v>1.17</v>
      </c>
      <c r="B43" s="4">
        <f>N3</f>
        <v>0.90470085470085482</v>
      </c>
      <c r="C43" s="5">
        <f>P3</f>
        <v>8.900000000000001E-2</v>
      </c>
      <c r="D43" s="4">
        <f>R3</f>
        <v>0.93707865168539317</v>
      </c>
      <c r="E43" s="4">
        <f>J3</f>
        <v>5.4105206811824215E-2</v>
      </c>
      <c r="F43" s="4">
        <f>K3</f>
        <v>22.809896167307986</v>
      </c>
      <c r="G43">
        <f>S3</f>
        <v>15.047615644627937</v>
      </c>
      <c r="H43">
        <f>F43+D43+B43</f>
        <v>24.651675673694236</v>
      </c>
    </row>
    <row r="44" spans="1:8">
      <c r="A44" s="4">
        <f t="shared" ref="A44:A56" si="22">L4</f>
        <v>1.5</v>
      </c>
      <c r="B44" s="4">
        <f t="shared" ref="B44:B56" si="23">N4</f>
        <v>0.71666666666666679</v>
      </c>
      <c r="C44" s="5">
        <f t="shared" ref="C44:C56" si="24">P4</f>
        <v>0.113</v>
      </c>
      <c r="D44" s="4">
        <f t="shared" ref="D44:D56" si="25">R4</f>
        <v>0.86548672566371698</v>
      </c>
      <c r="E44" s="4">
        <f t="shared" ref="E44:E56" si="26">J4</f>
        <v>6.806784082777885E-2</v>
      </c>
      <c r="F44" s="4">
        <f t="shared" ref="F44:F56" si="27">K4</f>
        <v>18.130943107347374</v>
      </c>
      <c r="G44">
        <f t="shared" ref="G44:G56" si="28">S4</f>
        <v>14.910155267628767</v>
      </c>
      <c r="H44">
        <f t="shared" ref="H44:H56" si="29">F44+D44+B44</f>
        <v>19.713096499677761</v>
      </c>
    </row>
    <row r="45" spans="1:8">
      <c r="A45" s="4">
        <f t="shared" si="22"/>
        <v>2.04</v>
      </c>
      <c r="B45" s="4">
        <f t="shared" si="23"/>
        <v>0.54019607843137263</v>
      </c>
      <c r="C45" s="5">
        <f t="shared" si="24"/>
        <v>0.151</v>
      </c>
      <c r="D45" s="4">
        <f t="shared" si="25"/>
        <v>0.79867549668874183</v>
      </c>
      <c r="E45" s="4">
        <f t="shared" si="26"/>
        <v>8.5521133347722156E-2</v>
      </c>
      <c r="F45" s="4">
        <f t="shared" si="27"/>
        <v>14.430750636460154</v>
      </c>
      <c r="G45">
        <f t="shared" si="28"/>
        <v>14.018938651190441</v>
      </c>
      <c r="H45">
        <f t="shared" si="29"/>
        <v>15.769622211580268</v>
      </c>
    </row>
    <row r="46" spans="1:8">
      <c r="A46" s="4">
        <f t="shared" si="22"/>
        <v>2.5299999999999998</v>
      </c>
      <c r="B46" s="4">
        <f t="shared" si="23"/>
        <v>0.44525691699604752</v>
      </c>
      <c r="C46" s="5">
        <f t="shared" si="24"/>
        <v>0.185</v>
      </c>
      <c r="D46" s="4">
        <f t="shared" si="25"/>
        <v>0.76216216216216215</v>
      </c>
      <c r="E46" s="4">
        <f t="shared" si="26"/>
        <v>9.9483767363676784E-2</v>
      </c>
      <c r="F46" s="4">
        <f t="shared" si="27"/>
        <v>12.405382126079783</v>
      </c>
      <c r="G46">
        <f t="shared" si="28"/>
        <v>13.310645887567137</v>
      </c>
      <c r="H46">
        <f t="shared" si="29"/>
        <v>13.612801205237993</v>
      </c>
    </row>
    <row r="47" spans="1:8">
      <c r="A47" s="4">
        <f t="shared" si="22"/>
        <v>2.96</v>
      </c>
      <c r="B47" s="4">
        <f t="shared" si="23"/>
        <v>0.38783783783783787</v>
      </c>
      <c r="C47" s="5">
        <f t="shared" si="24"/>
        <v>0.218</v>
      </c>
      <c r="D47" s="4">
        <f t="shared" si="25"/>
        <v>0.7376146788990825</v>
      </c>
      <c r="E47" s="4">
        <f t="shared" si="26"/>
        <v>0.12042771838760874</v>
      </c>
      <c r="F47" s="4">
        <f t="shared" si="27"/>
        <v>10.247924365022428</v>
      </c>
      <c r="G47">
        <f t="shared" si="28"/>
        <v>13.673780360115446</v>
      </c>
      <c r="H47">
        <f t="shared" si="29"/>
        <v>11.373376881759347</v>
      </c>
    </row>
    <row r="48" spans="1:8">
      <c r="A48" s="4">
        <f t="shared" si="22"/>
        <v>3.52</v>
      </c>
      <c r="B48" s="4">
        <f t="shared" si="23"/>
        <v>0.33409090909090911</v>
      </c>
      <c r="C48" s="5">
        <f t="shared" si="24"/>
        <v>0.255</v>
      </c>
      <c r="D48" s="4">
        <f t="shared" si="25"/>
        <v>0.71764705882352942</v>
      </c>
      <c r="E48" s="4">
        <f t="shared" si="26"/>
        <v>0.12566370614359174</v>
      </c>
      <c r="F48" s="4">
        <f t="shared" si="27"/>
        <v>9.8209275164798271</v>
      </c>
      <c r="G48">
        <f t="shared" si="28"/>
        <v>12.197991277770504</v>
      </c>
      <c r="H48">
        <f t="shared" si="29"/>
        <v>10.872665484394265</v>
      </c>
    </row>
    <row r="49" spans="1:8">
      <c r="A49" s="4">
        <f t="shared" si="22"/>
        <v>4.08</v>
      </c>
      <c r="B49" s="4">
        <f t="shared" si="23"/>
        <v>0.29509803921568628</v>
      </c>
      <c r="C49" s="5">
        <f t="shared" si="24"/>
        <v>0.29400000000000004</v>
      </c>
      <c r="D49" s="4">
        <f t="shared" si="25"/>
        <v>0.70204081632653059</v>
      </c>
      <c r="E49" s="4">
        <f t="shared" si="26"/>
        <v>0.143116998663535</v>
      </c>
      <c r="F49" s="4">
        <f t="shared" si="27"/>
        <v>8.6232534291042402</v>
      </c>
      <c r="G49">
        <f t="shared" si="28"/>
        <v>12.04931961537137</v>
      </c>
      <c r="H49">
        <f t="shared" si="29"/>
        <v>9.6203922846464565</v>
      </c>
    </row>
    <row r="50" spans="1:8">
      <c r="A50" s="4">
        <f t="shared" si="22"/>
        <v>4.49</v>
      </c>
      <c r="B50" s="4">
        <f t="shared" si="23"/>
        <v>0.27271714922048995</v>
      </c>
      <c r="C50" s="5">
        <f t="shared" si="24"/>
        <v>0.32200000000000001</v>
      </c>
      <c r="D50" s="4">
        <f t="shared" si="25"/>
        <v>0.69316770186335408</v>
      </c>
      <c r="E50" s="4">
        <f t="shared" si="26"/>
        <v>0.15358897417550102</v>
      </c>
      <c r="F50" s="4">
        <f t="shared" si="27"/>
        <v>8.0353043316653139</v>
      </c>
      <c r="G50">
        <f t="shared" si="28"/>
        <v>11.806544352707478</v>
      </c>
      <c r="H50">
        <f t="shared" si="29"/>
        <v>9.0011891827491581</v>
      </c>
    </row>
    <row r="51" spans="1:8">
      <c r="A51" s="4">
        <f t="shared" si="22"/>
        <v>5.0199999999999996</v>
      </c>
      <c r="B51" s="4">
        <f t="shared" si="23"/>
        <v>0.24920318725099605</v>
      </c>
      <c r="C51" s="5">
        <f t="shared" si="24"/>
        <v>0.35900000000000004</v>
      </c>
      <c r="D51" s="4">
        <f t="shared" si="25"/>
        <v>0.6835654596100279</v>
      </c>
      <c r="E51" s="4">
        <f t="shared" si="26"/>
        <v>0.16929693744344995</v>
      </c>
      <c r="F51" s="4">
        <f t="shared" si="27"/>
        <v>7.2897606307891509</v>
      </c>
      <c r="G51">
        <f t="shared" si="28"/>
        <v>11.672752795405962</v>
      </c>
      <c r="H51">
        <f t="shared" si="29"/>
        <v>8.2225292776501746</v>
      </c>
    </row>
    <row r="52" spans="1:8">
      <c r="A52" s="4">
        <f t="shared" si="22"/>
        <v>5.52</v>
      </c>
      <c r="B52" s="4">
        <f t="shared" si="23"/>
        <v>0.23115942028985509</v>
      </c>
      <c r="C52" s="5">
        <f t="shared" si="24"/>
        <v>0.39300000000000002</v>
      </c>
      <c r="D52" s="4">
        <f t="shared" si="25"/>
        <v>0.6763358778625953</v>
      </c>
      <c r="E52" s="4">
        <f t="shared" si="26"/>
        <v>0.17627825445142728</v>
      </c>
      <c r="F52" s="4">
        <f t="shared" si="27"/>
        <v>7.001057239470768</v>
      </c>
      <c r="G52">
        <f t="shared" si="28"/>
        <v>11.102603384187846</v>
      </c>
      <c r="H52">
        <f t="shared" si="29"/>
        <v>7.9085525376232182</v>
      </c>
    </row>
    <row r="53" spans="1:8">
      <c r="A53" s="4">
        <f t="shared" si="22"/>
        <v>6</v>
      </c>
      <c r="B53" s="4">
        <f t="shared" si="23"/>
        <v>0.2166666666666667</v>
      </c>
      <c r="C53" s="5">
        <f t="shared" si="24"/>
        <v>0.42600000000000005</v>
      </c>
      <c r="D53" s="4">
        <f t="shared" si="25"/>
        <v>0.6704225352112676</v>
      </c>
      <c r="E53" s="4">
        <f t="shared" si="26"/>
        <v>0.19024088846738194</v>
      </c>
      <c r="F53" s="4">
        <f t="shared" si="27"/>
        <v>6.4872181760233723</v>
      </c>
      <c r="G53">
        <f t="shared" si="28"/>
        <v>11.05383305834739</v>
      </c>
      <c r="H53">
        <f t="shared" si="29"/>
        <v>7.3743073779013066</v>
      </c>
    </row>
    <row r="54" spans="1:8">
      <c r="A54" s="4">
        <f t="shared" si="22"/>
        <v>6.51</v>
      </c>
      <c r="B54" s="4">
        <f t="shared" si="23"/>
        <v>0.20360983102918587</v>
      </c>
      <c r="C54" s="5">
        <f t="shared" si="24"/>
        <v>0.46100000000000002</v>
      </c>
      <c r="D54" s="4">
        <f t="shared" si="25"/>
        <v>0.66507592190889375</v>
      </c>
      <c r="E54" s="4">
        <f t="shared" si="26"/>
        <v>0.20245819323134223</v>
      </c>
      <c r="F54" s="4">
        <f t="shared" si="27"/>
        <v>6.0957481136771348</v>
      </c>
      <c r="G54">
        <f t="shared" si="28"/>
        <v>10.870588756219918</v>
      </c>
      <c r="H54">
        <f t="shared" si="29"/>
        <v>6.9644338666152148</v>
      </c>
    </row>
    <row r="55" spans="1:8">
      <c r="A55" s="4">
        <f t="shared" si="22"/>
        <v>7.01</v>
      </c>
      <c r="B55" s="4">
        <f t="shared" si="23"/>
        <v>0.19265335235378031</v>
      </c>
      <c r="C55" s="5">
        <f t="shared" si="24"/>
        <v>0.49400000000000005</v>
      </c>
      <c r="D55" s="4">
        <f t="shared" si="25"/>
        <v>0.66072874493927125</v>
      </c>
      <c r="E55" s="4">
        <f t="shared" si="26"/>
        <v>0.20943951023931956</v>
      </c>
      <c r="F55" s="4">
        <f t="shared" si="27"/>
        <v>5.8925565098878963</v>
      </c>
      <c r="G55">
        <f t="shared" si="28"/>
        <v>10.494223265288388</v>
      </c>
      <c r="H55">
        <f t="shared" si="29"/>
        <v>6.7459386071809471</v>
      </c>
    </row>
    <row r="56" spans="1:8">
      <c r="A56" s="4">
        <f t="shared" si="22"/>
        <v>7.34</v>
      </c>
      <c r="B56" s="4">
        <f t="shared" si="23"/>
        <v>0.18623978201634878</v>
      </c>
      <c r="C56" s="5">
        <f t="shared" si="24"/>
        <v>0.51800000000000002</v>
      </c>
      <c r="D56" s="4">
        <f t="shared" si="25"/>
        <v>0.65791505791505789</v>
      </c>
      <c r="E56" s="4">
        <f t="shared" si="26"/>
        <v>0.21991148575128552</v>
      </c>
      <c r="F56" s="4">
        <f t="shared" si="27"/>
        <v>5.6119585808456156</v>
      </c>
      <c r="G56">
        <f t="shared" si="28"/>
        <v>10.508404648079319</v>
      </c>
      <c r="H56">
        <f t="shared" si="29"/>
        <v>6.4561134207770223</v>
      </c>
    </row>
    <row r="57" spans="1:8">
      <c r="A57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EB15-C86A-4A45-8B6C-77193BC45EA8}">
  <dimension ref="A1:X56"/>
  <sheetViews>
    <sheetView topLeftCell="G19" zoomScale="110" zoomScaleNormal="110" workbookViewId="0">
      <selection activeCell="A40" sqref="A40:H54"/>
    </sheetView>
  </sheetViews>
  <sheetFormatPr defaultColWidth="11.42578125" defaultRowHeight="15"/>
  <cols>
    <col min="1" max="1" width="15.42578125" customWidth="1"/>
    <col min="2" max="2" width="16.7109375" customWidth="1"/>
    <col min="3" max="3" width="21" customWidth="1"/>
    <col min="4" max="4" width="19.5703125" customWidth="1"/>
    <col min="5" max="5" width="22.140625" customWidth="1"/>
    <col min="6" max="6" width="20.14062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20" width="18.5703125" customWidth="1"/>
    <col min="21" max="21" width="16.85546875" customWidth="1"/>
    <col min="22" max="22" width="18.5703125" customWidth="1"/>
    <col min="23" max="23" width="17.85546875" customWidth="1"/>
    <col min="24" max="24" width="17.42578125" customWidth="1"/>
    <col min="25" max="25" width="11.85546875" customWidth="1"/>
    <col min="26" max="26" width="16.7109375" customWidth="1"/>
  </cols>
  <sheetData>
    <row r="1" spans="1:24">
      <c r="A1" t="s">
        <v>0</v>
      </c>
      <c r="B1" t="s">
        <v>54</v>
      </c>
      <c r="C1">
        <v>2</v>
      </c>
      <c r="D1" t="s">
        <v>30</v>
      </c>
      <c r="E1">
        <v>182</v>
      </c>
    </row>
    <row r="2" spans="1:2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15</v>
      </c>
      <c r="T2" t="s">
        <v>8</v>
      </c>
      <c r="U2" t="s">
        <v>8</v>
      </c>
      <c r="V2" t="s">
        <v>11</v>
      </c>
      <c r="W2" t="s">
        <v>31</v>
      </c>
      <c r="X2" t="s">
        <v>23</v>
      </c>
    </row>
    <row r="3" spans="1:24">
      <c r="A3">
        <v>3.05</v>
      </c>
      <c r="B3">
        <f>$A$3/100</f>
        <v>3.0499999999999999E-2</v>
      </c>
      <c r="C3">
        <v>4</v>
      </c>
      <c r="D3" s="1">
        <v>1.5</v>
      </c>
      <c r="E3">
        <v>1</v>
      </c>
      <c r="F3">
        <f>$E$3/2</f>
        <v>0.5</v>
      </c>
      <c r="G3">
        <f>ABS(D3-C3)</f>
        <v>2.5</v>
      </c>
      <c r="H3">
        <f>G3*60</f>
        <v>150</v>
      </c>
      <c r="I3">
        <f>SQRT(2)*F3</f>
        <v>0.70710678118654757</v>
      </c>
      <c r="J3">
        <f t="shared" ref="J3:J16" si="0">RADIANS(G3)</f>
        <v>4.3633231299858237E-2</v>
      </c>
      <c r="K3">
        <f>I3/G3 * 100</f>
        <v>28.284271247461902</v>
      </c>
      <c r="L3">
        <v>1.1499999999999999</v>
      </c>
      <c r="M3">
        <f xml:space="preserve"> (0.05*L3/100) + 0.01</f>
        <v>1.0575000000000001E-2</v>
      </c>
      <c r="N3">
        <f xml:space="preserve"> M3/L3*100</f>
        <v>0.91956521739130459</v>
      </c>
      <c r="O3" s="3">
        <v>870</v>
      </c>
      <c r="P3">
        <f>O3*0.0001</f>
        <v>8.7000000000000008E-2</v>
      </c>
      <c r="Q3">
        <f t="shared" ref="Q3:Q16" si="1">(O3*0.6/100)+3</f>
        <v>8.2199999999999989</v>
      </c>
      <c r="R3">
        <f t="shared" ref="R3:R16" si="2">Q3/O3 * 100</f>
        <v>0.94482758620689644</v>
      </c>
      <c r="S3">
        <f t="shared" ref="S3:S16" si="3">J3/(P3*B3)</f>
        <v>16.443652270532592</v>
      </c>
      <c r="T3">
        <f>R3+N3+K3</f>
        <v>30.148664051060102</v>
      </c>
      <c r="U3">
        <f>$S$18/SQRT(14)</f>
        <v>0.44721504105880361</v>
      </c>
      <c r="V3">
        <f>U3/$S$17*100</f>
        <v>3.009864601926266</v>
      </c>
      <c r="W3">
        <v>13.54</v>
      </c>
      <c r="X3">
        <f>ABS(W3-S3)/W3*100</f>
        <v>21.444994612500686</v>
      </c>
    </row>
    <row r="4" spans="1:24">
      <c r="A4">
        <v>3.05</v>
      </c>
      <c r="B4">
        <f t="shared" ref="B4:B16" si="4">$A$3/100</f>
        <v>3.0499999999999999E-2</v>
      </c>
      <c r="C4">
        <v>4</v>
      </c>
      <c r="D4">
        <v>0.7</v>
      </c>
      <c r="E4">
        <v>1</v>
      </c>
      <c r="F4">
        <f t="shared" ref="F4:F16" si="5">$E$3/2</f>
        <v>0.5</v>
      </c>
      <c r="G4">
        <f t="shared" ref="G4:G16" si="6">ABS(D4-C4)</f>
        <v>3.3</v>
      </c>
      <c r="H4">
        <f t="shared" ref="H4:H16" si="7">G4*60</f>
        <v>198</v>
      </c>
      <c r="I4">
        <f t="shared" ref="I4:I16" si="8">SQRT(2)*F4</f>
        <v>0.70710678118654757</v>
      </c>
      <c r="J4">
        <f t="shared" si="0"/>
        <v>5.7595865315812872E-2</v>
      </c>
      <c r="K4">
        <f t="shared" ref="K4:K16" si="9">I4/G4 * 100</f>
        <v>21.427478217774169</v>
      </c>
      <c r="L4">
        <v>1.5</v>
      </c>
      <c r="M4">
        <f t="shared" ref="M4:M16" si="10" xml:space="preserve"> (0.05*L4/100) + 0.01</f>
        <v>1.0750000000000001E-2</v>
      </c>
      <c r="N4">
        <f t="shared" ref="N4:N16" si="11" xml:space="preserve"> M4/L4*100</f>
        <v>0.71666666666666679</v>
      </c>
      <c r="O4" s="3">
        <v>1130</v>
      </c>
      <c r="P4">
        <f t="shared" ref="P4:P16" si="12">O4*0.0001</f>
        <v>0.113</v>
      </c>
      <c r="Q4">
        <f t="shared" si="1"/>
        <v>9.7800000000000011</v>
      </c>
      <c r="R4">
        <f t="shared" si="2"/>
        <v>0.86548672566371698</v>
      </c>
      <c r="S4">
        <f t="shared" si="3"/>
        <v>16.711407316353654</v>
      </c>
      <c r="T4">
        <f t="shared" ref="T4:T16" si="13">R4+N4+K4</f>
        <v>23.009631610104552</v>
      </c>
      <c r="U4">
        <f t="shared" ref="U4:U16" si="14">$S$18/SQRT(14)</f>
        <v>0.44721504105880361</v>
      </c>
      <c r="V4">
        <f t="shared" ref="V4:V16" si="15">U4/$S$17*100</f>
        <v>3.009864601926266</v>
      </c>
      <c r="W4">
        <v>13.54</v>
      </c>
      <c r="X4">
        <f t="shared" ref="X4:X16" si="16">ABS(W4-S4)/W4*100</f>
        <v>23.422506029199813</v>
      </c>
    </row>
    <row r="5" spans="1:24">
      <c r="A5">
        <v>3.05</v>
      </c>
      <c r="B5">
        <f t="shared" si="4"/>
        <v>3.0499999999999999E-2</v>
      </c>
      <c r="C5">
        <v>4</v>
      </c>
      <c r="D5">
        <v>-0.3</v>
      </c>
      <c r="E5">
        <v>1</v>
      </c>
      <c r="F5">
        <f t="shared" si="5"/>
        <v>0.5</v>
      </c>
      <c r="G5">
        <f t="shared" si="6"/>
        <v>4.3</v>
      </c>
      <c r="H5">
        <f t="shared" si="7"/>
        <v>258</v>
      </c>
      <c r="I5">
        <f t="shared" si="8"/>
        <v>0.70710678118654757</v>
      </c>
      <c r="J5">
        <f t="shared" si="0"/>
        <v>7.5049157835756164E-2</v>
      </c>
      <c r="K5">
        <f t="shared" si="9"/>
        <v>16.444343748524361</v>
      </c>
      <c r="L5">
        <v>1.99</v>
      </c>
      <c r="M5">
        <f t="shared" si="10"/>
        <v>1.0995E-2</v>
      </c>
      <c r="N5">
        <f t="shared" si="11"/>
        <v>0.55251256281407035</v>
      </c>
      <c r="O5" s="3">
        <v>1470</v>
      </c>
      <c r="P5">
        <f t="shared" si="12"/>
        <v>0.14700000000000002</v>
      </c>
      <c r="Q5">
        <f t="shared" si="1"/>
        <v>11.82</v>
      </c>
      <c r="R5">
        <f t="shared" si="2"/>
        <v>0.80408163265306121</v>
      </c>
      <c r="S5">
        <f t="shared" si="3"/>
        <v>16.738966841921748</v>
      </c>
      <c r="T5">
        <f t="shared" si="13"/>
        <v>17.800937943991492</v>
      </c>
      <c r="U5">
        <f t="shared" si="14"/>
        <v>0.44721504105880361</v>
      </c>
      <c r="V5">
        <f t="shared" si="15"/>
        <v>3.009864601926266</v>
      </c>
      <c r="W5">
        <v>13.54</v>
      </c>
      <c r="X5">
        <f t="shared" si="16"/>
        <v>23.62604757697008</v>
      </c>
    </row>
    <row r="6" spans="1:24">
      <c r="A6">
        <v>3.05</v>
      </c>
      <c r="B6">
        <f t="shared" si="4"/>
        <v>3.0499999999999999E-2</v>
      </c>
      <c r="C6">
        <v>4</v>
      </c>
      <c r="D6">
        <v>-1.1000000000000001</v>
      </c>
      <c r="E6">
        <v>1</v>
      </c>
      <c r="F6">
        <f t="shared" si="5"/>
        <v>0.5</v>
      </c>
      <c r="G6">
        <f t="shared" si="6"/>
        <v>5.0999999999999996</v>
      </c>
      <c r="H6">
        <f t="shared" si="7"/>
        <v>306</v>
      </c>
      <c r="I6">
        <f t="shared" si="8"/>
        <v>0.70710678118654757</v>
      </c>
      <c r="J6">
        <f t="shared" si="0"/>
        <v>8.9011791851710806E-2</v>
      </c>
      <c r="K6">
        <f t="shared" si="9"/>
        <v>13.864838846795053</v>
      </c>
      <c r="L6">
        <v>2.5299999999999998</v>
      </c>
      <c r="M6">
        <f t="shared" si="10"/>
        <v>1.1265000000000001E-2</v>
      </c>
      <c r="N6">
        <f t="shared" si="11"/>
        <v>0.44525691699604752</v>
      </c>
      <c r="O6" s="3">
        <v>1860</v>
      </c>
      <c r="P6">
        <f t="shared" si="12"/>
        <v>0.186</v>
      </c>
      <c r="Q6">
        <f t="shared" si="1"/>
        <v>14.16</v>
      </c>
      <c r="R6">
        <f t="shared" si="2"/>
        <v>0.76129032258064511</v>
      </c>
      <c r="S6">
        <f t="shared" si="3"/>
        <v>15.690426908463037</v>
      </c>
      <c r="T6">
        <f t="shared" si="13"/>
        <v>15.071386086371746</v>
      </c>
      <c r="U6">
        <f t="shared" si="14"/>
        <v>0.44721504105880361</v>
      </c>
      <c r="V6">
        <f t="shared" si="15"/>
        <v>3.009864601926266</v>
      </c>
      <c r="W6">
        <v>13.54</v>
      </c>
      <c r="X6">
        <f t="shared" si="16"/>
        <v>15.882030343153897</v>
      </c>
    </row>
    <row r="7" spans="1:24">
      <c r="A7">
        <v>3.05</v>
      </c>
      <c r="B7">
        <f t="shared" si="4"/>
        <v>3.0499999999999999E-2</v>
      </c>
      <c r="C7">
        <v>4</v>
      </c>
      <c r="D7">
        <v>-2.4</v>
      </c>
      <c r="E7">
        <v>1</v>
      </c>
      <c r="F7">
        <f t="shared" si="5"/>
        <v>0.5</v>
      </c>
      <c r="G7">
        <f t="shared" si="6"/>
        <v>6.4</v>
      </c>
      <c r="H7">
        <f t="shared" si="7"/>
        <v>384</v>
      </c>
      <c r="I7">
        <f t="shared" si="8"/>
        <v>0.70710678118654757</v>
      </c>
      <c r="J7">
        <f t="shared" si="0"/>
        <v>0.11170107212763709</v>
      </c>
      <c r="K7">
        <f t="shared" si="9"/>
        <v>11.048543456039805</v>
      </c>
      <c r="L7">
        <v>3.05</v>
      </c>
      <c r="M7">
        <f t="shared" si="10"/>
        <v>1.1525000000000001E-2</v>
      </c>
      <c r="N7">
        <f t="shared" si="11"/>
        <v>0.37786885245901641</v>
      </c>
      <c r="O7" s="3">
        <v>2220</v>
      </c>
      <c r="P7">
        <f t="shared" si="12"/>
        <v>0.222</v>
      </c>
      <c r="Q7">
        <f t="shared" si="1"/>
        <v>16.32</v>
      </c>
      <c r="R7">
        <f t="shared" si="2"/>
        <v>0.73513513513513518</v>
      </c>
      <c r="S7">
        <f t="shared" si="3"/>
        <v>16.49698303465324</v>
      </c>
      <c r="T7">
        <f t="shared" si="13"/>
        <v>12.161547443633957</v>
      </c>
      <c r="U7">
        <f t="shared" si="14"/>
        <v>0.44721504105880361</v>
      </c>
      <c r="V7">
        <f t="shared" si="15"/>
        <v>3.009864601926266</v>
      </c>
      <c r="W7">
        <v>13.54</v>
      </c>
      <c r="X7">
        <f t="shared" si="16"/>
        <v>21.83887027070341</v>
      </c>
    </row>
    <row r="8" spans="1:24">
      <c r="A8">
        <v>3.05</v>
      </c>
      <c r="B8">
        <f t="shared" si="4"/>
        <v>3.0499999999999999E-2</v>
      </c>
      <c r="C8">
        <v>4</v>
      </c>
      <c r="D8">
        <v>-3.3</v>
      </c>
      <c r="E8">
        <v>1</v>
      </c>
      <c r="F8">
        <f t="shared" si="5"/>
        <v>0.5</v>
      </c>
      <c r="G8">
        <f t="shared" si="6"/>
        <v>7.3</v>
      </c>
      <c r="H8">
        <f t="shared" si="7"/>
        <v>438</v>
      </c>
      <c r="I8">
        <f t="shared" si="8"/>
        <v>0.70710678118654757</v>
      </c>
      <c r="J8">
        <f t="shared" si="0"/>
        <v>0.12740903539558607</v>
      </c>
      <c r="K8">
        <f t="shared" si="9"/>
        <v>9.6863942628294186</v>
      </c>
      <c r="L8">
        <v>3.49</v>
      </c>
      <c r="M8">
        <f t="shared" si="10"/>
        <v>1.1745E-2</v>
      </c>
      <c r="N8">
        <f t="shared" si="11"/>
        <v>0.33653295128939825</v>
      </c>
      <c r="O8" s="3">
        <v>2530</v>
      </c>
      <c r="P8">
        <f t="shared" si="12"/>
        <v>0.253</v>
      </c>
      <c r="Q8">
        <f t="shared" si="1"/>
        <v>18.18</v>
      </c>
      <c r="R8">
        <f t="shared" si="2"/>
        <v>0.7185770750988143</v>
      </c>
      <c r="S8">
        <f t="shared" si="3"/>
        <v>16.511246730458893</v>
      </c>
      <c r="T8">
        <f t="shared" si="13"/>
        <v>10.74150428921763</v>
      </c>
      <c r="U8">
        <f t="shared" si="14"/>
        <v>0.44721504105880361</v>
      </c>
      <c r="V8">
        <f t="shared" si="15"/>
        <v>3.009864601926266</v>
      </c>
      <c r="W8">
        <v>13.54</v>
      </c>
      <c r="X8">
        <f t="shared" si="16"/>
        <v>21.944215143714139</v>
      </c>
    </row>
    <row r="9" spans="1:24">
      <c r="A9">
        <v>3.05</v>
      </c>
      <c r="B9">
        <f t="shared" si="4"/>
        <v>3.0499999999999999E-2</v>
      </c>
      <c r="C9">
        <v>4</v>
      </c>
      <c r="D9">
        <v>-4.0999999999999996</v>
      </c>
      <c r="E9">
        <v>1</v>
      </c>
      <c r="F9">
        <f t="shared" si="5"/>
        <v>0.5</v>
      </c>
      <c r="G9">
        <f t="shared" si="6"/>
        <v>8.1</v>
      </c>
      <c r="H9">
        <f t="shared" si="7"/>
        <v>486</v>
      </c>
      <c r="I9">
        <f t="shared" si="8"/>
        <v>0.70710678118654757</v>
      </c>
      <c r="J9">
        <f t="shared" si="0"/>
        <v>0.1413716694115407</v>
      </c>
      <c r="K9">
        <f t="shared" si="9"/>
        <v>8.7297133479820701</v>
      </c>
      <c r="L9">
        <v>4.07</v>
      </c>
      <c r="M9">
        <f t="shared" si="10"/>
        <v>1.2035000000000001E-2</v>
      </c>
      <c r="N9">
        <f t="shared" si="11"/>
        <v>0.29570024570024567</v>
      </c>
      <c r="O9" s="3">
        <v>2930</v>
      </c>
      <c r="P9">
        <f t="shared" si="12"/>
        <v>0.29300000000000004</v>
      </c>
      <c r="Q9">
        <f t="shared" si="1"/>
        <v>20.58</v>
      </c>
      <c r="R9">
        <f t="shared" si="2"/>
        <v>0.70238907849829346</v>
      </c>
      <c r="S9">
        <f t="shared" si="3"/>
        <v>15.819579187773812</v>
      </c>
      <c r="T9">
        <f t="shared" si="13"/>
        <v>9.7278026721806086</v>
      </c>
      <c r="U9">
        <f t="shared" si="14"/>
        <v>0.44721504105880361</v>
      </c>
      <c r="V9">
        <f t="shared" si="15"/>
        <v>3.009864601926266</v>
      </c>
      <c r="W9">
        <v>13.54</v>
      </c>
      <c r="X9">
        <f t="shared" si="16"/>
        <v>16.835887649732737</v>
      </c>
    </row>
    <row r="10" spans="1:24">
      <c r="A10">
        <v>3.05</v>
      </c>
      <c r="B10">
        <f t="shared" si="4"/>
        <v>3.0499999999999999E-2</v>
      </c>
      <c r="C10">
        <v>4</v>
      </c>
      <c r="D10">
        <v>-4.5999999999999996</v>
      </c>
      <c r="E10">
        <v>1</v>
      </c>
      <c r="F10">
        <f t="shared" si="5"/>
        <v>0.5</v>
      </c>
      <c r="G10">
        <f t="shared" si="6"/>
        <v>8.6</v>
      </c>
      <c r="H10">
        <f t="shared" si="7"/>
        <v>516</v>
      </c>
      <c r="I10">
        <f t="shared" si="8"/>
        <v>0.70710678118654757</v>
      </c>
      <c r="J10">
        <f t="shared" si="0"/>
        <v>0.15009831567151233</v>
      </c>
      <c r="K10">
        <f t="shared" si="9"/>
        <v>8.2221718742621803</v>
      </c>
      <c r="L10">
        <v>4.53</v>
      </c>
      <c r="M10">
        <f t="shared" si="10"/>
        <v>1.2265000000000002E-2</v>
      </c>
      <c r="N10">
        <f t="shared" si="11"/>
        <v>0.2707505518763797</v>
      </c>
      <c r="O10" s="3">
        <v>3260</v>
      </c>
      <c r="P10">
        <f t="shared" si="12"/>
        <v>0.32600000000000001</v>
      </c>
      <c r="Q10">
        <f t="shared" si="1"/>
        <v>22.56</v>
      </c>
      <c r="R10">
        <f t="shared" si="2"/>
        <v>0.69202453987730062</v>
      </c>
      <c r="S10">
        <f t="shared" si="3"/>
        <v>15.095878072162559</v>
      </c>
      <c r="T10">
        <f t="shared" si="13"/>
        <v>9.1849469660158611</v>
      </c>
      <c r="U10">
        <f t="shared" si="14"/>
        <v>0.44721504105880361</v>
      </c>
      <c r="V10">
        <f t="shared" si="15"/>
        <v>3.009864601926266</v>
      </c>
      <c r="W10">
        <v>13.54</v>
      </c>
      <c r="X10">
        <f t="shared" si="16"/>
        <v>11.490975422175483</v>
      </c>
    </row>
    <row r="11" spans="1:24">
      <c r="A11">
        <v>3.05</v>
      </c>
      <c r="B11">
        <f t="shared" si="4"/>
        <v>3.0499999999999999E-2</v>
      </c>
      <c r="C11">
        <v>4</v>
      </c>
      <c r="D11">
        <v>-5.0999999999999996</v>
      </c>
      <c r="E11">
        <v>1</v>
      </c>
      <c r="F11">
        <f t="shared" si="5"/>
        <v>0.5</v>
      </c>
      <c r="G11">
        <f t="shared" si="6"/>
        <v>9.1</v>
      </c>
      <c r="H11">
        <f t="shared" si="7"/>
        <v>546</v>
      </c>
      <c r="I11">
        <f t="shared" si="8"/>
        <v>0.70710678118654757</v>
      </c>
      <c r="J11">
        <f t="shared" si="0"/>
        <v>0.15882496193148399</v>
      </c>
      <c r="K11">
        <f t="shared" si="9"/>
        <v>7.7704041888631599</v>
      </c>
      <c r="L11">
        <v>5.04</v>
      </c>
      <c r="M11">
        <f t="shared" si="10"/>
        <v>1.252E-2</v>
      </c>
      <c r="N11">
        <f t="shared" si="11"/>
        <v>0.24841269841269839</v>
      </c>
      <c r="O11" s="3">
        <v>3600</v>
      </c>
      <c r="P11">
        <f t="shared" si="12"/>
        <v>0.36000000000000004</v>
      </c>
      <c r="Q11">
        <f t="shared" si="1"/>
        <v>24.6</v>
      </c>
      <c r="R11">
        <f t="shared" si="2"/>
        <v>0.68333333333333335</v>
      </c>
      <c r="S11">
        <f t="shared" si="3"/>
        <v>14.464932780645169</v>
      </c>
      <c r="T11">
        <f t="shared" si="13"/>
        <v>8.702150220609191</v>
      </c>
      <c r="U11">
        <f t="shared" si="14"/>
        <v>0.44721504105880361</v>
      </c>
      <c r="V11">
        <f t="shared" si="15"/>
        <v>3.009864601926266</v>
      </c>
      <c r="W11">
        <v>13.54</v>
      </c>
      <c r="X11">
        <f t="shared" si="16"/>
        <v>6.8311135941297634</v>
      </c>
    </row>
    <row r="12" spans="1:24">
      <c r="A12">
        <v>3.05</v>
      </c>
      <c r="B12">
        <f t="shared" si="4"/>
        <v>3.0499999999999999E-2</v>
      </c>
      <c r="C12">
        <v>4</v>
      </c>
      <c r="D12">
        <v>-5.3</v>
      </c>
      <c r="E12">
        <v>1</v>
      </c>
      <c r="F12">
        <f t="shared" si="5"/>
        <v>0.5</v>
      </c>
      <c r="G12">
        <f t="shared" si="6"/>
        <v>9.3000000000000007</v>
      </c>
      <c r="H12">
        <f t="shared" si="7"/>
        <v>558</v>
      </c>
      <c r="I12">
        <f t="shared" si="8"/>
        <v>0.70710678118654757</v>
      </c>
      <c r="J12">
        <f t="shared" si="0"/>
        <v>0.16231562043547265</v>
      </c>
      <c r="K12">
        <f t="shared" si="9"/>
        <v>7.6032987224359943</v>
      </c>
      <c r="L12">
        <v>5.5</v>
      </c>
      <c r="M12">
        <f t="shared" si="10"/>
        <v>1.2750000000000001E-2</v>
      </c>
      <c r="N12">
        <f t="shared" si="11"/>
        <v>0.23181818181818181</v>
      </c>
      <c r="O12" s="3">
        <v>3920</v>
      </c>
      <c r="P12">
        <f t="shared" si="12"/>
        <v>0.39200000000000002</v>
      </c>
      <c r="Q12">
        <f t="shared" si="1"/>
        <v>26.52</v>
      </c>
      <c r="R12">
        <f t="shared" si="2"/>
        <v>0.67653061224489797</v>
      </c>
      <c r="S12">
        <f t="shared" si="3"/>
        <v>13.576080665395839</v>
      </c>
      <c r="T12">
        <f t="shared" si="13"/>
        <v>8.5116475164990746</v>
      </c>
      <c r="U12">
        <f t="shared" si="14"/>
        <v>0.44721504105880361</v>
      </c>
      <c r="V12">
        <f t="shared" si="15"/>
        <v>3.009864601926266</v>
      </c>
      <c r="W12">
        <v>13.54</v>
      </c>
      <c r="X12">
        <f t="shared" si="16"/>
        <v>0.26647463364726642</v>
      </c>
    </row>
    <row r="13" spans="1:24">
      <c r="A13">
        <v>3.05</v>
      </c>
      <c r="B13">
        <f t="shared" si="4"/>
        <v>3.0499999999999999E-2</v>
      </c>
      <c r="C13">
        <v>4</v>
      </c>
      <c r="D13">
        <v>-5.9</v>
      </c>
      <c r="E13">
        <v>1</v>
      </c>
      <c r="F13">
        <f t="shared" si="5"/>
        <v>0.5</v>
      </c>
      <c r="G13">
        <f t="shared" si="6"/>
        <v>9.9</v>
      </c>
      <c r="H13">
        <f t="shared" si="7"/>
        <v>594</v>
      </c>
      <c r="I13">
        <f t="shared" si="8"/>
        <v>0.70710678118654757</v>
      </c>
      <c r="J13">
        <f t="shared" si="0"/>
        <v>0.17278759594743864</v>
      </c>
      <c r="K13">
        <f t="shared" si="9"/>
        <v>7.1424927392580564</v>
      </c>
      <c r="L13">
        <v>6.01</v>
      </c>
      <c r="M13">
        <f t="shared" si="10"/>
        <v>1.3004999999999999E-2</v>
      </c>
      <c r="N13">
        <f t="shared" si="11"/>
        <v>0.21638935108153076</v>
      </c>
      <c r="O13" s="3">
        <v>4250</v>
      </c>
      <c r="P13">
        <f t="shared" si="12"/>
        <v>0.42500000000000004</v>
      </c>
      <c r="Q13">
        <f t="shared" si="1"/>
        <v>28.5</v>
      </c>
      <c r="R13">
        <f t="shared" si="2"/>
        <v>0.6705882352941176</v>
      </c>
      <c r="S13">
        <f t="shared" si="3"/>
        <v>13.329804894691504</v>
      </c>
      <c r="T13">
        <f t="shared" si="13"/>
        <v>8.0294703256337048</v>
      </c>
      <c r="U13">
        <f t="shared" si="14"/>
        <v>0.44721504105880361</v>
      </c>
      <c r="V13">
        <f t="shared" si="15"/>
        <v>3.009864601926266</v>
      </c>
      <c r="W13">
        <v>13.54</v>
      </c>
      <c r="X13">
        <f t="shared" si="16"/>
        <v>1.5524010731794311</v>
      </c>
    </row>
    <row r="14" spans="1:24">
      <c r="A14">
        <v>3.05</v>
      </c>
      <c r="B14">
        <f t="shared" si="4"/>
        <v>3.0499999999999999E-2</v>
      </c>
      <c r="C14">
        <v>4</v>
      </c>
      <c r="D14">
        <v>-6.1</v>
      </c>
      <c r="E14">
        <v>1</v>
      </c>
      <c r="F14">
        <f t="shared" si="5"/>
        <v>0.5</v>
      </c>
      <c r="G14">
        <f t="shared" si="6"/>
        <v>10.1</v>
      </c>
      <c r="H14">
        <f t="shared" si="7"/>
        <v>606</v>
      </c>
      <c r="I14">
        <f t="shared" si="8"/>
        <v>0.70710678118654757</v>
      </c>
      <c r="J14">
        <f t="shared" si="0"/>
        <v>0.17627825445142728</v>
      </c>
      <c r="K14">
        <f t="shared" si="9"/>
        <v>7.001057239470768</v>
      </c>
      <c r="L14">
        <v>6.52</v>
      </c>
      <c r="M14">
        <f t="shared" si="10"/>
        <v>1.3260000000000001E-2</v>
      </c>
      <c r="N14">
        <f t="shared" si="11"/>
        <v>0.20337423312883438</v>
      </c>
      <c r="O14" s="3">
        <v>4600</v>
      </c>
      <c r="P14">
        <f t="shared" si="12"/>
        <v>0.46</v>
      </c>
      <c r="Q14">
        <f t="shared" si="1"/>
        <v>30.6</v>
      </c>
      <c r="R14">
        <f t="shared" si="2"/>
        <v>0.66521739130434787</v>
      </c>
      <c r="S14">
        <f t="shared" si="3"/>
        <v>12.564380217493035</v>
      </c>
      <c r="T14">
        <f t="shared" si="13"/>
        <v>7.8696488639039499</v>
      </c>
      <c r="U14">
        <f t="shared" si="14"/>
        <v>0.44721504105880361</v>
      </c>
      <c r="V14">
        <f t="shared" si="15"/>
        <v>3.009864601926266</v>
      </c>
      <c r="W14">
        <v>13.54</v>
      </c>
      <c r="X14">
        <f t="shared" si="16"/>
        <v>7.2054636817353339</v>
      </c>
    </row>
    <row r="15" spans="1:24">
      <c r="A15">
        <v>3.05</v>
      </c>
      <c r="B15">
        <f t="shared" si="4"/>
        <v>3.0499999999999999E-2</v>
      </c>
      <c r="C15">
        <v>4</v>
      </c>
      <c r="D15">
        <v>-6.6</v>
      </c>
      <c r="E15">
        <v>1</v>
      </c>
      <c r="F15">
        <f t="shared" si="5"/>
        <v>0.5</v>
      </c>
      <c r="G15">
        <f t="shared" si="6"/>
        <v>10.6</v>
      </c>
      <c r="H15">
        <f t="shared" si="7"/>
        <v>636</v>
      </c>
      <c r="I15">
        <f t="shared" si="8"/>
        <v>0.70710678118654757</v>
      </c>
      <c r="J15">
        <f t="shared" si="0"/>
        <v>0.18500490071139894</v>
      </c>
      <c r="K15">
        <f t="shared" si="9"/>
        <v>6.6708186904391287</v>
      </c>
      <c r="L15">
        <v>7.02</v>
      </c>
      <c r="M15">
        <f t="shared" si="10"/>
        <v>1.3509999999999999E-2</v>
      </c>
      <c r="N15">
        <f t="shared" si="11"/>
        <v>0.19245014245014247</v>
      </c>
      <c r="O15" s="3">
        <v>4940</v>
      </c>
      <c r="P15">
        <f t="shared" si="12"/>
        <v>0.49400000000000005</v>
      </c>
      <c r="Q15">
        <f t="shared" si="1"/>
        <v>32.64</v>
      </c>
      <c r="R15">
        <f t="shared" si="2"/>
        <v>0.66072874493927125</v>
      </c>
      <c r="S15">
        <f t="shared" si="3"/>
        <v>12.278814675210654</v>
      </c>
      <c r="T15">
        <f t="shared" si="13"/>
        <v>7.5239975778285419</v>
      </c>
      <c r="U15">
        <f t="shared" si="14"/>
        <v>0.44721504105880361</v>
      </c>
      <c r="V15">
        <f t="shared" si="15"/>
        <v>3.009864601926266</v>
      </c>
      <c r="W15">
        <v>13.54</v>
      </c>
      <c r="X15">
        <f t="shared" si="16"/>
        <v>9.3145149541310559</v>
      </c>
    </row>
    <row r="16" spans="1:24">
      <c r="A16">
        <v>3.05</v>
      </c>
      <c r="B16">
        <f t="shared" si="4"/>
        <v>3.0499999999999999E-2</v>
      </c>
      <c r="C16">
        <v>4</v>
      </c>
      <c r="D16">
        <v>-7</v>
      </c>
      <c r="E16">
        <v>1</v>
      </c>
      <c r="F16">
        <f t="shared" si="5"/>
        <v>0.5</v>
      </c>
      <c r="G16">
        <f t="shared" si="6"/>
        <v>11</v>
      </c>
      <c r="H16">
        <f t="shared" si="7"/>
        <v>660</v>
      </c>
      <c r="I16">
        <f t="shared" si="8"/>
        <v>0.70710678118654757</v>
      </c>
      <c r="J16">
        <f t="shared" si="0"/>
        <v>0.19198621771937624</v>
      </c>
      <c r="K16">
        <f t="shared" si="9"/>
        <v>6.4282434653322511</v>
      </c>
      <c r="L16">
        <v>7.31</v>
      </c>
      <c r="M16">
        <f t="shared" si="10"/>
        <v>1.3655E-2</v>
      </c>
      <c r="N16">
        <f t="shared" si="11"/>
        <v>0.18679890560875514</v>
      </c>
      <c r="O16" s="3">
        <v>5120</v>
      </c>
      <c r="P16">
        <f t="shared" si="12"/>
        <v>0.51200000000000001</v>
      </c>
      <c r="Q16">
        <f t="shared" si="1"/>
        <v>33.72</v>
      </c>
      <c r="R16">
        <f t="shared" si="2"/>
        <v>0.65859374999999998</v>
      </c>
      <c r="S16">
        <f t="shared" si="3"/>
        <v>12.294199392890384</v>
      </c>
      <c r="T16">
        <f t="shared" si="13"/>
        <v>7.2736361209410063</v>
      </c>
      <c r="U16">
        <f t="shared" si="14"/>
        <v>0.44721504105880361</v>
      </c>
      <c r="V16">
        <f t="shared" si="15"/>
        <v>3.009864601926266</v>
      </c>
      <c r="W16">
        <v>13.54</v>
      </c>
      <c r="X16">
        <f t="shared" si="16"/>
        <v>9.2008907467475272</v>
      </c>
    </row>
    <row r="17" spans="1:23">
      <c r="R17" s="4" t="s">
        <v>19</v>
      </c>
      <c r="S17" s="4">
        <f>AVERAGE(S3:S16)</f>
        <v>14.858310927760439</v>
      </c>
    </row>
    <row r="18" spans="1:23">
      <c r="R18" s="4" t="s">
        <v>22</v>
      </c>
      <c r="S18" s="4">
        <f>_xlfn.STDEV.P(S3:S16)</f>
        <v>1.673325461854084</v>
      </c>
    </row>
    <row r="19" spans="1:23">
      <c r="R19" s="4" t="s">
        <v>35</v>
      </c>
      <c r="S19" s="4">
        <f xml:space="preserve"> CORREL(B25:B38,C25:C38)</f>
        <v>0.98031149807863349</v>
      </c>
    </row>
    <row r="20" spans="1:23" s="2" customFormat="1">
      <c r="A20" s="2" t="s">
        <v>25</v>
      </c>
      <c r="R20" s="4" t="s">
        <v>39</v>
      </c>
      <c r="S20" s="4">
        <f>COUNT(S3:S16)</f>
        <v>14</v>
      </c>
    </row>
    <row r="21" spans="1:23">
      <c r="W21" t="s">
        <v>36</v>
      </c>
    </row>
    <row r="22" spans="1:23">
      <c r="A22" t="s">
        <v>26</v>
      </c>
      <c r="E22" t="s">
        <v>56</v>
      </c>
    </row>
    <row r="23" spans="1:23">
      <c r="E23" t="s">
        <v>41</v>
      </c>
      <c r="F23" t="s">
        <v>42</v>
      </c>
      <c r="G23" t="s">
        <v>43</v>
      </c>
      <c r="R23" s="4" t="s">
        <v>60</v>
      </c>
      <c r="S23">
        <f>2*S18/SQRT(S20)</f>
        <v>0.89443008211760722</v>
      </c>
    </row>
    <row r="24" spans="1:23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LINEST(F25:F38,E25:E38, TRUE, TRUE)</f>
        <v>11.062822018303029</v>
      </c>
      <c r="H24">
        <v>2.8735790325165475E-2</v>
      </c>
      <c r="J24">
        <f>ABS(G24-W3)/W3 *100</f>
        <v>18.295258358175555</v>
      </c>
      <c r="R24" s="4" t="s">
        <v>59</v>
      </c>
      <c r="S24">
        <f>S23/S17*100</f>
        <v>6.0197292038525321</v>
      </c>
    </row>
    <row r="25" spans="1:23">
      <c r="A25">
        <f t="shared" ref="A25:A38" si="17">L3</f>
        <v>1.1499999999999999</v>
      </c>
      <c r="B25">
        <f>P3</f>
        <v>8.7000000000000008E-2</v>
      </c>
      <c r="C25">
        <f t="shared" ref="C25:C38" si="18">J3</f>
        <v>4.3633231299858237E-2</v>
      </c>
      <c r="E25">
        <f xml:space="preserve"> P3 * B3</f>
        <v>2.6535E-3</v>
      </c>
      <c r="F25">
        <f>J3</f>
        <v>4.3633231299858237E-2</v>
      </c>
      <c r="G25">
        <v>0.64325666767458511</v>
      </c>
      <c r="H25">
        <v>6.5567272074376383E-3</v>
      </c>
      <c r="R25" s="4" t="s">
        <v>17</v>
      </c>
      <c r="S25">
        <f>ABS(S17-W14)/W15*100</f>
        <v>9.7364174871524334</v>
      </c>
    </row>
    <row r="26" spans="1:23">
      <c r="A26">
        <f t="shared" si="17"/>
        <v>1.5</v>
      </c>
      <c r="B26">
        <f t="shared" ref="B26:B38" si="19">P4</f>
        <v>0.113</v>
      </c>
      <c r="C26">
        <f t="shared" si="18"/>
        <v>5.7595865315812872E-2</v>
      </c>
      <c r="E26">
        <f t="shared" ref="E26:E38" si="20" xml:space="preserve"> P4 * B4</f>
        <v>3.4464999999999999E-3</v>
      </c>
      <c r="F26">
        <f t="shared" ref="F26:F38" si="21">J4</f>
        <v>5.7595865315812872E-2</v>
      </c>
      <c r="G26">
        <v>0.96101063326517466</v>
      </c>
      <c r="H26">
        <v>1.0028528651657096E-2</v>
      </c>
    </row>
    <row r="27" spans="1:23">
      <c r="A27">
        <f t="shared" si="17"/>
        <v>1.99</v>
      </c>
      <c r="B27">
        <f t="shared" si="19"/>
        <v>0.14700000000000002</v>
      </c>
      <c r="C27">
        <f t="shared" si="18"/>
        <v>7.5049157835756164E-2</v>
      </c>
      <c r="E27">
        <f t="shared" si="20"/>
        <v>4.4835000000000005E-3</v>
      </c>
      <c r="F27">
        <f t="shared" si="21"/>
        <v>7.5049157835756164E-2</v>
      </c>
      <c r="G27">
        <v>295.77622220987683</v>
      </c>
      <c r="H27">
        <v>12</v>
      </c>
    </row>
    <row r="28" spans="1:23">
      <c r="A28">
        <f t="shared" si="17"/>
        <v>2.5299999999999998</v>
      </c>
      <c r="B28">
        <f t="shared" si="19"/>
        <v>0.186</v>
      </c>
      <c r="C28">
        <f t="shared" si="18"/>
        <v>8.9011791851710806E-2</v>
      </c>
      <c r="E28">
        <f t="shared" si="20"/>
        <v>5.6730000000000001E-3</v>
      </c>
      <c r="F28">
        <f t="shared" si="21"/>
        <v>8.9011791851710806E-2</v>
      </c>
      <c r="G28">
        <v>2.9746624884749832E-2</v>
      </c>
      <c r="H28">
        <v>1.2068566430052878E-3</v>
      </c>
    </row>
    <row r="29" spans="1:23">
      <c r="A29">
        <f t="shared" si="17"/>
        <v>3.05</v>
      </c>
      <c r="B29">
        <f t="shared" si="19"/>
        <v>0.222</v>
      </c>
      <c r="C29">
        <f t="shared" si="18"/>
        <v>0.11170107212763709</v>
      </c>
      <c r="E29">
        <f t="shared" si="20"/>
        <v>6.7710000000000001E-3</v>
      </c>
      <c r="F29">
        <f t="shared" si="21"/>
        <v>0.11170107212763709</v>
      </c>
    </row>
    <row r="30" spans="1:23">
      <c r="A30">
        <f t="shared" si="17"/>
        <v>3.49</v>
      </c>
      <c r="B30">
        <f t="shared" si="19"/>
        <v>0.253</v>
      </c>
      <c r="C30">
        <f t="shared" si="18"/>
        <v>0.12740903539558607</v>
      </c>
      <c r="E30">
        <f t="shared" si="20"/>
        <v>7.7165000000000003E-3</v>
      </c>
      <c r="F30">
        <f t="shared" si="21"/>
        <v>0.12740903539558607</v>
      </c>
    </row>
    <row r="31" spans="1:23">
      <c r="A31">
        <f t="shared" si="17"/>
        <v>4.07</v>
      </c>
      <c r="B31">
        <f t="shared" si="19"/>
        <v>0.29300000000000004</v>
      </c>
      <c r="C31">
        <f t="shared" si="18"/>
        <v>0.1413716694115407</v>
      </c>
      <c r="E31">
        <f t="shared" si="20"/>
        <v>8.9365000000000017E-3</v>
      </c>
      <c r="F31">
        <f t="shared" si="21"/>
        <v>0.1413716694115407</v>
      </c>
    </row>
    <row r="32" spans="1:23">
      <c r="A32">
        <f t="shared" si="17"/>
        <v>4.53</v>
      </c>
      <c r="B32">
        <f t="shared" si="19"/>
        <v>0.32600000000000001</v>
      </c>
      <c r="C32">
        <f t="shared" si="18"/>
        <v>0.15009831567151233</v>
      </c>
      <c r="E32">
        <f t="shared" si="20"/>
        <v>9.9430000000000004E-3</v>
      </c>
      <c r="F32">
        <f t="shared" si="21"/>
        <v>0.15009831567151233</v>
      </c>
    </row>
    <row r="33" spans="1:8">
      <c r="A33">
        <f t="shared" si="17"/>
        <v>5.04</v>
      </c>
      <c r="B33">
        <f t="shared" si="19"/>
        <v>0.36000000000000004</v>
      </c>
      <c r="C33">
        <f t="shared" si="18"/>
        <v>0.15882496193148399</v>
      </c>
      <c r="E33">
        <f t="shared" si="20"/>
        <v>1.0980000000000002E-2</v>
      </c>
      <c r="F33">
        <f t="shared" si="21"/>
        <v>0.15882496193148399</v>
      </c>
    </row>
    <row r="34" spans="1:8">
      <c r="A34">
        <f t="shared" si="17"/>
        <v>5.5</v>
      </c>
      <c r="B34">
        <f t="shared" si="19"/>
        <v>0.39200000000000002</v>
      </c>
      <c r="C34">
        <f t="shared" si="18"/>
        <v>0.16231562043547265</v>
      </c>
      <c r="E34">
        <f t="shared" si="20"/>
        <v>1.1956E-2</v>
      </c>
      <c r="F34">
        <f t="shared" si="21"/>
        <v>0.16231562043547265</v>
      </c>
    </row>
    <row r="35" spans="1:8">
      <c r="A35">
        <f t="shared" si="17"/>
        <v>6.01</v>
      </c>
      <c r="B35">
        <f t="shared" si="19"/>
        <v>0.42500000000000004</v>
      </c>
      <c r="C35">
        <f t="shared" si="18"/>
        <v>0.17278759594743864</v>
      </c>
      <c r="E35">
        <f t="shared" si="20"/>
        <v>1.2962500000000002E-2</v>
      </c>
      <c r="F35">
        <f t="shared" si="21"/>
        <v>0.17278759594743864</v>
      </c>
    </row>
    <row r="36" spans="1:8">
      <c r="A36">
        <f t="shared" si="17"/>
        <v>6.52</v>
      </c>
      <c r="B36">
        <f t="shared" si="19"/>
        <v>0.46</v>
      </c>
      <c r="C36">
        <f t="shared" si="18"/>
        <v>0.17627825445142728</v>
      </c>
      <c r="E36">
        <f t="shared" si="20"/>
        <v>1.4030000000000001E-2</v>
      </c>
      <c r="F36">
        <f t="shared" si="21"/>
        <v>0.17627825445142728</v>
      </c>
    </row>
    <row r="37" spans="1:8">
      <c r="A37">
        <f t="shared" si="17"/>
        <v>7.02</v>
      </c>
      <c r="B37">
        <f t="shared" si="19"/>
        <v>0.49400000000000005</v>
      </c>
      <c r="C37">
        <f t="shared" si="18"/>
        <v>0.18500490071139894</v>
      </c>
      <c r="E37">
        <f t="shared" si="20"/>
        <v>1.5067000000000001E-2</v>
      </c>
      <c r="F37">
        <f t="shared" si="21"/>
        <v>0.18500490071139894</v>
      </c>
    </row>
    <row r="38" spans="1:8">
      <c r="A38">
        <f t="shared" si="17"/>
        <v>7.31</v>
      </c>
      <c r="B38">
        <f t="shared" si="19"/>
        <v>0.51200000000000001</v>
      </c>
      <c r="C38">
        <f t="shared" si="18"/>
        <v>0.19198621771937624</v>
      </c>
      <c r="E38">
        <f t="shared" si="20"/>
        <v>1.5616E-2</v>
      </c>
      <c r="F38">
        <f t="shared" si="21"/>
        <v>0.19198621771937624</v>
      </c>
    </row>
    <row r="40" spans="1:8">
      <c r="A40" s="4" t="s">
        <v>46</v>
      </c>
      <c r="B40" s="4" t="s">
        <v>50</v>
      </c>
      <c r="C40" s="4" t="s">
        <v>51</v>
      </c>
      <c r="D40" s="4" t="s">
        <v>50</v>
      </c>
      <c r="E40" s="4" t="s">
        <v>52</v>
      </c>
      <c r="F40" s="4" t="s">
        <v>50</v>
      </c>
      <c r="G40" s="4" t="s">
        <v>53</v>
      </c>
      <c r="H40" s="4" t="s">
        <v>50</v>
      </c>
    </row>
    <row r="41" spans="1:8">
      <c r="A41" s="4">
        <f>L3</f>
        <v>1.1499999999999999</v>
      </c>
      <c r="B41" s="4">
        <f>N3</f>
        <v>0.91956521739130459</v>
      </c>
      <c r="C41" s="5">
        <f>P3</f>
        <v>8.7000000000000008E-2</v>
      </c>
      <c r="D41" s="4">
        <f>R3</f>
        <v>0.94482758620689644</v>
      </c>
      <c r="E41" s="4">
        <f>J3</f>
        <v>4.3633231299858237E-2</v>
      </c>
      <c r="F41" s="4">
        <f>K3</f>
        <v>28.284271247461902</v>
      </c>
      <c r="G41">
        <f>S3</f>
        <v>16.443652270532592</v>
      </c>
      <c r="H41">
        <f>F41+D41+B41</f>
        <v>30.148664051060106</v>
      </c>
    </row>
    <row r="42" spans="1:8">
      <c r="A42" s="4">
        <f t="shared" ref="A42:A54" si="22">L4</f>
        <v>1.5</v>
      </c>
      <c r="B42" s="4">
        <f t="shared" ref="B42:B54" si="23">N4</f>
        <v>0.71666666666666679</v>
      </c>
      <c r="C42" s="5">
        <f t="shared" ref="C42:C54" si="24">P4</f>
        <v>0.113</v>
      </c>
      <c r="D42" s="4">
        <f t="shared" ref="D42:D54" si="25">R4</f>
        <v>0.86548672566371698</v>
      </c>
      <c r="E42" s="4">
        <f t="shared" ref="E42:E54" si="26">J4</f>
        <v>5.7595865315812872E-2</v>
      </c>
      <c r="F42" s="4">
        <f t="shared" ref="F42:F54" si="27">K4</f>
        <v>21.427478217774169</v>
      </c>
      <c r="G42">
        <f t="shared" ref="G42:G54" si="28">S4</f>
        <v>16.711407316353654</v>
      </c>
      <c r="H42">
        <f t="shared" ref="H42:H54" si="29">F42+D42+B42</f>
        <v>23.009631610104556</v>
      </c>
    </row>
    <row r="43" spans="1:8">
      <c r="A43" s="4">
        <f t="shared" si="22"/>
        <v>1.99</v>
      </c>
      <c r="B43" s="4">
        <f t="shared" si="23"/>
        <v>0.55251256281407035</v>
      </c>
      <c r="C43" s="5">
        <f t="shared" si="24"/>
        <v>0.14700000000000002</v>
      </c>
      <c r="D43" s="4">
        <f t="shared" si="25"/>
        <v>0.80408163265306121</v>
      </c>
      <c r="E43" s="4">
        <f t="shared" si="26"/>
        <v>7.5049157835756164E-2</v>
      </c>
      <c r="F43" s="4">
        <f t="shared" si="27"/>
        <v>16.444343748524361</v>
      </c>
      <c r="G43">
        <f t="shared" si="28"/>
        <v>16.738966841921748</v>
      </c>
      <c r="H43">
        <f t="shared" si="29"/>
        <v>17.800937943991492</v>
      </c>
    </row>
    <row r="44" spans="1:8">
      <c r="A44" s="4">
        <f t="shared" si="22"/>
        <v>2.5299999999999998</v>
      </c>
      <c r="B44" s="4">
        <f t="shared" si="23"/>
        <v>0.44525691699604752</v>
      </c>
      <c r="C44" s="5">
        <f t="shared" si="24"/>
        <v>0.186</v>
      </c>
      <c r="D44" s="4">
        <f t="shared" si="25"/>
        <v>0.76129032258064511</v>
      </c>
      <c r="E44" s="4">
        <f t="shared" si="26"/>
        <v>8.9011791851710806E-2</v>
      </c>
      <c r="F44" s="4">
        <f t="shared" si="27"/>
        <v>13.864838846795053</v>
      </c>
      <c r="G44">
        <f t="shared" si="28"/>
        <v>15.690426908463037</v>
      </c>
      <c r="H44">
        <f t="shared" si="29"/>
        <v>15.071386086371746</v>
      </c>
    </row>
    <row r="45" spans="1:8">
      <c r="A45" s="4">
        <f t="shared" si="22"/>
        <v>3.05</v>
      </c>
      <c r="B45" s="4">
        <f t="shared" si="23"/>
        <v>0.37786885245901641</v>
      </c>
      <c r="C45" s="5">
        <f t="shared" si="24"/>
        <v>0.222</v>
      </c>
      <c r="D45" s="4">
        <f t="shared" si="25"/>
        <v>0.73513513513513518</v>
      </c>
      <c r="E45" s="4">
        <f t="shared" si="26"/>
        <v>0.11170107212763709</v>
      </c>
      <c r="F45" s="4">
        <f t="shared" si="27"/>
        <v>11.048543456039805</v>
      </c>
      <c r="G45">
        <f t="shared" si="28"/>
        <v>16.49698303465324</v>
      </c>
      <c r="H45">
        <f t="shared" si="29"/>
        <v>12.161547443633957</v>
      </c>
    </row>
    <row r="46" spans="1:8">
      <c r="A46" s="4">
        <f t="shared" si="22"/>
        <v>3.49</v>
      </c>
      <c r="B46" s="4">
        <f t="shared" si="23"/>
        <v>0.33653295128939825</v>
      </c>
      <c r="C46" s="5">
        <f t="shared" si="24"/>
        <v>0.253</v>
      </c>
      <c r="D46" s="4">
        <f t="shared" si="25"/>
        <v>0.7185770750988143</v>
      </c>
      <c r="E46" s="4">
        <f t="shared" si="26"/>
        <v>0.12740903539558607</v>
      </c>
      <c r="F46" s="4">
        <f t="shared" si="27"/>
        <v>9.6863942628294186</v>
      </c>
      <c r="G46">
        <f t="shared" si="28"/>
        <v>16.511246730458893</v>
      </c>
      <c r="H46">
        <f t="shared" si="29"/>
        <v>10.74150428921763</v>
      </c>
    </row>
    <row r="47" spans="1:8">
      <c r="A47" s="4">
        <f t="shared" si="22"/>
        <v>4.07</v>
      </c>
      <c r="B47" s="4">
        <f t="shared" si="23"/>
        <v>0.29570024570024567</v>
      </c>
      <c r="C47" s="5">
        <f t="shared" si="24"/>
        <v>0.29300000000000004</v>
      </c>
      <c r="D47" s="4">
        <f t="shared" si="25"/>
        <v>0.70238907849829346</v>
      </c>
      <c r="E47" s="4">
        <f t="shared" si="26"/>
        <v>0.1413716694115407</v>
      </c>
      <c r="F47" s="4">
        <f t="shared" si="27"/>
        <v>8.7297133479820701</v>
      </c>
      <c r="G47">
        <f t="shared" si="28"/>
        <v>15.819579187773812</v>
      </c>
      <c r="H47">
        <f t="shared" si="29"/>
        <v>9.7278026721806103</v>
      </c>
    </row>
    <row r="48" spans="1:8">
      <c r="A48" s="4">
        <f t="shared" si="22"/>
        <v>4.53</v>
      </c>
      <c r="B48" s="4">
        <f t="shared" si="23"/>
        <v>0.2707505518763797</v>
      </c>
      <c r="C48" s="5">
        <f t="shared" si="24"/>
        <v>0.32600000000000001</v>
      </c>
      <c r="D48" s="4">
        <f t="shared" si="25"/>
        <v>0.69202453987730062</v>
      </c>
      <c r="E48" s="4">
        <f t="shared" si="26"/>
        <v>0.15009831567151233</v>
      </c>
      <c r="F48" s="4">
        <f t="shared" si="27"/>
        <v>8.2221718742621803</v>
      </c>
      <c r="G48">
        <f t="shared" si="28"/>
        <v>15.095878072162559</v>
      </c>
      <c r="H48">
        <f t="shared" si="29"/>
        <v>9.1849469660158594</v>
      </c>
    </row>
    <row r="49" spans="1:8">
      <c r="A49" s="4">
        <f t="shared" si="22"/>
        <v>5.04</v>
      </c>
      <c r="B49" s="4">
        <f t="shared" si="23"/>
        <v>0.24841269841269839</v>
      </c>
      <c r="C49" s="5">
        <f t="shared" si="24"/>
        <v>0.36000000000000004</v>
      </c>
      <c r="D49" s="4">
        <f t="shared" si="25"/>
        <v>0.68333333333333335</v>
      </c>
      <c r="E49" s="4">
        <f t="shared" si="26"/>
        <v>0.15882496193148399</v>
      </c>
      <c r="F49" s="4">
        <f t="shared" si="27"/>
        <v>7.7704041888631599</v>
      </c>
      <c r="G49">
        <f t="shared" si="28"/>
        <v>14.464932780645169</v>
      </c>
      <c r="H49">
        <f t="shared" si="29"/>
        <v>8.702150220609191</v>
      </c>
    </row>
    <row r="50" spans="1:8">
      <c r="A50" s="4">
        <f t="shared" si="22"/>
        <v>5.5</v>
      </c>
      <c r="B50" s="4">
        <f t="shared" si="23"/>
        <v>0.23181818181818181</v>
      </c>
      <c r="C50" s="5">
        <f t="shared" si="24"/>
        <v>0.39200000000000002</v>
      </c>
      <c r="D50" s="4">
        <f t="shared" si="25"/>
        <v>0.67653061224489797</v>
      </c>
      <c r="E50" s="4">
        <f t="shared" si="26"/>
        <v>0.16231562043547265</v>
      </c>
      <c r="F50" s="4">
        <f t="shared" si="27"/>
        <v>7.6032987224359943</v>
      </c>
      <c r="G50">
        <f t="shared" si="28"/>
        <v>13.576080665395839</v>
      </c>
      <c r="H50">
        <f t="shared" si="29"/>
        <v>8.5116475164990746</v>
      </c>
    </row>
    <row r="51" spans="1:8">
      <c r="A51" s="4">
        <f t="shared" si="22"/>
        <v>6.01</v>
      </c>
      <c r="B51" s="4">
        <f t="shared" si="23"/>
        <v>0.21638935108153076</v>
      </c>
      <c r="C51" s="5">
        <f t="shared" si="24"/>
        <v>0.42500000000000004</v>
      </c>
      <c r="D51" s="4">
        <f t="shared" si="25"/>
        <v>0.6705882352941176</v>
      </c>
      <c r="E51" s="4">
        <f t="shared" si="26"/>
        <v>0.17278759594743864</v>
      </c>
      <c r="F51" s="4">
        <f t="shared" si="27"/>
        <v>7.1424927392580564</v>
      </c>
      <c r="G51">
        <f t="shared" si="28"/>
        <v>13.329804894691504</v>
      </c>
      <c r="H51">
        <f t="shared" si="29"/>
        <v>8.0294703256337048</v>
      </c>
    </row>
    <row r="52" spans="1:8">
      <c r="A52" s="4">
        <f t="shared" si="22"/>
        <v>6.52</v>
      </c>
      <c r="B52" s="4">
        <f t="shared" si="23"/>
        <v>0.20337423312883438</v>
      </c>
      <c r="C52" s="5">
        <f t="shared" si="24"/>
        <v>0.46</v>
      </c>
      <c r="D52" s="4">
        <f t="shared" si="25"/>
        <v>0.66521739130434787</v>
      </c>
      <c r="E52" s="4">
        <f t="shared" si="26"/>
        <v>0.17627825445142728</v>
      </c>
      <c r="F52" s="4">
        <f t="shared" si="27"/>
        <v>7.001057239470768</v>
      </c>
      <c r="G52">
        <f t="shared" si="28"/>
        <v>12.564380217493035</v>
      </c>
      <c r="H52">
        <f t="shared" si="29"/>
        <v>7.8696488639039508</v>
      </c>
    </row>
    <row r="53" spans="1:8">
      <c r="A53" s="4">
        <f t="shared" si="22"/>
        <v>7.02</v>
      </c>
      <c r="B53" s="4">
        <f t="shared" si="23"/>
        <v>0.19245014245014247</v>
      </c>
      <c r="C53" s="5">
        <f t="shared" si="24"/>
        <v>0.49400000000000005</v>
      </c>
      <c r="D53" s="4">
        <f t="shared" si="25"/>
        <v>0.66072874493927125</v>
      </c>
      <c r="E53" s="4">
        <f t="shared" si="26"/>
        <v>0.18500490071139894</v>
      </c>
      <c r="F53" s="4">
        <f t="shared" si="27"/>
        <v>6.6708186904391287</v>
      </c>
      <c r="G53">
        <f t="shared" si="28"/>
        <v>12.278814675210654</v>
      </c>
      <c r="H53">
        <f t="shared" si="29"/>
        <v>7.5239975778285419</v>
      </c>
    </row>
    <row r="54" spans="1:8">
      <c r="A54" s="4">
        <f t="shared" si="22"/>
        <v>7.31</v>
      </c>
      <c r="B54" s="4">
        <f t="shared" si="23"/>
        <v>0.18679890560875514</v>
      </c>
      <c r="C54" s="5">
        <f t="shared" si="24"/>
        <v>0.51200000000000001</v>
      </c>
      <c r="D54" s="4">
        <f t="shared" si="25"/>
        <v>0.65859374999999998</v>
      </c>
      <c r="E54" s="4">
        <f t="shared" si="26"/>
        <v>0.19198621771937624</v>
      </c>
      <c r="F54" s="4">
        <f t="shared" si="27"/>
        <v>6.4282434653322511</v>
      </c>
      <c r="G54">
        <f t="shared" si="28"/>
        <v>12.294199392890384</v>
      </c>
      <c r="H54">
        <f t="shared" si="29"/>
        <v>7.2736361209410063</v>
      </c>
    </row>
    <row r="55" spans="1:8">
      <c r="A55" s="4"/>
    </row>
    <row r="56" spans="1:8">
      <c r="A56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C344-6D4E-4D72-AF5E-1B865881E4ED}">
  <dimension ref="A1:W56"/>
  <sheetViews>
    <sheetView topLeftCell="F31" zoomScaleNormal="100" workbookViewId="0">
      <selection activeCell="A42" sqref="A42:H56"/>
    </sheetView>
  </sheetViews>
  <sheetFormatPr defaultColWidth="11.42578125" defaultRowHeight="15"/>
  <cols>
    <col min="1" max="1" width="15.42578125" customWidth="1"/>
    <col min="2" max="2" width="19.85546875" customWidth="1"/>
    <col min="3" max="3" width="21" customWidth="1"/>
    <col min="4" max="4" width="19.5703125" customWidth="1"/>
    <col min="5" max="5" width="22.42578125" customWidth="1"/>
    <col min="6" max="6" width="19.8554687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19" width="18.5703125" customWidth="1"/>
    <col min="20" max="20" width="16.85546875" customWidth="1"/>
    <col min="21" max="21" width="12" bestFit="1" customWidth="1"/>
    <col min="22" max="22" width="17.85546875" customWidth="1"/>
    <col min="23" max="23" width="17.42578125" customWidth="1"/>
    <col min="24" max="24" width="11.85546875" customWidth="1"/>
    <col min="25" max="25" width="16.7109375" customWidth="1"/>
  </cols>
  <sheetData>
    <row r="1" spans="1:23">
      <c r="A1" t="s">
        <v>0</v>
      </c>
      <c r="B1" t="s">
        <v>54</v>
      </c>
      <c r="C1">
        <v>1</v>
      </c>
      <c r="D1" t="s">
        <v>30</v>
      </c>
      <c r="E1">
        <v>199</v>
      </c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15</v>
      </c>
      <c r="T2" t="s">
        <v>8</v>
      </c>
      <c r="U2" t="s">
        <v>11</v>
      </c>
      <c r="V2" t="s">
        <v>31</v>
      </c>
      <c r="W2" t="s">
        <v>23</v>
      </c>
    </row>
    <row r="3" spans="1:23">
      <c r="A3">
        <v>4.04</v>
      </c>
      <c r="B3">
        <f>$A$3/100</f>
        <v>4.0399999999999998E-2</v>
      </c>
      <c r="C3">
        <v>1</v>
      </c>
      <c r="D3" s="1">
        <v>-0.8</v>
      </c>
      <c r="E3">
        <v>1</v>
      </c>
      <c r="F3">
        <f>$E$3/2</f>
        <v>0.5</v>
      </c>
      <c r="G3">
        <f>ABS(C3-D3)</f>
        <v>1.8</v>
      </c>
      <c r="H3">
        <f>G3*60</f>
        <v>108</v>
      </c>
      <c r="I3">
        <f>SQRT(2)*F3</f>
        <v>0.70710678118654757</v>
      </c>
      <c r="J3">
        <f t="shared" ref="J3:J16" si="0">RADIANS(G3)</f>
        <v>3.1415926535897934E-2</v>
      </c>
      <c r="K3">
        <f>I3/G3 * 100</f>
        <v>39.283710065919308</v>
      </c>
      <c r="L3">
        <v>1.1000000000000001</v>
      </c>
      <c r="M3">
        <f xml:space="preserve"> (0.05*L3/100) + 0.01</f>
        <v>1.055E-2</v>
      </c>
      <c r="N3">
        <f xml:space="preserve"> M3/L3*100</f>
        <v>0.95909090909090911</v>
      </c>
      <c r="O3" s="3">
        <v>800</v>
      </c>
      <c r="P3">
        <f>O3*0.0001</f>
        <v>0.08</v>
      </c>
      <c r="Q3">
        <f t="shared" ref="Q3:Q16" si="1">(O3*0.6/100)+3</f>
        <v>7.8</v>
      </c>
      <c r="R3">
        <f t="shared" ref="R3:R16" si="2">Q3/O3 * 100</f>
        <v>0.97499999999999998</v>
      </c>
      <c r="S3">
        <f t="shared" ref="S3:S16" si="3">J3/(P3*B3)</f>
        <v>9.7202742994733704</v>
      </c>
      <c r="T3">
        <f t="shared" ref="T3:T16" si="4">$S$18/SQRT(15)</f>
        <v>0.35411220325559062</v>
      </c>
      <c r="U3">
        <f>T3/$S$17*100</f>
        <v>3.3074738471420568</v>
      </c>
      <c r="V3">
        <v>13.54</v>
      </c>
      <c r="W3">
        <f>ABS(V3-S3)/V3*100</f>
        <v>28.210677256474366</v>
      </c>
    </row>
    <row r="4" spans="1:23">
      <c r="A4">
        <v>4.04</v>
      </c>
      <c r="B4">
        <f t="shared" ref="B4:B16" si="5">$A$3/100</f>
        <v>4.0399999999999998E-2</v>
      </c>
      <c r="C4">
        <v>1</v>
      </c>
      <c r="D4">
        <v>-1.9</v>
      </c>
      <c r="E4">
        <v>1</v>
      </c>
      <c r="F4">
        <f t="shared" ref="F4:F16" si="6">$E$3/2</f>
        <v>0.5</v>
      </c>
      <c r="G4">
        <f t="shared" ref="G4:G16" si="7">ABS(C4-D4)</f>
        <v>2.9</v>
      </c>
      <c r="H4">
        <f t="shared" ref="H4:H16" si="8">G4*60</f>
        <v>174</v>
      </c>
      <c r="I4">
        <f t="shared" ref="I4:I16" si="9">SQRT(2)*F4</f>
        <v>0.70710678118654757</v>
      </c>
      <c r="J4">
        <f t="shared" si="0"/>
        <v>5.0614548307835558E-2</v>
      </c>
      <c r="K4">
        <f t="shared" ref="K4:K16" si="10">I4/G4 * 100</f>
        <v>24.382992454708539</v>
      </c>
      <c r="L4">
        <v>1.47</v>
      </c>
      <c r="M4">
        <f t="shared" ref="M4:M16" si="11" xml:space="preserve"> (0.05*L4/100) + 0.01</f>
        <v>1.0735E-2</v>
      </c>
      <c r="N4">
        <f t="shared" ref="N4:N16" si="12" xml:space="preserve"> M4/L4*100</f>
        <v>0.73027210884353744</v>
      </c>
      <c r="O4" s="3">
        <v>1100</v>
      </c>
      <c r="P4">
        <f t="shared" ref="P4:P16" si="13">O4*0.0001</f>
        <v>0.11</v>
      </c>
      <c r="Q4">
        <f t="shared" si="1"/>
        <v>9.6</v>
      </c>
      <c r="R4">
        <f t="shared" si="2"/>
        <v>0.8727272727272728</v>
      </c>
      <c r="S4">
        <f t="shared" si="3"/>
        <v>11.38941231049405</v>
      </c>
      <c r="T4">
        <f t="shared" si="4"/>
        <v>0.35411220325559062</v>
      </c>
      <c r="U4">
        <f t="shared" ref="U4:U16" si="14">T4/$S$17*100</f>
        <v>3.3074738471420568</v>
      </c>
      <c r="V4">
        <v>13.54</v>
      </c>
      <c r="W4">
        <f t="shared" ref="W4:W16" si="15">ABS(V4-S4)/V4*100</f>
        <v>15.883217795464914</v>
      </c>
    </row>
    <row r="5" spans="1:23">
      <c r="A5">
        <v>4.04</v>
      </c>
      <c r="B5">
        <f t="shared" si="5"/>
        <v>4.0399999999999998E-2</v>
      </c>
      <c r="C5">
        <v>1</v>
      </c>
      <c r="D5">
        <v>-3.8</v>
      </c>
      <c r="E5">
        <v>1</v>
      </c>
      <c r="F5">
        <f t="shared" si="6"/>
        <v>0.5</v>
      </c>
      <c r="G5">
        <f t="shared" si="7"/>
        <v>4.8</v>
      </c>
      <c r="H5">
        <f t="shared" si="8"/>
        <v>288</v>
      </c>
      <c r="I5">
        <f t="shared" si="9"/>
        <v>0.70710678118654757</v>
      </c>
      <c r="J5">
        <f t="shared" si="0"/>
        <v>8.377580409572781E-2</v>
      </c>
      <c r="K5">
        <f t="shared" si="10"/>
        <v>14.731391274719741</v>
      </c>
      <c r="L5">
        <v>2.04</v>
      </c>
      <c r="M5">
        <f t="shared" si="11"/>
        <v>1.102E-2</v>
      </c>
      <c r="N5">
        <f t="shared" si="12"/>
        <v>0.54019607843137263</v>
      </c>
      <c r="O5" s="3">
        <v>1510</v>
      </c>
      <c r="P5">
        <f t="shared" si="13"/>
        <v>0.151</v>
      </c>
      <c r="Q5">
        <f t="shared" si="1"/>
        <v>12.06</v>
      </c>
      <c r="R5">
        <f t="shared" si="2"/>
        <v>0.79867549668874183</v>
      </c>
      <c r="S5">
        <f t="shared" si="3"/>
        <v>13.732837862390632</v>
      </c>
      <c r="T5">
        <f t="shared" si="4"/>
        <v>0.35411220325559062</v>
      </c>
      <c r="U5">
        <f t="shared" si="14"/>
        <v>3.3074738471420568</v>
      </c>
      <c r="V5">
        <v>13.54</v>
      </c>
      <c r="W5">
        <f t="shared" si="15"/>
        <v>1.4242087325748347</v>
      </c>
    </row>
    <row r="6" spans="1:23">
      <c r="A6">
        <v>4.04</v>
      </c>
      <c r="B6">
        <f t="shared" si="5"/>
        <v>4.0399999999999998E-2</v>
      </c>
      <c r="C6">
        <v>1</v>
      </c>
      <c r="D6">
        <v>-4.2</v>
      </c>
      <c r="E6">
        <v>1</v>
      </c>
      <c r="F6">
        <f t="shared" si="6"/>
        <v>0.5</v>
      </c>
      <c r="G6">
        <f t="shared" si="7"/>
        <v>5.2</v>
      </c>
      <c r="H6">
        <f t="shared" si="8"/>
        <v>312</v>
      </c>
      <c r="I6">
        <f t="shared" si="9"/>
        <v>0.70710678118654757</v>
      </c>
      <c r="J6">
        <f t="shared" si="0"/>
        <v>9.0757121103705138E-2</v>
      </c>
      <c r="K6">
        <f t="shared" si="10"/>
        <v>13.598207330510531</v>
      </c>
      <c r="L6">
        <v>2.5299999999999998</v>
      </c>
      <c r="M6">
        <f t="shared" si="11"/>
        <v>1.1265000000000001E-2</v>
      </c>
      <c r="N6">
        <f t="shared" si="12"/>
        <v>0.44525691699604752</v>
      </c>
      <c r="O6" s="3">
        <v>1880</v>
      </c>
      <c r="P6">
        <f t="shared" si="13"/>
        <v>0.188</v>
      </c>
      <c r="Q6">
        <f t="shared" si="1"/>
        <v>14.28</v>
      </c>
      <c r="R6">
        <f t="shared" si="2"/>
        <v>0.75957446808510631</v>
      </c>
      <c r="S6">
        <f t="shared" si="3"/>
        <v>11.949273370510999</v>
      </c>
      <c r="T6">
        <f t="shared" si="4"/>
        <v>0.35411220325559062</v>
      </c>
      <c r="U6">
        <f t="shared" si="14"/>
        <v>3.3074738471420568</v>
      </c>
      <c r="V6">
        <v>13.54</v>
      </c>
      <c r="W6">
        <f t="shared" si="15"/>
        <v>11.748350291646972</v>
      </c>
    </row>
    <row r="7" spans="1:23">
      <c r="A7">
        <v>4.04</v>
      </c>
      <c r="B7">
        <f t="shared" si="5"/>
        <v>4.0399999999999998E-2</v>
      </c>
      <c r="C7">
        <v>1</v>
      </c>
      <c r="D7">
        <v>-5.0999999999999996</v>
      </c>
      <c r="E7">
        <v>1</v>
      </c>
      <c r="F7">
        <f t="shared" si="6"/>
        <v>0.5</v>
      </c>
      <c r="G7">
        <f t="shared" si="7"/>
        <v>6.1</v>
      </c>
      <c r="H7">
        <f t="shared" si="8"/>
        <v>366</v>
      </c>
      <c r="I7">
        <f t="shared" si="9"/>
        <v>0.70710678118654757</v>
      </c>
      <c r="J7">
        <f t="shared" si="0"/>
        <v>0.1064650843716541</v>
      </c>
      <c r="K7">
        <f t="shared" si="10"/>
        <v>11.591914445681109</v>
      </c>
      <c r="L7">
        <v>3</v>
      </c>
      <c r="M7">
        <f t="shared" si="11"/>
        <v>1.15E-2</v>
      </c>
      <c r="N7">
        <f t="shared" si="12"/>
        <v>0.3833333333333333</v>
      </c>
      <c r="O7" s="3">
        <v>2190</v>
      </c>
      <c r="P7">
        <f t="shared" si="13"/>
        <v>0.219</v>
      </c>
      <c r="Q7">
        <f t="shared" si="1"/>
        <v>16.14</v>
      </c>
      <c r="R7">
        <f t="shared" si="2"/>
        <v>0.73698630136986309</v>
      </c>
      <c r="S7">
        <f t="shared" si="3"/>
        <v>12.033216281438369</v>
      </c>
      <c r="T7">
        <f t="shared" si="4"/>
        <v>0.35411220325559062</v>
      </c>
      <c r="U7">
        <f t="shared" si="14"/>
        <v>3.3074738471420568</v>
      </c>
      <c r="V7">
        <v>13.54</v>
      </c>
      <c r="W7">
        <f t="shared" si="15"/>
        <v>11.128387877116914</v>
      </c>
    </row>
    <row r="8" spans="1:23">
      <c r="A8">
        <v>4.04</v>
      </c>
      <c r="B8">
        <f t="shared" si="5"/>
        <v>4.0399999999999998E-2</v>
      </c>
      <c r="C8">
        <v>1</v>
      </c>
      <c r="D8">
        <v>-6</v>
      </c>
      <c r="E8">
        <v>1</v>
      </c>
      <c r="F8">
        <f t="shared" si="6"/>
        <v>0.5</v>
      </c>
      <c r="G8">
        <f t="shared" si="7"/>
        <v>7</v>
      </c>
      <c r="H8">
        <f t="shared" si="8"/>
        <v>420</v>
      </c>
      <c r="I8">
        <f t="shared" si="9"/>
        <v>0.70710678118654757</v>
      </c>
      <c r="J8">
        <f t="shared" si="0"/>
        <v>0.12217304763960307</v>
      </c>
      <c r="K8">
        <f t="shared" si="10"/>
        <v>10.101525445522109</v>
      </c>
      <c r="L8">
        <v>3.49</v>
      </c>
      <c r="M8">
        <f t="shared" si="11"/>
        <v>1.1745E-2</v>
      </c>
      <c r="N8">
        <f t="shared" si="12"/>
        <v>0.33653295128939825</v>
      </c>
      <c r="O8" s="3">
        <v>2550</v>
      </c>
      <c r="P8">
        <f t="shared" si="13"/>
        <v>0.255</v>
      </c>
      <c r="Q8">
        <f t="shared" si="1"/>
        <v>18.3</v>
      </c>
      <c r="R8">
        <f t="shared" si="2"/>
        <v>0.71764705882352942</v>
      </c>
      <c r="S8">
        <f t="shared" si="3"/>
        <v>11.859158186721324</v>
      </c>
      <c r="T8">
        <f t="shared" si="4"/>
        <v>0.35411220325559062</v>
      </c>
      <c r="U8">
        <f t="shared" si="14"/>
        <v>3.3074738471420568</v>
      </c>
      <c r="V8">
        <v>13.54</v>
      </c>
      <c r="W8">
        <f t="shared" si="15"/>
        <v>12.413898177833646</v>
      </c>
    </row>
    <row r="9" spans="1:23">
      <c r="A9">
        <v>4.04</v>
      </c>
      <c r="B9">
        <f t="shared" si="5"/>
        <v>4.0399999999999998E-2</v>
      </c>
      <c r="C9">
        <v>1</v>
      </c>
      <c r="D9">
        <v>-6.8</v>
      </c>
      <c r="E9">
        <v>1</v>
      </c>
      <c r="F9">
        <f t="shared" si="6"/>
        <v>0.5</v>
      </c>
      <c r="G9">
        <f t="shared" si="7"/>
        <v>7.8</v>
      </c>
      <c r="H9">
        <f t="shared" si="8"/>
        <v>468</v>
      </c>
      <c r="I9">
        <f t="shared" si="9"/>
        <v>0.70710678118654757</v>
      </c>
      <c r="J9">
        <f t="shared" si="0"/>
        <v>0.1361356816555577</v>
      </c>
      <c r="K9">
        <f t="shared" si="10"/>
        <v>9.065471553673687</v>
      </c>
      <c r="L9">
        <v>4</v>
      </c>
      <c r="M9">
        <f t="shared" si="11"/>
        <v>1.2E-2</v>
      </c>
      <c r="N9">
        <f t="shared" si="12"/>
        <v>0.3</v>
      </c>
      <c r="O9" s="3">
        <v>2890</v>
      </c>
      <c r="P9">
        <f t="shared" si="13"/>
        <v>0.28900000000000003</v>
      </c>
      <c r="Q9">
        <f t="shared" si="1"/>
        <v>20.34</v>
      </c>
      <c r="R9">
        <f t="shared" si="2"/>
        <v>0.70380622837370233</v>
      </c>
      <c r="S9">
        <f t="shared" si="3"/>
        <v>11.659844603751216</v>
      </c>
      <c r="T9">
        <f t="shared" si="4"/>
        <v>0.35411220325559062</v>
      </c>
      <c r="U9">
        <f t="shared" si="14"/>
        <v>3.3074738471420568</v>
      </c>
      <c r="V9">
        <v>13.54</v>
      </c>
      <c r="W9">
        <f t="shared" si="15"/>
        <v>13.885933502575948</v>
      </c>
    </row>
    <row r="10" spans="1:23">
      <c r="A10">
        <v>4.04</v>
      </c>
      <c r="B10">
        <f t="shared" si="5"/>
        <v>4.0399999999999998E-2</v>
      </c>
      <c r="C10">
        <v>1</v>
      </c>
      <c r="D10">
        <v>-7.1</v>
      </c>
      <c r="E10">
        <v>1</v>
      </c>
      <c r="F10">
        <f t="shared" si="6"/>
        <v>0.5</v>
      </c>
      <c r="G10">
        <f t="shared" si="7"/>
        <v>8.1</v>
      </c>
      <c r="H10">
        <f t="shared" si="8"/>
        <v>486</v>
      </c>
      <c r="I10">
        <f t="shared" si="9"/>
        <v>0.70710678118654757</v>
      </c>
      <c r="J10">
        <f t="shared" si="0"/>
        <v>0.1413716694115407</v>
      </c>
      <c r="K10">
        <f t="shared" si="10"/>
        <v>8.7297133479820701</v>
      </c>
      <c r="L10">
        <v>4.53</v>
      </c>
      <c r="M10">
        <f t="shared" si="11"/>
        <v>1.2265000000000002E-2</v>
      </c>
      <c r="N10">
        <f t="shared" si="12"/>
        <v>0.2707505518763797</v>
      </c>
      <c r="O10" s="3">
        <v>3260</v>
      </c>
      <c r="P10">
        <f t="shared" si="13"/>
        <v>0.32600000000000001</v>
      </c>
      <c r="Q10">
        <f t="shared" si="1"/>
        <v>22.56</v>
      </c>
      <c r="R10">
        <f t="shared" si="2"/>
        <v>0.69202453987730062</v>
      </c>
      <c r="S10">
        <f t="shared" si="3"/>
        <v>10.734045238682249</v>
      </c>
      <c r="T10">
        <f t="shared" si="4"/>
        <v>0.35411220325559062</v>
      </c>
      <c r="U10">
        <f t="shared" si="14"/>
        <v>3.3074738471420568</v>
      </c>
      <c r="V10">
        <v>13.54</v>
      </c>
      <c r="W10">
        <f t="shared" si="15"/>
        <v>20.723447277088258</v>
      </c>
    </row>
    <row r="11" spans="1:23">
      <c r="A11">
        <v>4.04</v>
      </c>
      <c r="B11">
        <f t="shared" si="5"/>
        <v>4.0399999999999998E-2</v>
      </c>
      <c r="C11">
        <v>1</v>
      </c>
      <c r="D11">
        <v>-7.5</v>
      </c>
      <c r="E11">
        <v>1</v>
      </c>
      <c r="F11">
        <f t="shared" si="6"/>
        <v>0.5</v>
      </c>
      <c r="G11">
        <f t="shared" si="7"/>
        <v>8.5</v>
      </c>
      <c r="H11">
        <f t="shared" si="8"/>
        <v>510</v>
      </c>
      <c r="I11">
        <f t="shared" si="9"/>
        <v>0.70710678118654757</v>
      </c>
      <c r="J11">
        <f t="shared" si="0"/>
        <v>0.14835298641951802</v>
      </c>
      <c r="K11">
        <f t="shared" si="10"/>
        <v>8.3189033080770294</v>
      </c>
      <c r="L11">
        <v>5.05</v>
      </c>
      <c r="M11">
        <f t="shared" si="11"/>
        <v>1.2525E-2</v>
      </c>
      <c r="N11">
        <f t="shared" si="12"/>
        <v>0.24801980198019802</v>
      </c>
      <c r="O11" s="3">
        <v>3610</v>
      </c>
      <c r="P11">
        <f t="shared" si="13"/>
        <v>0.36100000000000004</v>
      </c>
      <c r="Q11">
        <f t="shared" si="1"/>
        <v>24.66</v>
      </c>
      <c r="R11">
        <f t="shared" si="2"/>
        <v>0.68310249307479221</v>
      </c>
      <c r="S11">
        <f t="shared" si="3"/>
        <v>10.172032200126026</v>
      </c>
      <c r="T11">
        <f t="shared" si="4"/>
        <v>0.35411220325559062</v>
      </c>
      <c r="U11">
        <f t="shared" si="14"/>
        <v>3.3074738471420568</v>
      </c>
      <c r="V11">
        <v>13.54</v>
      </c>
      <c r="W11">
        <f t="shared" si="15"/>
        <v>24.874208270856528</v>
      </c>
    </row>
    <row r="12" spans="1:23">
      <c r="A12">
        <v>4.04</v>
      </c>
      <c r="B12">
        <f t="shared" si="5"/>
        <v>4.0399999999999998E-2</v>
      </c>
      <c r="C12">
        <v>1</v>
      </c>
      <c r="D12">
        <v>-7.9</v>
      </c>
      <c r="E12">
        <v>1</v>
      </c>
      <c r="F12">
        <f t="shared" si="6"/>
        <v>0.5</v>
      </c>
      <c r="G12">
        <f t="shared" si="7"/>
        <v>8.9</v>
      </c>
      <c r="H12">
        <f t="shared" si="8"/>
        <v>534</v>
      </c>
      <c r="I12">
        <f t="shared" si="9"/>
        <v>0.70710678118654757</v>
      </c>
      <c r="J12">
        <f t="shared" si="0"/>
        <v>0.15533430342749532</v>
      </c>
      <c r="K12">
        <f t="shared" si="10"/>
        <v>7.9450200133319955</v>
      </c>
      <c r="L12">
        <v>5.53</v>
      </c>
      <c r="M12">
        <f t="shared" si="11"/>
        <v>1.2765E-2</v>
      </c>
      <c r="N12">
        <f t="shared" si="12"/>
        <v>0.23083182640144667</v>
      </c>
      <c r="O12" s="3">
        <v>3950</v>
      </c>
      <c r="P12">
        <f t="shared" si="13"/>
        <v>0.39500000000000002</v>
      </c>
      <c r="Q12">
        <f t="shared" si="1"/>
        <v>26.7</v>
      </c>
      <c r="R12">
        <f t="shared" si="2"/>
        <v>0.67594936708860764</v>
      </c>
      <c r="S12">
        <f t="shared" si="3"/>
        <v>9.7339455713432343</v>
      </c>
      <c r="T12">
        <f t="shared" si="4"/>
        <v>0.35411220325559062</v>
      </c>
      <c r="U12">
        <f t="shared" si="14"/>
        <v>3.3074738471420568</v>
      </c>
      <c r="V12">
        <v>13.54</v>
      </c>
      <c r="W12">
        <f t="shared" si="15"/>
        <v>28.109707744880097</v>
      </c>
    </row>
    <row r="13" spans="1:23">
      <c r="A13">
        <v>4.04</v>
      </c>
      <c r="B13">
        <f t="shared" si="5"/>
        <v>4.0399999999999998E-2</v>
      </c>
      <c r="C13">
        <v>1</v>
      </c>
      <c r="D13">
        <v>-8.4</v>
      </c>
      <c r="E13">
        <v>1</v>
      </c>
      <c r="F13">
        <f t="shared" si="6"/>
        <v>0.5</v>
      </c>
      <c r="G13">
        <f t="shared" si="7"/>
        <v>9.4</v>
      </c>
      <c r="H13">
        <f t="shared" si="8"/>
        <v>564</v>
      </c>
      <c r="I13">
        <f t="shared" si="9"/>
        <v>0.70710678118654757</v>
      </c>
      <c r="J13">
        <f t="shared" si="0"/>
        <v>0.16406094968746698</v>
      </c>
      <c r="K13">
        <f t="shared" si="10"/>
        <v>7.5224125658143359</v>
      </c>
      <c r="L13">
        <v>5.98</v>
      </c>
      <c r="M13">
        <f t="shared" si="11"/>
        <v>1.2990000000000002E-2</v>
      </c>
      <c r="N13">
        <f t="shared" si="12"/>
        <v>0.21722408026755854</v>
      </c>
      <c r="O13" s="3">
        <v>4260</v>
      </c>
      <c r="P13">
        <f t="shared" si="13"/>
        <v>0.42600000000000005</v>
      </c>
      <c r="Q13">
        <f t="shared" si="1"/>
        <v>28.56</v>
      </c>
      <c r="R13">
        <f t="shared" si="2"/>
        <v>0.6704225352112676</v>
      </c>
      <c r="S13">
        <f t="shared" si="3"/>
        <v>9.5326633714188507</v>
      </c>
      <c r="T13">
        <f t="shared" si="4"/>
        <v>0.35411220325559062</v>
      </c>
      <c r="U13">
        <f t="shared" si="14"/>
        <v>3.3074738471420568</v>
      </c>
      <c r="V13">
        <v>13.54</v>
      </c>
      <c r="W13">
        <f t="shared" si="15"/>
        <v>29.596282338117792</v>
      </c>
    </row>
    <row r="14" spans="1:23">
      <c r="A14">
        <v>4.04</v>
      </c>
      <c r="B14">
        <f t="shared" si="5"/>
        <v>4.0399999999999998E-2</v>
      </c>
      <c r="C14">
        <v>1</v>
      </c>
      <c r="D14">
        <v>-8.8000000000000007</v>
      </c>
      <c r="E14">
        <v>1</v>
      </c>
      <c r="F14">
        <f t="shared" si="6"/>
        <v>0.5</v>
      </c>
      <c r="G14">
        <f t="shared" si="7"/>
        <v>9.8000000000000007</v>
      </c>
      <c r="H14">
        <f t="shared" si="8"/>
        <v>588</v>
      </c>
      <c r="I14">
        <f t="shared" si="9"/>
        <v>0.70710678118654757</v>
      </c>
      <c r="J14">
        <f t="shared" si="0"/>
        <v>0.17104226669544431</v>
      </c>
      <c r="K14">
        <f t="shared" si="10"/>
        <v>7.2153753182300768</v>
      </c>
      <c r="L14">
        <v>6.54</v>
      </c>
      <c r="M14">
        <f t="shared" si="11"/>
        <v>1.3270000000000001E-2</v>
      </c>
      <c r="N14">
        <f t="shared" si="12"/>
        <v>0.20290519877675844</v>
      </c>
      <c r="O14" s="3">
        <v>4630</v>
      </c>
      <c r="P14">
        <f t="shared" si="13"/>
        <v>0.46300000000000002</v>
      </c>
      <c r="Q14">
        <f t="shared" si="1"/>
        <v>30.78</v>
      </c>
      <c r="R14">
        <f t="shared" si="2"/>
        <v>0.66479481641468685</v>
      </c>
      <c r="S14">
        <f t="shared" si="3"/>
        <v>9.1441025327419272</v>
      </c>
      <c r="T14">
        <f t="shared" si="4"/>
        <v>0.35411220325559062</v>
      </c>
      <c r="U14">
        <f t="shared" si="14"/>
        <v>3.3074738471420568</v>
      </c>
      <c r="V14">
        <v>13.54</v>
      </c>
      <c r="W14">
        <f t="shared" si="15"/>
        <v>32.466007882260506</v>
      </c>
    </row>
    <row r="15" spans="1:23">
      <c r="A15">
        <v>4.04</v>
      </c>
      <c r="B15">
        <f t="shared" si="5"/>
        <v>4.0399999999999998E-2</v>
      </c>
      <c r="C15">
        <v>1</v>
      </c>
      <c r="D15">
        <v>-9.1</v>
      </c>
      <c r="E15">
        <v>1</v>
      </c>
      <c r="F15">
        <f t="shared" si="6"/>
        <v>0.5</v>
      </c>
      <c r="G15">
        <f t="shared" si="7"/>
        <v>10.1</v>
      </c>
      <c r="H15">
        <f t="shared" si="8"/>
        <v>606</v>
      </c>
      <c r="I15">
        <f t="shared" si="9"/>
        <v>0.70710678118654757</v>
      </c>
      <c r="J15">
        <f t="shared" si="0"/>
        <v>0.17627825445142728</v>
      </c>
      <c r="K15">
        <f t="shared" si="10"/>
        <v>7.001057239470768</v>
      </c>
      <c r="L15">
        <v>6.92</v>
      </c>
      <c r="M15">
        <f t="shared" si="11"/>
        <v>1.346E-2</v>
      </c>
      <c r="N15">
        <f t="shared" si="12"/>
        <v>0.19450867052023121</v>
      </c>
      <c r="O15" s="3">
        <v>4890</v>
      </c>
      <c r="P15">
        <f t="shared" si="13"/>
        <v>0.48900000000000005</v>
      </c>
      <c r="Q15">
        <f t="shared" si="1"/>
        <v>32.340000000000003</v>
      </c>
      <c r="R15">
        <f t="shared" si="2"/>
        <v>0.66134969325153381</v>
      </c>
      <c r="S15">
        <f t="shared" si="3"/>
        <v>8.9229511860650792</v>
      </c>
      <c r="T15">
        <f t="shared" si="4"/>
        <v>0.35411220325559062</v>
      </c>
      <c r="U15">
        <f t="shared" si="14"/>
        <v>3.3074738471420568</v>
      </c>
      <c r="V15">
        <v>13.54</v>
      </c>
      <c r="W15">
        <f t="shared" si="15"/>
        <v>34.099326543093945</v>
      </c>
    </row>
    <row r="16" spans="1:23">
      <c r="A16">
        <v>4.04</v>
      </c>
      <c r="B16">
        <f t="shared" si="5"/>
        <v>4.0399999999999998E-2</v>
      </c>
      <c r="C16">
        <v>1</v>
      </c>
      <c r="D16">
        <v>-9.9</v>
      </c>
      <c r="E16">
        <v>1</v>
      </c>
      <c r="F16">
        <f t="shared" si="6"/>
        <v>0.5</v>
      </c>
      <c r="G16">
        <f t="shared" si="7"/>
        <v>10.9</v>
      </c>
      <c r="H16">
        <f t="shared" si="8"/>
        <v>654</v>
      </c>
      <c r="I16">
        <f t="shared" si="9"/>
        <v>0.70710678118654757</v>
      </c>
      <c r="J16">
        <f t="shared" si="0"/>
        <v>0.19024088846738194</v>
      </c>
      <c r="K16">
        <f t="shared" si="10"/>
        <v>6.4872181760233723</v>
      </c>
      <c r="L16">
        <v>7.15</v>
      </c>
      <c r="M16">
        <f t="shared" si="11"/>
        <v>1.3575E-2</v>
      </c>
      <c r="N16">
        <f t="shared" si="12"/>
        <v>0.18986013986013986</v>
      </c>
      <c r="O16" s="3">
        <v>5060</v>
      </c>
      <c r="P16">
        <f t="shared" si="13"/>
        <v>0.50600000000000001</v>
      </c>
      <c r="Q16">
        <f t="shared" si="1"/>
        <v>33.36</v>
      </c>
      <c r="R16">
        <f t="shared" si="2"/>
        <v>0.65928853754940708</v>
      </c>
      <c r="S16">
        <f t="shared" si="3"/>
        <v>9.3061914680948394</v>
      </c>
      <c r="T16">
        <f t="shared" si="4"/>
        <v>0.35411220325559062</v>
      </c>
      <c r="U16">
        <f t="shared" si="14"/>
        <v>3.3074738471420568</v>
      </c>
      <c r="V16">
        <v>13.54</v>
      </c>
      <c r="W16">
        <f t="shared" si="15"/>
        <v>31.268896099742687</v>
      </c>
    </row>
    <row r="17" spans="1:22">
      <c r="R17" s="4" t="s">
        <v>19</v>
      </c>
      <c r="S17" s="4">
        <f>AVERAGE(S3:S16)</f>
        <v>10.706424891660872</v>
      </c>
    </row>
    <row r="18" spans="1:22">
      <c r="R18" s="4" t="s">
        <v>22</v>
      </c>
      <c r="S18" s="4">
        <f>_xlfn.STDEV.P(S3:S16)</f>
        <v>1.3714706658977183</v>
      </c>
    </row>
    <row r="19" spans="1:22">
      <c r="R19" s="4" t="s">
        <v>35</v>
      </c>
      <c r="S19" s="4">
        <f xml:space="preserve"> CORREL(B25:B38,C25:C38)</f>
        <v>0.97721626069357559</v>
      </c>
    </row>
    <row r="20" spans="1:22" s="2" customFormat="1">
      <c r="A20" s="2" t="s">
        <v>25</v>
      </c>
      <c r="R20" s="4" t="s">
        <v>39</v>
      </c>
      <c r="S20" s="4">
        <f>COUNT(S3:S16)</f>
        <v>14</v>
      </c>
    </row>
    <row r="21" spans="1:22">
      <c r="V21" t="s">
        <v>36</v>
      </c>
    </row>
    <row r="22" spans="1:22">
      <c r="A22" t="s">
        <v>26</v>
      </c>
      <c r="E22" t="s">
        <v>56</v>
      </c>
      <c r="R22" t="s">
        <v>61</v>
      </c>
      <c r="S22">
        <f>2*S18/SQRT(S20)</f>
        <v>0.73308190682856766</v>
      </c>
    </row>
    <row r="23" spans="1:22">
      <c r="E23" t="s">
        <v>41</v>
      </c>
      <c r="F23" t="s">
        <v>42</v>
      </c>
      <c r="G23" t="s">
        <v>43</v>
      </c>
      <c r="J23" t="s">
        <v>23</v>
      </c>
      <c r="R23" t="s">
        <v>59</v>
      </c>
      <c r="S23">
        <f>S22/S17*100</f>
        <v>6.8471213710148753</v>
      </c>
    </row>
    <row r="24" spans="1:22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LINEST(_xlfn.ANCHORARRAY(F25),E25:E38, TRUE, TRUE)</f>
        <v>8.172826980123693</v>
      </c>
      <c r="H24">
        <v>2.5864477293074381E-2</v>
      </c>
      <c r="J24">
        <f>ABS(G24-W3)/W3 *100</f>
        <v>71.029313100776321</v>
      </c>
      <c r="R24" t="s">
        <v>23</v>
      </c>
      <c r="S24">
        <f>ABS(S17-V16)/V16 * 100</f>
        <v>20.927438023184106</v>
      </c>
    </row>
    <row r="25" spans="1:22">
      <c r="A25">
        <f t="shared" ref="A25:A38" si="16">L3</f>
        <v>1.1000000000000001</v>
      </c>
      <c r="B25">
        <f>P3</f>
        <v>0.08</v>
      </c>
      <c r="C25">
        <f t="shared" ref="C25:C38" si="17">J3</f>
        <v>3.1415926535897934E-2</v>
      </c>
      <c r="E25">
        <f>P3*B3</f>
        <v>3.2320000000000001E-3</v>
      </c>
      <c r="F25" cm="1">
        <f t="array" ref="F25:F38">J3:J16</f>
        <v>3.1415926535897934E-2</v>
      </c>
      <c r="G25">
        <v>0.51242532482034842</v>
      </c>
      <c r="H25">
        <v>6.903367540902948E-3</v>
      </c>
    </row>
    <row r="26" spans="1:22">
      <c r="A26">
        <f t="shared" si="16"/>
        <v>1.47</v>
      </c>
      <c r="B26">
        <f t="shared" ref="B26:B38" si="18">P4</f>
        <v>0.11</v>
      </c>
      <c r="C26">
        <f t="shared" si="17"/>
        <v>5.0614548307835558E-2</v>
      </c>
      <c r="E26">
        <f t="shared" ref="E26:E38" si="19">P4*B4</f>
        <v>4.444E-3</v>
      </c>
      <c r="F26">
        <v>5.0614548307835558E-2</v>
      </c>
      <c r="G26">
        <v>0.95495162016393487</v>
      </c>
      <c r="H26">
        <v>1.0591157919755354E-2</v>
      </c>
    </row>
    <row r="27" spans="1:22">
      <c r="A27">
        <f t="shared" si="16"/>
        <v>2.04</v>
      </c>
      <c r="B27">
        <f t="shared" si="18"/>
        <v>0.151</v>
      </c>
      <c r="C27">
        <f t="shared" si="17"/>
        <v>8.377580409572781E-2</v>
      </c>
      <c r="E27">
        <f t="shared" si="19"/>
        <v>6.1003999999999997E-3</v>
      </c>
      <c r="F27">
        <v>8.377580409572781E-2</v>
      </c>
      <c r="G27">
        <v>254.38027923909812</v>
      </c>
      <c r="H27">
        <v>12</v>
      </c>
    </row>
    <row r="28" spans="1:22">
      <c r="A28">
        <f t="shared" si="16"/>
        <v>2.5299999999999998</v>
      </c>
      <c r="B28">
        <f t="shared" si="18"/>
        <v>0.188</v>
      </c>
      <c r="C28">
        <f t="shared" si="17"/>
        <v>9.0757121103705138E-2</v>
      </c>
      <c r="E28">
        <f t="shared" si="19"/>
        <v>7.5951999999999999E-3</v>
      </c>
      <c r="F28">
        <v>9.0757121103705138E-2</v>
      </c>
      <c r="G28">
        <v>2.8534503945517722E-2</v>
      </c>
      <c r="H28">
        <v>1.3460715129743589E-3</v>
      </c>
    </row>
    <row r="29" spans="1:22">
      <c r="A29">
        <f t="shared" si="16"/>
        <v>3</v>
      </c>
      <c r="B29">
        <f t="shared" si="18"/>
        <v>0.219</v>
      </c>
      <c r="C29">
        <f t="shared" si="17"/>
        <v>0.1064650843716541</v>
      </c>
      <c r="E29">
        <f t="shared" si="19"/>
        <v>8.8475999999999989E-3</v>
      </c>
      <c r="F29">
        <v>0.1064650843716541</v>
      </c>
    </row>
    <row r="30" spans="1:22">
      <c r="A30">
        <f t="shared" si="16"/>
        <v>3.49</v>
      </c>
      <c r="B30">
        <f t="shared" si="18"/>
        <v>0.255</v>
      </c>
      <c r="C30">
        <f t="shared" si="17"/>
        <v>0.12217304763960307</v>
      </c>
      <c r="E30">
        <f t="shared" si="19"/>
        <v>1.0302E-2</v>
      </c>
      <c r="F30">
        <v>0.12217304763960307</v>
      </c>
    </row>
    <row r="31" spans="1:22">
      <c r="A31">
        <f t="shared" si="16"/>
        <v>4</v>
      </c>
      <c r="B31">
        <f t="shared" si="18"/>
        <v>0.28900000000000003</v>
      </c>
      <c r="C31">
        <f t="shared" si="17"/>
        <v>0.1361356816555577</v>
      </c>
      <c r="E31">
        <f t="shared" si="19"/>
        <v>1.1675600000000001E-2</v>
      </c>
      <c r="F31">
        <v>0.1361356816555577</v>
      </c>
    </row>
    <row r="32" spans="1:22">
      <c r="A32">
        <f t="shared" si="16"/>
        <v>4.53</v>
      </c>
      <c r="B32">
        <f t="shared" si="18"/>
        <v>0.32600000000000001</v>
      </c>
      <c r="C32">
        <f t="shared" si="17"/>
        <v>0.1413716694115407</v>
      </c>
      <c r="E32">
        <f t="shared" si="19"/>
        <v>1.3170400000000001E-2</v>
      </c>
      <c r="F32">
        <v>0.1413716694115407</v>
      </c>
    </row>
    <row r="33" spans="1:8">
      <c r="A33">
        <f t="shared" si="16"/>
        <v>5.05</v>
      </c>
      <c r="B33">
        <f t="shared" si="18"/>
        <v>0.36100000000000004</v>
      </c>
      <c r="C33">
        <f t="shared" si="17"/>
        <v>0.14835298641951802</v>
      </c>
      <c r="E33">
        <f t="shared" si="19"/>
        <v>1.4584400000000001E-2</v>
      </c>
      <c r="F33">
        <v>0.14835298641951802</v>
      </c>
    </row>
    <row r="34" spans="1:8">
      <c r="A34">
        <f t="shared" si="16"/>
        <v>5.53</v>
      </c>
      <c r="B34">
        <f t="shared" si="18"/>
        <v>0.39500000000000002</v>
      </c>
      <c r="C34">
        <f t="shared" si="17"/>
        <v>0.15533430342749532</v>
      </c>
      <c r="E34">
        <f t="shared" si="19"/>
        <v>1.5958E-2</v>
      </c>
      <c r="F34">
        <v>0.15533430342749532</v>
      </c>
    </row>
    <row r="35" spans="1:8">
      <c r="A35">
        <f t="shared" si="16"/>
        <v>5.98</v>
      </c>
      <c r="B35">
        <f t="shared" si="18"/>
        <v>0.42600000000000005</v>
      </c>
      <c r="C35">
        <f t="shared" si="17"/>
        <v>0.16406094968746698</v>
      </c>
      <c r="E35">
        <f t="shared" si="19"/>
        <v>1.7210400000000001E-2</v>
      </c>
      <c r="F35">
        <v>0.16406094968746698</v>
      </c>
    </row>
    <row r="36" spans="1:8">
      <c r="A36">
        <f t="shared" si="16"/>
        <v>6.54</v>
      </c>
      <c r="B36">
        <f t="shared" si="18"/>
        <v>0.46300000000000002</v>
      </c>
      <c r="C36">
        <f t="shared" si="17"/>
        <v>0.17104226669544431</v>
      </c>
      <c r="E36">
        <f t="shared" si="19"/>
        <v>1.8705200000000002E-2</v>
      </c>
      <c r="F36">
        <v>0.17104226669544431</v>
      </c>
    </row>
    <row r="37" spans="1:8">
      <c r="A37">
        <f t="shared" si="16"/>
        <v>6.92</v>
      </c>
      <c r="B37">
        <f t="shared" si="18"/>
        <v>0.48900000000000005</v>
      </c>
      <c r="C37">
        <f t="shared" si="17"/>
        <v>0.17627825445142728</v>
      </c>
      <c r="E37">
        <f t="shared" si="19"/>
        <v>1.9755600000000002E-2</v>
      </c>
      <c r="F37">
        <v>0.17627825445142728</v>
      </c>
    </row>
    <row r="38" spans="1:8">
      <c r="A38">
        <f t="shared" si="16"/>
        <v>7.15</v>
      </c>
      <c r="B38">
        <f t="shared" si="18"/>
        <v>0.50600000000000001</v>
      </c>
      <c r="C38">
        <f t="shared" si="17"/>
        <v>0.19024088846738194</v>
      </c>
      <c r="E38">
        <f t="shared" si="19"/>
        <v>2.0442399999999999E-2</v>
      </c>
      <c r="F38">
        <v>0.19024088846738194</v>
      </c>
    </row>
    <row r="42" spans="1:8">
      <c r="A42" s="4" t="s">
        <v>46</v>
      </c>
      <c r="B42" s="4" t="s">
        <v>50</v>
      </c>
      <c r="C42" s="4" t="s">
        <v>51</v>
      </c>
      <c r="D42" s="4" t="s">
        <v>50</v>
      </c>
      <c r="E42" s="4" t="s">
        <v>52</v>
      </c>
      <c r="F42" s="4" t="s">
        <v>50</v>
      </c>
      <c r="G42" s="4" t="s">
        <v>53</v>
      </c>
      <c r="H42" s="4" t="s">
        <v>50</v>
      </c>
    </row>
    <row r="43" spans="1:8">
      <c r="A43">
        <f>L3</f>
        <v>1.1000000000000001</v>
      </c>
      <c r="B43">
        <f>N3</f>
        <v>0.95909090909090911</v>
      </c>
      <c r="C43">
        <f>P3</f>
        <v>0.08</v>
      </c>
      <c r="D43">
        <f>R3</f>
        <v>0.97499999999999998</v>
      </c>
      <c r="E43">
        <f>J3</f>
        <v>3.1415926535897934E-2</v>
      </c>
      <c r="F43">
        <f>K3</f>
        <v>39.283710065919308</v>
      </c>
      <c r="G43">
        <f>S3</f>
        <v>9.7202742994733704</v>
      </c>
      <c r="H43">
        <f>B43+D43+F43</f>
        <v>41.217800975010221</v>
      </c>
    </row>
    <row r="44" spans="1:8">
      <c r="A44">
        <f t="shared" ref="A44:A56" si="20">L4</f>
        <v>1.47</v>
      </c>
      <c r="B44">
        <f t="shared" ref="B44:B56" si="21">N4</f>
        <v>0.73027210884353744</v>
      </c>
      <c r="C44">
        <f t="shared" ref="C44:C56" si="22">P4</f>
        <v>0.11</v>
      </c>
      <c r="D44">
        <f t="shared" ref="D44:D56" si="23">R4</f>
        <v>0.8727272727272728</v>
      </c>
      <c r="E44">
        <f t="shared" ref="E44:E56" si="24">J4</f>
        <v>5.0614548307835558E-2</v>
      </c>
      <c r="F44">
        <f t="shared" ref="F44:F56" si="25">K4</f>
        <v>24.382992454708539</v>
      </c>
      <c r="G44">
        <f t="shared" ref="G44:G56" si="26">S4</f>
        <v>11.38941231049405</v>
      </c>
      <c r="H44">
        <f t="shared" ref="H44:H56" si="27">B44+D44+F44</f>
        <v>25.98599183627935</v>
      </c>
    </row>
    <row r="45" spans="1:8">
      <c r="A45">
        <f t="shared" si="20"/>
        <v>2.04</v>
      </c>
      <c r="B45">
        <f t="shared" si="21"/>
        <v>0.54019607843137263</v>
      </c>
      <c r="C45">
        <f t="shared" si="22"/>
        <v>0.151</v>
      </c>
      <c r="D45">
        <f t="shared" si="23"/>
        <v>0.79867549668874183</v>
      </c>
      <c r="E45">
        <f t="shared" si="24"/>
        <v>8.377580409572781E-2</v>
      </c>
      <c r="F45">
        <f t="shared" si="25"/>
        <v>14.731391274719741</v>
      </c>
      <c r="G45">
        <f t="shared" si="26"/>
        <v>13.732837862390632</v>
      </c>
      <c r="H45">
        <f t="shared" si="27"/>
        <v>16.070262849839857</v>
      </c>
    </row>
    <row r="46" spans="1:8">
      <c r="A46">
        <f t="shared" si="20"/>
        <v>2.5299999999999998</v>
      </c>
      <c r="B46">
        <f t="shared" si="21"/>
        <v>0.44525691699604752</v>
      </c>
      <c r="C46">
        <f t="shared" si="22"/>
        <v>0.188</v>
      </c>
      <c r="D46">
        <f t="shared" si="23"/>
        <v>0.75957446808510631</v>
      </c>
      <c r="E46">
        <f t="shared" si="24"/>
        <v>9.0757121103705138E-2</v>
      </c>
      <c r="F46">
        <f t="shared" si="25"/>
        <v>13.598207330510531</v>
      </c>
      <c r="G46">
        <f t="shared" si="26"/>
        <v>11.949273370510999</v>
      </c>
      <c r="H46">
        <f t="shared" si="27"/>
        <v>14.803038715591684</v>
      </c>
    </row>
    <row r="47" spans="1:8">
      <c r="A47">
        <f t="shared" si="20"/>
        <v>3</v>
      </c>
      <c r="B47">
        <f t="shared" si="21"/>
        <v>0.3833333333333333</v>
      </c>
      <c r="C47">
        <f t="shared" si="22"/>
        <v>0.219</v>
      </c>
      <c r="D47">
        <f t="shared" si="23"/>
        <v>0.73698630136986309</v>
      </c>
      <c r="E47">
        <f t="shared" si="24"/>
        <v>0.1064650843716541</v>
      </c>
      <c r="F47">
        <f t="shared" si="25"/>
        <v>11.591914445681109</v>
      </c>
      <c r="G47">
        <f t="shared" si="26"/>
        <v>12.033216281438369</v>
      </c>
      <c r="H47">
        <f t="shared" si="27"/>
        <v>12.712234080384306</v>
      </c>
    </row>
    <row r="48" spans="1:8">
      <c r="A48">
        <f t="shared" si="20"/>
        <v>3.49</v>
      </c>
      <c r="B48">
        <f t="shared" si="21"/>
        <v>0.33653295128939825</v>
      </c>
      <c r="C48">
        <f t="shared" si="22"/>
        <v>0.255</v>
      </c>
      <c r="D48">
        <f t="shared" si="23"/>
        <v>0.71764705882352942</v>
      </c>
      <c r="E48">
        <f t="shared" si="24"/>
        <v>0.12217304763960307</v>
      </c>
      <c r="F48">
        <f t="shared" si="25"/>
        <v>10.101525445522109</v>
      </c>
      <c r="G48">
        <f t="shared" si="26"/>
        <v>11.859158186721324</v>
      </c>
      <c r="H48">
        <f t="shared" si="27"/>
        <v>11.155705455635037</v>
      </c>
    </row>
    <row r="49" spans="1:8">
      <c r="A49">
        <f t="shared" si="20"/>
        <v>4</v>
      </c>
      <c r="B49">
        <f t="shared" si="21"/>
        <v>0.3</v>
      </c>
      <c r="C49">
        <f t="shared" si="22"/>
        <v>0.28900000000000003</v>
      </c>
      <c r="D49">
        <f t="shared" si="23"/>
        <v>0.70380622837370233</v>
      </c>
      <c r="E49">
        <f t="shared" si="24"/>
        <v>0.1361356816555577</v>
      </c>
      <c r="F49">
        <f t="shared" si="25"/>
        <v>9.065471553673687</v>
      </c>
      <c r="G49">
        <f t="shared" si="26"/>
        <v>11.659844603751216</v>
      </c>
      <c r="H49">
        <f t="shared" si="27"/>
        <v>10.06927778204739</v>
      </c>
    </row>
    <row r="50" spans="1:8">
      <c r="A50">
        <f t="shared" si="20"/>
        <v>4.53</v>
      </c>
      <c r="B50">
        <f t="shared" si="21"/>
        <v>0.2707505518763797</v>
      </c>
      <c r="C50">
        <f t="shared" si="22"/>
        <v>0.32600000000000001</v>
      </c>
      <c r="D50">
        <f t="shared" si="23"/>
        <v>0.69202453987730062</v>
      </c>
      <c r="E50">
        <f t="shared" si="24"/>
        <v>0.1413716694115407</v>
      </c>
      <c r="F50">
        <f t="shared" si="25"/>
        <v>8.7297133479820701</v>
      </c>
      <c r="G50">
        <f t="shared" si="26"/>
        <v>10.734045238682249</v>
      </c>
      <c r="H50">
        <f t="shared" si="27"/>
        <v>9.6924884397357509</v>
      </c>
    </row>
    <row r="51" spans="1:8">
      <c r="A51">
        <f t="shared" si="20"/>
        <v>5.05</v>
      </c>
      <c r="B51">
        <f t="shared" si="21"/>
        <v>0.24801980198019802</v>
      </c>
      <c r="C51">
        <f t="shared" si="22"/>
        <v>0.36100000000000004</v>
      </c>
      <c r="D51">
        <f t="shared" si="23"/>
        <v>0.68310249307479221</v>
      </c>
      <c r="E51">
        <f t="shared" si="24"/>
        <v>0.14835298641951802</v>
      </c>
      <c r="F51">
        <f t="shared" si="25"/>
        <v>8.3189033080770294</v>
      </c>
      <c r="G51">
        <f t="shared" si="26"/>
        <v>10.172032200126026</v>
      </c>
      <c r="H51">
        <f t="shared" si="27"/>
        <v>9.2500256031320198</v>
      </c>
    </row>
    <row r="52" spans="1:8">
      <c r="A52">
        <f t="shared" si="20"/>
        <v>5.53</v>
      </c>
      <c r="B52">
        <f t="shared" si="21"/>
        <v>0.23083182640144667</v>
      </c>
      <c r="C52">
        <f t="shared" si="22"/>
        <v>0.39500000000000002</v>
      </c>
      <c r="D52">
        <f t="shared" si="23"/>
        <v>0.67594936708860764</v>
      </c>
      <c r="E52">
        <f t="shared" si="24"/>
        <v>0.15533430342749532</v>
      </c>
      <c r="F52">
        <f t="shared" si="25"/>
        <v>7.9450200133319955</v>
      </c>
      <c r="G52">
        <f t="shared" si="26"/>
        <v>9.7339455713432343</v>
      </c>
      <c r="H52">
        <f t="shared" si="27"/>
        <v>8.8518012068220493</v>
      </c>
    </row>
    <row r="53" spans="1:8">
      <c r="A53">
        <f t="shared" si="20"/>
        <v>5.98</v>
      </c>
      <c r="B53">
        <f t="shared" si="21"/>
        <v>0.21722408026755854</v>
      </c>
      <c r="C53">
        <f t="shared" si="22"/>
        <v>0.42600000000000005</v>
      </c>
      <c r="D53">
        <f t="shared" si="23"/>
        <v>0.6704225352112676</v>
      </c>
      <c r="E53">
        <f t="shared" si="24"/>
        <v>0.16406094968746698</v>
      </c>
      <c r="F53">
        <f t="shared" si="25"/>
        <v>7.5224125658143359</v>
      </c>
      <c r="G53">
        <f t="shared" si="26"/>
        <v>9.5326633714188507</v>
      </c>
      <c r="H53">
        <f t="shared" si="27"/>
        <v>8.4100591812931622</v>
      </c>
    </row>
    <row r="54" spans="1:8">
      <c r="A54">
        <f t="shared" si="20"/>
        <v>6.54</v>
      </c>
      <c r="B54">
        <f t="shared" si="21"/>
        <v>0.20290519877675844</v>
      </c>
      <c r="C54">
        <f t="shared" si="22"/>
        <v>0.46300000000000002</v>
      </c>
      <c r="D54">
        <f t="shared" si="23"/>
        <v>0.66479481641468685</v>
      </c>
      <c r="E54">
        <f t="shared" si="24"/>
        <v>0.17104226669544431</v>
      </c>
      <c r="F54">
        <f t="shared" si="25"/>
        <v>7.2153753182300768</v>
      </c>
      <c r="G54">
        <f t="shared" si="26"/>
        <v>9.1441025327419272</v>
      </c>
      <c r="H54">
        <f t="shared" si="27"/>
        <v>8.0830753334215224</v>
      </c>
    </row>
    <row r="55" spans="1:8">
      <c r="A55">
        <f t="shared" si="20"/>
        <v>6.92</v>
      </c>
      <c r="B55">
        <f t="shared" si="21"/>
        <v>0.19450867052023121</v>
      </c>
      <c r="C55">
        <f t="shared" si="22"/>
        <v>0.48900000000000005</v>
      </c>
      <c r="D55">
        <f t="shared" si="23"/>
        <v>0.66134969325153381</v>
      </c>
      <c r="E55">
        <f t="shared" si="24"/>
        <v>0.17627825445142728</v>
      </c>
      <c r="F55">
        <f t="shared" si="25"/>
        <v>7.001057239470768</v>
      </c>
      <c r="G55">
        <f t="shared" si="26"/>
        <v>8.9229511860650792</v>
      </c>
      <c r="H55">
        <f t="shared" si="27"/>
        <v>7.8569156032425331</v>
      </c>
    </row>
    <row r="56" spans="1:8">
      <c r="A56">
        <f t="shared" si="20"/>
        <v>7.15</v>
      </c>
      <c r="B56">
        <f t="shared" si="21"/>
        <v>0.18986013986013986</v>
      </c>
      <c r="C56">
        <f t="shared" si="22"/>
        <v>0.50600000000000001</v>
      </c>
      <c r="D56">
        <f t="shared" si="23"/>
        <v>0.65928853754940708</v>
      </c>
      <c r="E56">
        <f t="shared" si="24"/>
        <v>0.19024088846738194</v>
      </c>
      <c r="F56">
        <f t="shared" si="25"/>
        <v>6.4872181760233723</v>
      </c>
      <c r="G56">
        <f t="shared" si="26"/>
        <v>9.3061914680948394</v>
      </c>
      <c r="H56">
        <f t="shared" si="27"/>
        <v>7.3363668534329189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720-6A27-4F97-9C5B-B14FFC1DE030}">
  <dimension ref="A1:AB52"/>
  <sheetViews>
    <sheetView topLeftCell="F25" zoomScale="110" zoomScaleNormal="110" workbookViewId="0">
      <selection activeCell="A41" sqref="A41:H52"/>
    </sheetView>
  </sheetViews>
  <sheetFormatPr defaultColWidth="11.42578125" defaultRowHeight="15"/>
  <cols>
    <col min="1" max="1" width="15.42578125" customWidth="1"/>
    <col min="2" max="2" width="19.85546875" customWidth="1"/>
    <col min="3" max="3" width="21" customWidth="1"/>
    <col min="4" max="4" width="19.5703125" customWidth="1"/>
    <col min="5" max="5" width="21.85546875" customWidth="1"/>
    <col min="6" max="6" width="19.8554687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19" width="18.5703125" customWidth="1"/>
    <col min="20" max="20" width="16.85546875" customWidth="1"/>
    <col min="22" max="22" width="17.85546875" customWidth="1"/>
    <col min="23" max="23" width="17.42578125" customWidth="1"/>
    <col min="24" max="24" width="11.85546875" customWidth="1"/>
    <col min="25" max="25" width="16.7109375" customWidth="1"/>
  </cols>
  <sheetData>
    <row r="1" spans="1:28">
      <c r="A1" t="s">
        <v>37</v>
      </c>
      <c r="B1" t="s">
        <v>54</v>
      </c>
      <c r="C1">
        <v>0</v>
      </c>
      <c r="D1" t="s">
        <v>30</v>
      </c>
      <c r="E1">
        <v>488</v>
      </c>
      <c r="F1" t="s">
        <v>62</v>
      </c>
      <c r="G1" t="s">
        <v>63</v>
      </c>
    </row>
    <row r="2" spans="1:2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64</v>
      </c>
      <c r="T2" t="s">
        <v>15</v>
      </c>
      <c r="U2" t="s">
        <v>8</v>
      </c>
      <c r="V2" t="s">
        <v>11</v>
      </c>
      <c r="W2" t="s">
        <v>31</v>
      </c>
      <c r="X2" t="s">
        <v>23</v>
      </c>
      <c r="Y2" t="s">
        <v>18</v>
      </c>
      <c r="Z2" t="s">
        <v>19</v>
      </c>
      <c r="AA2" t="s">
        <v>34</v>
      </c>
      <c r="AB2" t="s">
        <v>19</v>
      </c>
    </row>
    <row r="3" spans="1:28">
      <c r="A3">
        <v>3.05</v>
      </c>
      <c r="B3">
        <f>$A$3/100</f>
        <v>3.0499999999999999E-2</v>
      </c>
      <c r="C3">
        <v>11</v>
      </c>
      <c r="D3" s="1">
        <v>11.0001</v>
      </c>
      <c r="E3">
        <v>1</v>
      </c>
      <c r="F3">
        <f>$E$3/2</f>
        <v>0.5</v>
      </c>
      <c r="G3">
        <f>ABS(C3-D3)</f>
        <v>9.9999999999766942E-5</v>
      </c>
      <c r="H3">
        <f>G3*60</f>
        <v>5.9999999999860165E-3</v>
      </c>
      <c r="I3">
        <f>SQRT(2)*F3</f>
        <v>0.70710678118654757</v>
      </c>
      <c r="J3">
        <f t="shared" ref="J3:J16" si="0">RADIANS(G3)</f>
        <v>1.7453292519902619E-6</v>
      </c>
      <c r="K3">
        <f>I3/G3 * 100</f>
        <v>707106.78118819545</v>
      </c>
      <c r="L3">
        <v>1.1299999999999999</v>
      </c>
      <c r="M3">
        <f xml:space="preserve"> (0.05*L3/100) + 0.01</f>
        <v>1.0565E-2</v>
      </c>
      <c r="N3">
        <f xml:space="preserve"> M3/L3*100</f>
        <v>0.93495575221238947</v>
      </c>
      <c r="O3" s="3">
        <v>870</v>
      </c>
      <c r="P3">
        <f>O3*0.0001</f>
        <v>8.7000000000000008E-2</v>
      </c>
      <c r="Q3">
        <f t="shared" ref="Q3:Q16" si="1">(O3*0.6/100)+3</f>
        <v>8.2199999999999989</v>
      </c>
      <c r="R3">
        <f t="shared" ref="R3:R16" si="2">Q3/O3 * 100</f>
        <v>0.94482758620689644</v>
      </c>
      <c r="T3">
        <f>J3/(P3*B3)</f>
        <v>6.5774609081977083E-4</v>
      </c>
      <c r="U3">
        <f t="shared" ref="U3:U16" si="3">$T$18/SQRT(15)</f>
        <v>0.59205391397924079</v>
      </c>
      <c r="V3">
        <f t="shared" ref="V3:V16" si="4">U3/$T$17*100</f>
        <v>11.940577460339641</v>
      </c>
      <c r="W3">
        <v>12.51</v>
      </c>
      <c r="X3">
        <f>ABS(W3-T3)/W3*100</f>
        <v>99.994742237483464</v>
      </c>
      <c r="Y3">
        <f>1/(T3/W3)*100</f>
        <v>1901949.7302383613</v>
      </c>
      <c r="Z3">
        <f>AVERAGE(Y3:Y16)</f>
        <v>136235.0805022236</v>
      </c>
      <c r="AA3">
        <f>T3/W3</f>
        <v>5.257762516544931E-5</v>
      </c>
      <c r="AB3">
        <f>AVERAGE(AA3:AA16)</f>
        <v>0.39634977549425543</v>
      </c>
    </row>
    <row r="4" spans="1:28">
      <c r="A4">
        <v>3.05</v>
      </c>
      <c r="B4">
        <f t="shared" ref="B4:B16" si="5">$A$3/100</f>
        <v>3.0499999999999999E-2</v>
      </c>
      <c r="C4">
        <v>11</v>
      </c>
      <c r="D4">
        <v>10.9</v>
      </c>
      <c r="E4">
        <v>1</v>
      </c>
      <c r="F4">
        <f t="shared" ref="F4:F16" si="6">$E$3/2</f>
        <v>0.5</v>
      </c>
      <c r="G4">
        <f t="shared" ref="G4:G15" si="7">ABS(C4-D4)</f>
        <v>9.9999999999999645E-2</v>
      </c>
      <c r="H4">
        <f t="shared" ref="H4:H16" si="8">G4*60</f>
        <v>5.9999999999999787</v>
      </c>
      <c r="I4">
        <f t="shared" ref="I4:I16" si="9">SQRT(2)*F4</f>
        <v>0.70710678118654757</v>
      </c>
      <c r="J4">
        <f t="shared" si="0"/>
        <v>1.7453292519943233E-3</v>
      </c>
      <c r="K4">
        <f t="shared" ref="K4:K16" si="10">I4/G4 * 100</f>
        <v>707.10678118655017</v>
      </c>
      <c r="L4">
        <v>1.51</v>
      </c>
      <c r="M4">
        <f t="shared" ref="M4:M16" si="11" xml:space="preserve"> (0.05*L4/100) + 0.01</f>
        <v>1.0755000000000001E-2</v>
      </c>
      <c r="N4">
        <f t="shared" ref="N4:N16" si="12" xml:space="preserve"> M4/L4*100</f>
        <v>0.71225165562913917</v>
      </c>
      <c r="O4" s="3">
        <v>1150</v>
      </c>
      <c r="P4">
        <f t="shared" ref="P4:P16" si="13">O4*0.0001</f>
        <v>0.115</v>
      </c>
      <c r="Q4">
        <f t="shared" si="1"/>
        <v>9.9</v>
      </c>
      <c r="R4">
        <f t="shared" si="2"/>
        <v>0.86086956521739133</v>
      </c>
      <c r="T4">
        <f t="shared" ref="T4:T16" si="14">J4/(P4*B4)</f>
        <v>0.49759921653437583</v>
      </c>
      <c r="U4">
        <f t="shared" si="3"/>
        <v>0.59205391397924079</v>
      </c>
      <c r="V4">
        <f t="shared" si="4"/>
        <v>11.940577460339641</v>
      </c>
      <c r="W4">
        <v>12.51</v>
      </c>
      <c r="X4">
        <f t="shared" ref="X4:X16" si="15">ABS(W4-T4)/W4*100</f>
        <v>96.022388357039361</v>
      </c>
      <c r="Y4">
        <f t="shared" ref="Y4:Y16" si="16">1/(T4/W4)*100</f>
        <v>2514.0714824931333</v>
      </c>
      <c r="AA4">
        <f t="shared" ref="AA4:AA16" si="17">T4/W4</f>
        <v>3.9776116429606385E-2</v>
      </c>
    </row>
    <row r="5" spans="1:28">
      <c r="A5">
        <v>3.05</v>
      </c>
      <c r="B5">
        <f t="shared" si="5"/>
        <v>3.0499999999999999E-2</v>
      </c>
      <c r="C5">
        <v>11</v>
      </c>
      <c r="D5">
        <v>10.199999999999999</v>
      </c>
      <c r="E5">
        <v>1</v>
      </c>
      <c r="F5">
        <f t="shared" si="6"/>
        <v>0.5</v>
      </c>
      <c r="G5">
        <f t="shared" si="7"/>
        <v>0.80000000000000071</v>
      </c>
      <c r="H5">
        <f t="shared" si="8"/>
        <v>48.000000000000043</v>
      </c>
      <c r="I5">
        <f t="shared" si="9"/>
        <v>0.70710678118654757</v>
      </c>
      <c r="J5">
        <f t="shared" si="0"/>
        <v>1.3962634015954649E-2</v>
      </c>
      <c r="K5">
        <f t="shared" si="10"/>
        <v>88.388347648318373</v>
      </c>
      <c r="L5">
        <v>2.08</v>
      </c>
      <c r="M5">
        <f t="shared" si="11"/>
        <v>1.1040000000000001E-2</v>
      </c>
      <c r="N5">
        <f t="shared" si="12"/>
        <v>0.53076923076923088</v>
      </c>
      <c r="O5" s="3">
        <v>1560</v>
      </c>
      <c r="P5">
        <f t="shared" si="13"/>
        <v>0.156</v>
      </c>
      <c r="Q5">
        <f t="shared" si="1"/>
        <v>12.36</v>
      </c>
      <c r="R5">
        <f t="shared" si="2"/>
        <v>0.79230769230769238</v>
      </c>
      <c r="T5">
        <f t="shared" si="14"/>
        <v>2.9345594821258194</v>
      </c>
      <c r="U5">
        <f t="shared" si="3"/>
        <v>0.59205391397924079</v>
      </c>
      <c r="V5">
        <f t="shared" si="4"/>
        <v>11.940577460339641</v>
      </c>
      <c r="W5">
        <v>12.51</v>
      </c>
      <c r="X5">
        <f t="shared" si="15"/>
        <v>76.54229031074486</v>
      </c>
      <c r="Y5">
        <f t="shared" si="16"/>
        <v>426.29907746622501</v>
      </c>
      <c r="AA5">
        <f t="shared" si="17"/>
        <v>0.23457709689255152</v>
      </c>
    </row>
    <row r="6" spans="1:28">
      <c r="A6">
        <v>3.05</v>
      </c>
      <c r="B6">
        <f t="shared" si="5"/>
        <v>3.0499999999999999E-2</v>
      </c>
      <c r="C6">
        <v>11</v>
      </c>
      <c r="D6">
        <v>9.9</v>
      </c>
      <c r="E6">
        <v>1</v>
      </c>
      <c r="F6">
        <f t="shared" si="6"/>
        <v>0.5</v>
      </c>
      <c r="G6">
        <f t="shared" si="7"/>
        <v>1.0999999999999996</v>
      </c>
      <c r="H6">
        <f t="shared" si="8"/>
        <v>65.999999999999972</v>
      </c>
      <c r="I6">
        <f t="shared" si="9"/>
        <v>0.70710678118654757</v>
      </c>
      <c r="J6">
        <f t="shared" si="0"/>
        <v>1.9198621771937621E-2</v>
      </c>
      <c r="K6">
        <f t="shared" si="10"/>
        <v>64.282434653322525</v>
      </c>
      <c r="L6">
        <v>2.5299999999999998</v>
      </c>
      <c r="M6">
        <f t="shared" si="11"/>
        <v>1.1265000000000001E-2</v>
      </c>
      <c r="N6">
        <f t="shared" si="12"/>
        <v>0.44525691699604752</v>
      </c>
      <c r="O6" s="3">
        <v>1880</v>
      </c>
      <c r="P6">
        <f t="shared" si="13"/>
        <v>0.188</v>
      </c>
      <c r="Q6">
        <f t="shared" si="1"/>
        <v>14.28</v>
      </c>
      <c r="R6">
        <f t="shared" si="2"/>
        <v>0.75957446808510631</v>
      </c>
      <c r="T6">
        <f t="shared" si="14"/>
        <v>3.3482074942339768</v>
      </c>
      <c r="U6">
        <f t="shared" si="3"/>
        <v>0.59205391397924079</v>
      </c>
      <c r="V6">
        <f t="shared" si="4"/>
        <v>11.940577460339641</v>
      </c>
      <c r="W6">
        <v>12.51</v>
      </c>
      <c r="X6">
        <f t="shared" si="15"/>
        <v>73.235751444972209</v>
      </c>
      <c r="Y6">
        <f t="shared" si="16"/>
        <v>373.63275787249603</v>
      </c>
      <c r="AA6">
        <f t="shared" si="17"/>
        <v>0.26764248555027792</v>
      </c>
    </row>
    <row r="7" spans="1:28">
      <c r="A7">
        <v>3.05</v>
      </c>
      <c r="B7">
        <f t="shared" si="5"/>
        <v>3.0499999999999999E-2</v>
      </c>
      <c r="C7">
        <v>11</v>
      </c>
      <c r="D7">
        <v>9.1</v>
      </c>
      <c r="E7">
        <v>1</v>
      </c>
      <c r="F7">
        <f t="shared" si="6"/>
        <v>0.5</v>
      </c>
      <c r="G7">
        <f t="shared" si="7"/>
        <v>1.9000000000000004</v>
      </c>
      <c r="H7">
        <f t="shared" si="8"/>
        <v>114.00000000000003</v>
      </c>
      <c r="I7">
        <f t="shared" si="9"/>
        <v>0.70710678118654757</v>
      </c>
      <c r="J7">
        <f t="shared" si="0"/>
        <v>3.3161255787892266E-2</v>
      </c>
      <c r="K7">
        <f t="shared" si="10"/>
        <v>37.216146378239337</v>
      </c>
      <c r="L7">
        <v>3.07</v>
      </c>
      <c r="M7">
        <f t="shared" si="11"/>
        <v>1.1535E-2</v>
      </c>
      <c r="N7">
        <f t="shared" si="12"/>
        <v>0.37573289902280133</v>
      </c>
      <c r="O7" s="3">
        <v>2270</v>
      </c>
      <c r="P7">
        <f t="shared" si="13"/>
        <v>0.22700000000000001</v>
      </c>
      <c r="Q7">
        <f t="shared" si="1"/>
        <v>16.619999999999997</v>
      </c>
      <c r="R7">
        <f t="shared" si="2"/>
        <v>0.73215859030836994</v>
      </c>
      <c r="T7">
        <f t="shared" si="14"/>
        <v>4.789666467522534</v>
      </c>
      <c r="U7">
        <f t="shared" si="3"/>
        <v>0.59205391397924079</v>
      </c>
      <c r="V7">
        <f t="shared" si="4"/>
        <v>11.940577460339641</v>
      </c>
      <c r="W7">
        <v>12.51</v>
      </c>
      <c r="X7">
        <f t="shared" si="15"/>
        <v>61.713297621722354</v>
      </c>
      <c r="Y7">
        <f t="shared" si="16"/>
        <v>261.18728902788979</v>
      </c>
      <c r="AA7">
        <f t="shared" si="17"/>
        <v>0.38286702378277648</v>
      </c>
    </row>
    <row r="8" spans="1:28">
      <c r="A8">
        <v>3.05</v>
      </c>
      <c r="B8">
        <f t="shared" si="5"/>
        <v>3.0499999999999999E-2</v>
      </c>
      <c r="C8">
        <v>11</v>
      </c>
      <c r="D8">
        <v>8.5</v>
      </c>
      <c r="E8">
        <v>1</v>
      </c>
      <c r="F8">
        <f t="shared" si="6"/>
        <v>0.5</v>
      </c>
      <c r="G8">
        <f t="shared" si="7"/>
        <v>2.5</v>
      </c>
      <c r="H8">
        <f t="shared" si="8"/>
        <v>150</v>
      </c>
      <c r="I8">
        <f t="shared" si="9"/>
        <v>0.70710678118654757</v>
      </c>
      <c r="J8">
        <f t="shared" si="0"/>
        <v>4.3633231299858237E-2</v>
      </c>
      <c r="K8">
        <f t="shared" si="10"/>
        <v>28.284271247461902</v>
      </c>
      <c r="L8">
        <v>3.5</v>
      </c>
      <c r="M8">
        <f t="shared" si="11"/>
        <v>1.175E-2</v>
      </c>
      <c r="N8">
        <f t="shared" si="12"/>
        <v>0.33571428571428574</v>
      </c>
      <c r="O8" s="3">
        <v>2580</v>
      </c>
      <c r="P8">
        <f t="shared" si="13"/>
        <v>0.25800000000000001</v>
      </c>
      <c r="Q8">
        <f t="shared" si="1"/>
        <v>18.48</v>
      </c>
      <c r="R8">
        <f t="shared" si="2"/>
        <v>0.71627906976744182</v>
      </c>
      <c r="T8">
        <f t="shared" si="14"/>
        <v>5.5449525098307584</v>
      </c>
      <c r="U8">
        <f t="shared" si="3"/>
        <v>0.59205391397924079</v>
      </c>
      <c r="V8">
        <f t="shared" si="4"/>
        <v>11.940577460339641</v>
      </c>
      <c r="W8">
        <v>12.51</v>
      </c>
      <c r="X8">
        <f t="shared" si="15"/>
        <v>55.675839249953974</v>
      </c>
      <c r="Y8">
        <f t="shared" si="16"/>
        <v>225.61058868981777</v>
      </c>
      <c r="AA8">
        <f t="shared" si="17"/>
        <v>0.44324160750046032</v>
      </c>
    </row>
    <row r="9" spans="1:28">
      <c r="A9">
        <v>3.05</v>
      </c>
      <c r="B9">
        <f t="shared" si="5"/>
        <v>3.0499999999999999E-2</v>
      </c>
      <c r="C9">
        <v>11</v>
      </c>
      <c r="D9">
        <v>8.1</v>
      </c>
      <c r="E9">
        <v>1</v>
      </c>
      <c r="F9">
        <f t="shared" si="6"/>
        <v>0.5</v>
      </c>
      <c r="G9">
        <f t="shared" si="7"/>
        <v>2.9000000000000004</v>
      </c>
      <c r="H9">
        <f t="shared" si="8"/>
        <v>174.00000000000003</v>
      </c>
      <c r="I9">
        <f t="shared" si="9"/>
        <v>0.70710678118654757</v>
      </c>
      <c r="J9">
        <f t="shared" si="0"/>
        <v>5.0614548307835565E-2</v>
      </c>
      <c r="K9">
        <f t="shared" si="10"/>
        <v>24.382992454708535</v>
      </c>
      <c r="L9">
        <v>4.03</v>
      </c>
      <c r="M9">
        <f t="shared" si="11"/>
        <v>1.2015000000000001E-2</v>
      </c>
      <c r="N9">
        <f t="shared" si="12"/>
        <v>0.29813895781637717</v>
      </c>
      <c r="O9" s="3">
        <v>2950</v>
      </c>
      <c r="P9">
        <f t="shared" si="13"/>
        <v>0.29500000000000004</v>
      </c>
      <c r="Q9">
        <f t="shared" si="1"/>
        <v>20.7</v>
      </c>
      <c r="R9">
        <f t="shared" si="2"/>
        <v>0.70169491525423722</v>
      </c>
      <c r="T9">
        <f t="shared" si="14"/>
        <v>5.6254013123462698</v>
      </c>
      <c r="U9">
        <f t="shared" si="3"/>
        <v>0.59205391397924079</v>
      </c>
      <c r="V9">
        <f t="shared" si="4"/>
        <v>11.940577460339641</v>
      </c>
      <c r="W9">
        <v>12.51</v>
      </c>
      <c r="X9">
        <f t="shared" si="15"/>
        <v>55.032763290597366</v>
      </c>
      <c r="Y9">
        <f t="shared" si="16"/>
        <v>222.38413413357469</v>
      </c>
      <c r="AA9">
        <f t="shared" si="17"/>
        <v>0.44967236709402636</v>
      </c>
    </row>
    <row r="10" spans="1:28">
      <c r="A10">
        <v>3.05</v>
      </c>
      <c r="B10">
        <f t="shared" si="5"/>
        <v>3.0499999999999999E-2</v>
      </c>
      <c r="C10">
        <v>11</v>
      </c>
      <c r="D10">
        <v>7.5</v>
      </c>
      <c r="E10">
        <v>1</v>
      </c>
      <c r="F10">
        <f t="shared" si="6"/>
        <v>0.5</v>
      </c>
      <c r="G10">
        <f t="shared" si="7"/>
        <v>3.5</v>
      </c>
      <c r="H10">
        <f t="shared" si="8"/>
        <v>210</v>
      </c>
      <c r="I10">
        <f t="shared" si="9"/>
        <v>0.70710678118654757</v>
      </c>
      <c r="J10">
        <f t="shared" si="0"/>
        <v>6.1086523819801536E-2</v>
      </c>
      <c r="K10">
        <f t="shared" si="10"/>
        <v>20.203050891044217</v>
      </c>
      <c r="L10">
        <v>4.5</v>
      </c>
      <c r="M10">
        <f t="shared" si="11"/>
        <v>1.225E-2</v>
      </c>
      <c r="N10">
        <f t="shared" si="12"/>
        <v>0.2722222222222222</v>
      </c>
      <c r="O10" s="3">
        <v>3290</v>
      </c>
      <c r="P10">
        <f t="shared" si="13"/>
        <v>0.32900000000000001</v>
      </c>
      <c r="Q10">
        <f t="shared" si="1"/>
        <v>22.74</v>
      </c>
      <c r="R10">
        <f t="shared" si="2"/>
        <v>0.69118541033434644</v>
      </c>
      <c r="T10">
        <f t="shared" si="14"/>
        <v>6.0876499895163221</v>
      </c>
      <c r="U10">
        <f t="shared" si="3"/>
        <v>0.59205391397924079</v>
      </c>
      <c r="V10">
        <f t="shared" si="4"/>
        <v>11.940577460339641</v>
      </c>
      <c r="W10">
        <v>12.51</v>
      </c>
      <c r="X10">
        <f t="shared" si="15"/>
        <v>51.337729899949458</v>
      </c>
      <c r="Y10">
        <f t="shared" si="16"/>
        <v>205.4980168298728</v>
      </c>
      <c r="AA10">
        <f t="shared" si="17"/>
        <v>0.48662270100050536</v>
      </c>
    </row>
    <row r="11" spans="1:28">
      <c r="A11">
        <v>3.05</v>
      </c>
      <c r="B11">
        <f t="shared" si="5"/>
        <v>3.0499999999999999E-2</v>
      </c>
      <c r="C11">
        <v>11</v>
      </c>
      <c r="D11">
        <v>7</v>
      </c>
      <c r="E11">
        <v>1</v>
      </c>
      <c r="F11">
        <f t="shared" si="6"/>
        <v>0.5</v>
      </c>
      <c r="G11">
        <f t="shared" si="7"/>
        <v>4</v>
      </c>
      <c r="H11">
        <f t="shared" si="8"/>
        <v>240</v>
      </c>
      <c r="I11">
        <f t="shared" si="9"/>
        <v>0.70710678118654757</v>
      </c>
      <c r="J11">
        <f t="shared" si="0"/>
        <v>6.9813170079773182E-2</v>
      </c>
      <c r="K11">
        <f t="shared" si="10"/>
        <v>17.677669529663689</v>
      </c>
      <c r="L11">
        <v>5.05</v>
      </c>
      <c r="M11">
        <f t="shared" si="11"/>
        <v>1.2525E-2</v>
      </c>
      <c r="N11">
        <f t="shared" si="12"/>
        <v>0.24801980198019802</v>
      </c>
      <c r="O11" s="3">
        <v>3670</v>
      </c>
      <c r="P11">
        <f t="shared" si="13"/>
        <v>0.36699999999999999</v>
      </c>
      <c r="Q11">
        <f t="shared" si="1"/>
        <v>25.02</v>
      </c>
      <c r="R11">
        <f t="shared" si="2"/>
        <v>0.68174386920980923</v>
      </c>
      <c r="T11">
        <f>J11/(P11*B11)</f>
        <v>6.2369384088777577</v>
      </c>
      <c r="U11">
        <f t="shared" si="3"/>
        <v>0.59205391397924079</v>
      </c>
      <c r="V11">
        <f t="shared" si="4"/>
        <v>11.940577460339641</v>
      </c>
      <c r="W11">
        <v>12.51</v>
      </c>
      <c r="X11">
        <f t="shared" si="15"/>
        <v>50.144377227196181</v>
      </c>
      <c r="Y11">
        <f t="shared" si="16"/>
        <v>200.57918132064708</v>
      </c>
      <c r="AA11">
        <f t="shared" si="17"/>
        <v>0.4985562277280382</v>
      </c>
    </row>
    <row r="12" spans="1:28">
      <c r="A12">
        <v>3.05</v>
      </c>
      <c r="B12">
        <f t="shared" si="5"/>
        <v>3.0499999999999999E-2</v>
      </c>
      <c r="C12">
        <v>11</v>
      </c>
      <c r="D12">
        <v>6.2</v>
      </c>
      <c r="E12">
        <v>1</v>
      </c>
      <c r="F12">
        <f t="shared" si="6"/>
        <v>0.5</v>
      </c>
      <c r="G12">
        <f t="shared" si="7"/>
        <v>4.8</v>
      </c>
      <c r="H12">
        <f t="shared" si="8"/>
        <v>288</v>
      </c>
      <c r="I12">
        <f t="shared" si="9"/>
        <v>0.70710678118654757</v>
      </c>
      <c r="J12">
        <f t="shared" si="0"/>
        <v>8.377580409572781E-2</v>
      </c>
      <c r="K12">
        <f t="shared" si="10"/>
        <v>14.731391274719741</v>
      </c>
      <c r="L12">
        <v>5.52</v>
      </c>
      <c r="M12">
        <f t="shared" si="11"/>
        <v>1.2760000000000001E-2</v>
      </c>
      <c r="N12">
        <f t="shared" si="12"/>
        <v>0.23115942028985509</v>
      </c>
      <c r="O12" s="3">
        <v>3990</v>
      </c>
      <c r="P12">
        <f t="shared" si="13"/>
        <v>0.39900000000000002</v>
      </c>
      <c r="Q12">
        <f t="shared" si="1"/>
        <v>26.94</v>
      </c>
      <c r="R12">
        <f t="shared" si="2"/>
        <v>0.67518796992481211</v>
      </c>
      <c r="T12">
        <f t="shared" si="14"/>
        <v>6.8840793866410133</v>
      </c>
      <c r="U12">
        <f t="shared" si="3"/>
        <v>0.59205391397924079</v>
      </c>
      <c r="V12">
        <f t="shared" si="4"/>
        <v>11.940577460339641</v>
      </c>
      <c r="W12">
        <v>12.51</v>
      </c>
      <c r="X12">
        <f t="shared" si="15"/>
        <v>44.971387796634588</v>
      </c>
      <c r="Y12">
        <f t="shared" si="16"/>
        <v>181.72364520194867</v>
      </c>
      <c r="AA12">
        <f t="shared" si="17"/>
        <v>0.55028612203365412</v>
      </c>
    </row>
    <row r="13" spans="1:28">
      <c r="A13">
        <v>3.05</v>
      </c>
      <c r="B13">
        <f t="shared" si="5"/>
        <v>3.0499999999999999E-2</v>
      </c>
      <c r="C13">
        <v>11</v>
      </c>
      <c r="D13">
        <v>5.9</v>
      </c>
      <c r="E13">
        <v>1</v>
      </c>
      <c r="F13">
        <f t="shared" si="6"/>
        <v>0.5</v>
      </c>
      <c r="G13">
        <f t="shared" si="7"/>
        <v>5.0999999999999996</v>
      </c>
      <c r="H13">
        <f t="shared" si="8"/>
        <v>306</v>
      </c>
      <c r="I13">
        <f t="shared" si="9"/>
        <v>0.70710678118654757</v>
      </c>
      <c r="J13">
        <f t="shared" si="0"/>
        <v>8.9011791851710806E-2</v>
      </c>
      <c r="K13">
        <f t="shared" si="10"/>
        <v>13.864838846795053</v>
      </c>
      <c r="L13">
        <v>6.03</v>
      </c>
      <c r="M13">
        <f t="shared" si="11"/>
        <v>1.3015000000000001E-2</v>
      </c>
      <c r="N13">
        <f t="shared" si="12"/>
        <v>0.21583747927031507</v>
      </c>
      <c r="O13" s="3">
        <v>4350</v>
      </c>
      <c r="P13">
        <f t="shared" si="13"/>
        <v>0.435</v>
      </c>
      <c r="Q13">
        <f t="shared" si="1"/>
        <v>29.1</v>
      </c>
      <c r="R13">
        <f t="shared" si="2"/>
        <v>0.66896551724137931</v>
      </c>
      <c r="T13">
        <f t="shared" si="14"/>
        <v>6.7090101263772981</v>
      </c>
      <c r="U13">
        <f t="shared" si="3"/>
        <v>0.59205391397924079</v>
      </c>
      <c r="V13">
        <f t="shared" si="4"/>
        <v>11.940577460339641</v>
      </c>
      <c r="W13">
        <v>12.51</v>
      </c>
      <c r="X13">
        <f t="shared" si="15"/>
        <v>46.37082233111672</v>
      </c>
      <c r="Y13">
        <f t="shared" si="16"/>
        <v>186.46565982685578</v>
      </c>
      <c r="AA13">
        <f t="shared" si="17"/>
        <v>0.53629177668883277</v>
      </c>
    </row>
    <row r="14" spans="1:28">
      <c r="A14">
        <v>3.05</v>
      </c>
      <c r="B14">
        <f t="shared" si="5"/>
        <v>3.0499999999999999E-2</v>
      </c>
      <c r="C14">
        <v>11</v>
      </c>
      <c r="D14">
        <v>5</v>
      </c>
      <c r="E14">
        <v>1</v>
      </c>
      <c r="F14">
        <f t="shared" si="6"/>
        <v>0.5</v>
      </c>
      <c r="G14">
        <f t="shared" si="7"/>
        <v>6</v>
      </c>
      <c r="H14">
        <f t="shared" si="8"/>
        <v>360</v>
      </c>
      <c r="I14">
        <f t="shared" si="9"/>
        <v>0.70710678118654757</v>
      </c>
      <c r="J14">
        <f t="shared" si="0"/>
        <v>0.10471975511965978</v>
      </c>
      <c r="K14">
        <f t="shared" si="10"/>
        <v>11.785113019775793</v>
      </c>
      <c r="L14">
        <v>6.5</v>
      </c>
      <c r="M14">
        <f t="shared" si="11"/>
        <v>1.3250000000000001E-2</v>
      </c>
      <c r="N14">
        <f t="shared" si="12"/>
        <v>0.20384615384615384</v>
      </c>
      <c r="O14" s="3">
        <v>4660</v>
      </c>
      <c r="P14">
        <f t="shared" si="13"/>
        <v>0.46600000000000003</v>
      </c>
      <c r="Q14">
        <f t="shared" si="1"/>
        <v>30.96</v>
      </c>
      <c r="R14">
        <f t="shared" si="2"/>
        <v>0.66437768240343353</v>
      </c>
      <c r="T14">
        <f t="shared" si="14"/>
        <v>7.3678853950369225</v>
      </c>
      <c r="U14">
        <f t="shared" si="3"/>
        <v>0.59205391397924079</v>
      </c>
      <c r="V14">
        <f t="shared" si="4"/>
        <v>11.940577460339641</v>
      </c>
      <c r="W14">
        <v>12.51</v>
      </c>
      <c r="X14">
        <f t="shared" si="15"/>
        <v>41.104033612814369</v>
      </c>
      <c r="Y14">
        <f t="shared" si="16"/>
        <v>169.79091461475304</v>
      </c>
      <c r="AA14">
        <f t="shared" si="17"/>
        <v>0.58895966387185628</v>
      </c>
    </row>
    <row r="15" spans="1:28">
      <c r="A15">
        <v>3.05</v>
      </c>
      <c r="B15">
        <f t="shared" si="5"/>
        <v>3.0499999999999999E-2</v>
      </c>
      <c r="C15">
        <v>11</v>
      </c>
      <c r="D15">
        <v>4.9000000000000004</v>
      </c>
      <c r="E15">
        <v>1</v>
      </c>
      <c r="F15">
        <f t="shared" si="6"/>
        <v>0.5</v>
      </c>
      <c r="G15">
        <f t="shared" si="7"/>
        <v>6.1</v>
      </c>
      <c r="H15">
        <f t="shared" si="8"/>
        <v>366</v>
      </c>
      <c r="I15">
        <f t="shared" si="9"/>
        <v>0.70710678118654757</v>
      </c>
      <c r="J15">
        <f t="shared" si="0"/>
        <v>0.1064650843716541</v>
      </c>
      <c r="K15">
        <f t="shared" si="10"/>
        <v>11.591914445681109</v>
      </c>
      <c r="L15">
        <v>7.02</v>
      </c>
      <c r="M15">
        <f t="shared" si="11"/>
        <v>1.3509999999999999E-2</v>
      </c>
      <c r="N15">
        <f t="shared" si="12"/>
        <v>0.19245014245014247</v>
      </c>
      <c r="O15" s="3">
        <v>5040</v>
      </c>
      <c r="P15">
        <f t="shared" si="13"/>
        <v>0.504</v>
      </c>
      <c r="Q15">
        <f t="shared" si="1"/>
        <v>33.239999999999995</v>
      </c>
      <c r="R15">
        <f t="shared" si="2"/>
        <v>0.6595238095238094</v>
      </c>
      <c r="T15">
        <f t="shared" si="14"/>
        <v>6.9259097301362278</v>
      </c>
      <c r="U15">
        <f t="shared" si="3"/>
        <v>0.59205391397924079</v>
      </c>
      <c r="V15">
        <f t="shared" si="4"/>
        <v>11.940577460339641</v>
      </c>
      <c r="W15">
        <v>12.51</v>
      </c>
      <c r="X15">
        <f t="shared" si="15"/>
        <v>44.637012548871077</v>
      </c>
      <c r="Y15">
        <f t="shared" si="16"/>
        <v>180.62609083058229</v>
      </c>
      <c r="AA15">
        <f t="shared" si="17"/>
        <v>0.5536298745112892</v>
      </c>
    </row>
    <row r="16" spans="1:28">
      <c r="A16">
        <v>3.05</v>
      </c>
      <c r="B16">
        <f t="shared" si="5"/>
        <v>3.0499999999999999E-2</v>
      </c>
      <c r="C16">
        <v>11</v>
      </c>
      <c r="D16">
        <v>4.9000000000000004</v>
      </c>
      <c r="E16">
        <v>1</v>
      </c>
      <c r="F16">
        <f t="shared" si="6"/>
        <v>0.5</v>
      </c>
      <c r="G16">
        <f>ABS(C16-D16)</f>
        <v>6.1</v>
      </c>
      <c r="H16">
        <f t="shared" si="8"/>
        <v>366</v>
      </c>
      <c r="I16">
        <f t="shared" si="9"/>
        <v>0.70710678118654757</v>
      </c>
      <c r="J16">
        <f t="shared" si="0"/>
        <v>0.1064650843716541</v>
      </c>
      <c r="K16">
        <f t="shared" si="10"/>
        <v>11.591914445681109</v>
      </c>
      <c r="L16">
        <v>7.55</v>
      </c>
      <c r="M16">
        <f t="shared" si="11"/>
        <v>1.3775000000000001E-2</v>
      </c>
      <c r="N16">
        <f t="shared" si="12"/>
        <v>0.18245033112582784</v>
      </c>
      <c r="O16" s="3">
        <v>5400</v>
      </c>
      <c r="P16">
        <f t="shared" si="13"/>
        <v>0.54</v>
      </c>
      <c r="Q16">
        <f t="shared" si="1"/>
        <v>35.4</v>
      </c>
      <c r="R16">
        <f t="shared" si="2"/>
        <v>0.65555555555555545</v>
      </c>
      <c r="T16">
        <f t="shared" si="14"/>
        <v>6.4641824147938118</v>
      </c>
      <c r="U16">
        <f t="shared" si="3"/>
        <v>0.59205391397924079</v>
      </c>
      <c r="V16">
        <f t="shared" si="4"/>
        <v>11.940577460339641</v>
      </c>
      <c r="W16">
        <v>12.51</v>
      </c>
      <c r="X16">
        <f t="shared" si="15"/>
        <v>48.327878378946352</v>
      </c>
      <c r="Y16">
        <f t="shared" si="16"/>
        <v>193.52795446133817</v>
      </c>
      <c r="AA16">
        <f t="shared" si="17"/>
        <v>0.51672121621053657</v>
      </c>
    </row>
    <row r="17" spans="1:22">
      <c r="R17" t="s">
        <v>19</v>
      </c>
      <c r="T17">
        <f>AVERAGE(T3:T16)</f>
        <v>4.9583356914331365</v>
      </c>
    </row>
    <row r="18" spans="1:22">
      <c r="R18" t="s">
        <v>22</v>
      </c>
      <c r="T18">
        <f>_xlfn.STDEV.P(T3:T16)</f>
        <v>2.2930149488985183</v>
      </c>
    </row>
    <row r="19" spans="1:22">
      <c r="R19" t="s">
        <v>35</v>
      </c>
      <c r="T19">
        <f xml:space="preserve"> CORREL(B25:B38,C25:C38)</f>
        <v>0.99427570443090885</v>
      </c>
    </row>
    <row r="20" spans="1:22" s="2" customFormat="1">
      <c r="A20" s="2" t="s">
        <v>25</v>
      </c>
    </row>
    <row r="21" spans="1:22">
      <c r="V21" t="s">
        <v>36</v>
      </c>
    </row>
    <row r="22" spans="1:22">
      <c r="A22" t="s">
        <v>26</v>
      </c>
      <c r="E22" t="s">
        <v>56</v>
      </c>
    </row>
    <row r="23" spans="1:22">
      <c r="E23" t="s">
        <v>41</v>
      </c>
      <c r="F23" t="s">
        <v>42</v>
      </c>
      <c r="G23" t="s">
        <v>43</v>
      </c>
    </row>
    <row r="24" spans="1:22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LINEST(_xlfn.ANCHORARRAY(F25),E25:E38, TRUE, TRUE)</f>
        <v>8.6202393631745249</v>
      </c>
      <c r="H24">
        <v>-2.6017311060264517E-2</v>
      </c>
      <c r="J24">
        <f>ABS(G24-W3)/W3 *100</f>
        <v>31.093210526182851</v>
      </c>
    </row>
    <row r="25" spans="1:22">
      <c r="A25">
        <f t="shared" ref="A25:A38" si="18">L3</f>
        <v>1.1299999999999999</v>
      </c>
      <c r="B25">
        <f t="shared" ref="B25:B38" si="19">O3</f>
        <v>870</v>
      </c>
      <c r="C25">
        <f t="shared" ref="C25:C38" si="20">J3</f>
        <v>1.7453292519902619E-6</v>
      </c>
      <c r="E25">
        <f>P3*B3</f>
        <v>2.6535E-3</v>
      </c>
      <c r="F25" cm="1">
        <f t="array" ref="F25:F38">J3:J16</f>
        <v>1.7453292519902619E-6</v>
      </c>
      <c r="G25">
        <v>0.26740867935528101</v>
      </c>
      <c r="H25">
        <v>2.7912334922909707E-3</v>
      </c>
    </row>
    <row r="26" spans="1:22">
      <c r="A26">
        <f t="shared" si="18"/>
        <v>1.51</v>
      </c>
      <c r="B26">
        <f t="shared" si="19"/>
        <v>1150</v>
      </c>
      <c r="C26">
        <f t="shared" si="20"/>
        <v>1.7453292519943233E-3</v>
      </c>
      <c r="E26">
        <f t="shared" ref="E26:E38" si="21">P4*B4</f>
        <v>3.5075000000000002E-3</v>
      </c>
      <c r="F26">
        <v>1.7453292519943233E-3</v>
      </c>
      <c r="G26">
        <v>0.98858417642158025</v>
      </c>
      <c r="H26">
        <v>4.301463172263249E-3</v>
      </c>
    </row>
    <row r="27" spans="1:22">
      <c r="A27">
        <f t="shared" si="18"/>
        <v>2.08</v>
      </c>
      <c r="B27">
        <f t="shared" si="19"/>
        <v>1560</v>
      </c>
      <c r="C27">
        <f t="shared" si="20"/>
        <v>1.3962634015954649E-2</v>
      </c>
      <c r="E27">
        <f t="shared" si="21"/>
        <v>4.7580000000000001E-3</v>
      </c>
      <c r="F27">
        <v>1.3962634015954649E-2</v>
      </c>
      <c r="G27">
        <v>1039.1725166009608</v>
      </c>
      <c r="H27">
        <v>12</v>
      </c>
    </row>
    <row r="28" spans="1:22">
      <c r="A28">
        <f t="shared" si="18"/>
        <v>2.5299999999999998</v>
      </c>
      <c r="B28">
        <f t="shared" si="19"/>
        <v>1880</v>
      </c>
      <c r="C28">
        <f t="shared" si="20"/>
        <v>1.9198621771937621E-2</v>
      </c>
      <c r="E28">
        <f t="shared" si="21"/>
        <v>5.7339999999999995E-3</v>
      </c>
      <c r="F28">
        <v>1.9198621771937621E-2</v>
      </c>
      <c r="G28">
        <v>1.9227378256954204E-2</v>
      </c>
      <c r="H28">
        <v>2.2203102506804413E-4</v>
      </c>
    </row>
    <row r="29" spans="1:22">
      <c r="A29">
        <f t="shared" si="18"/>
        <v>3.07</v>
      </c>
      <c r="B29">
        <f t="shared" si="19"/>
        <v>2270</v>
      </c>
      <c r="C29">
        <f t="shared" si="20"/>
        <v>3.3161255787892266E-2</v>
      </c>
      <c r="E29">
        <f t="shared" si="21"/>
        <v>6.9235E-3</v>
      </c>
      <c r="F29">
        <v>3.3161255787892266E-2</v>
      </c>
    </row>
    <row r="30" spans="1:22">
      <c r="A30">
        <f t="shared" si="18"/>
        <v>3.5</v>
      </c>
      <c r="B30">
        <f t="shared" si="19"/>
        <v>2580</v>
      </c>
      <c r="C30">
        <f t="shared" si="20"/>
        <v>4.3633231299858237E-2</v>
      </c>
      <c r="E30">
        <f t="shared" si="21"/>
        <v>7.8689999999999993E-3</v>
      </c>
      <c r="F30">
        <v>4.3633231299858237E-2</v>
      </c>
    </row>
    <row r="31" spans="1:22">
      <c r="A31">
        <f t="shared" si="18"/>
        <v>4.03</v>
      </c>
      <c r="B31">
        <f t="shared" si="19"/>
        <v>2950</v>
      </c>
      <c r="C31">
        <f t="shared" si="20"/>
        <v>5.0614548307835565E-2</v>
      </c>
      <c r="E31">
        <f t="shared" si="21"/>
        <v>8.9975000000000003E-3</v>
      </c>
      <c r="F31">
        <v>5.0614548307835565E-2</v>
      </c>
    </row>
    <row r="32" spans="1:22">
      <c r="A32">
        <f t="shared" si="18"/>
        <v>4.5</v>
      </c>
      <c r="B32">
        <f t="shared" si="19"/>
        <v>3290</v>
      </c>
      <c r="C32">
        <f t="shared" si="20"/>
        <v>6.1086523819801536E-2</v>
      </c>
      <c r="E32">
        <f t="shared" si="21"/>
        <v>1.00345E-2</v>
      </c>
      <c r="F32">
        <v>6.1086523819801536E-2</v>
      </c>
    </row>
    <row r="33" spans="1:8">
      <c r="A33">
        <f t="shared" si="18"/>
        <v>5.05</v>
      </c>
      <c r="B33">
        <f t="shared" si="19"/>
        <v>3670</v>
      </c>
      <c r="C33">
        <f t="shared" si="20"/>
        <v>6.9813170079773182E-2</v>
      </c>
      <c r="E33">
        <f t="shared" si="21"/>
        <v>1.11935E-2</v>
      </c>
      <c r="F33">
        <v>6.9813170079773182E-2</v>
      </c>
    </row>
    <row r="34" spans="1:8">
      <c r="A34">
        <f t="shared" si="18"/>
        <v>5.52</v>
      </c>
      <c r="B34">
        <f t="shared" si="19"/>
        <v>3990</v>
      </c>
      <c r="C34">
        <f t="shared" si="20"/>
        <v>8.377580409572781E-2</v>
      </c>
      <c r="E34">
        <f t="shared" si="21"/>
        <v>1.21695E-2</v>
      </c>
      <c r="F34">
        <v>8.377580409572781E-2</v>
      </c>
    </row>
    <row r="35" spans="1:8">
      <c r="A35">
        <f t="shared" si="18"/>
        <v>6.03</v>
      </c>
      <c r="B35">
        <f t="shared" si="19"/>
        <v>4350</v>
      </c>
      <c r="C35">
        <f t="shared" si="20"/>
        <v>8.9011791851710806E-2</v>
      </c>
      <c r="E35">
        <f t="shared" si="21"/>
        <v>1.32675E-2</v>
      </c>
      <c r="F35">
        <v>8.9011791851710806E-2</v>
      </c>
    </row>
    <row r="36" spans="1:8">
      <c r="A36">
        <f t="shared" si="18"/>
        <v>6.5</v>
      </c>
      <c r="B36">
        <f t="shared" si="19"/>
        <v>4660</v>
      </c>
      <c r="C36">
        <f t="shared" si="20"/>
        <v>0.10471975511965978</v>
      </c>
      <c r="E36">
        <f t="shared" si="21"/>
        <v>1.4213E-2</v>
      </c>
      <c r="F36">
        <v>0.10471975511965978</v>
      </c>
    </row>
    <row r="37" spans="1:8">
      <c r="A37">
        <f t="shared" si="18"/>
        <v>7.02</v>
      </c>
      <c r="B37">
        <f t="shared" si="19"/>
        <v>5040</v>
      </c>
      <c r="C37">
        <f t="shared" si="20"/>
        <v>0.1064650843716541</v>
      </c>
      <c r="E37">
        <f t="shared" si="21"/>
        <v>1.5372E-2</v>
      </c>
      <c r="F37">
        <v>0.1064650843716541</v>
      </c>
    </row>
    <row r="38" spans="1:8">
      <c r="A38">
        <f t="shared" si="18"/>
        <v>7.55</v>
      </c>
      <c r="B38">
        <f t="shared" si="19"/>
        <v>5400</v>
      </c>
      <c r="C38">
        <f t="shared" si="20"/>
        <v>0.1064650843716541</v>
      </c>
      <c r="E38">
        <f t="shared" si="21"/>
        <v>1.6470000000000002E-2</v>
      </c>
      <c r="F38">
        <v>0.1064650843716541</v>
      </c>
    </row>
    <row r="41" spans="1:8">
      <c r="A41" s="4" t="s">
        <v>46</v>
      </c>
      <c r="B41" s="4" t="s">
        <v>50</v>
      </c>
      <c r="C41" s="4" t="s">
        <v>51</v>
      </c>
      <c r="D41" s="4" t="s">
        <v>50</v>
      </c>
      <c r="E41" s="4" t="s">
        <v>52</v>
      </c>
      <c r="F41" s="4" t="s">
        <v>50</v>
      </c>
      <c r="G41" s="4" t="s">
        <v>53</v>
      </c>
      <c r="H41" s="4" t="s">
        <v>50</v>
      </c>
    </row>
    <row r="42" spans="1:8">
      <c r="A42" s="4">
        <f t="shared" ref="A42:A52" si="22">L6</f>
        <v>2.5299999999999998</v>
      </c>
      <c r="B42" s="4">
        <f t="shared" ref="B42:B52" si="23">N6</f>
        <v>0.44525691699604752</v>
      </c>
      <c r="C42" s="4">
        <f t="shared" ref="C42:C52" si="24">P6</f>
        <v>0.188</v>
      </c>
      <c r="D42" s="4">
        <f t="shared" ref="D42:D52" si="25">R6</f>
        <v>0.75957446808510631</v>
      </c>
      <c r="E42" s="4">
        <f t="shared" ref="E42:E52" si="26">J6</f>
        <v>1.9198621771937621E-2</v>
      </c>
      <c r="F42" s="4">
        <f t="shared" ref="F42:F52" si="27">K6</f>
        <v>64.282434653322525</v>
      </c>
      <c r="G42" s="4">
        <f t="shared" ref="G42:G52" si="28">T6</f>
        <v>3.3482074942339768</v>
      </c>
      <c r="H42" s="4">
        <f t="shared" ref="H42:H52" si="29">B42+D42+F42</f>
        <v>65.487266038403675</v>
      </c>
    </row>
    <row r="43" spans="1:8">
      <c r="A43" s="4">
        <f t="shared" si="22"/>
        <v>3.07</v>
      </c>
      <c r="B43" s="4">
        <f t="shared" si="23"/>
        <v>0.37573289902280133</v>
      </c>
      <c r="C43" s="4">
        <f t="shared" si="24"/>
        <v>0.22700000000000001</v>
      </c>
      <c r="D43" s="4">
        <f t="shared" si="25"/>
        <v>0.73215859030836994</v>
      </c>
      <c r="E43" s="4">
        <f t="shared" si="26"/>
        <v>3.3161255787892266E-2</v>
      </c>
      <c r="F43" s="4">
        <f t="shared" si="27"/>
        <v>37.216146378239337</v>
      </c>
      <c r="G43" s="4">
        <f t="shared" si="28"/>
        <v>4.789666467522534</v>
      </c>
      <c r="H43" s="4">
        <f t="shared" si="29"/>
        <v>38.32403786757051</v>
      </c>
    </row>
    <row r="44" spans="1:8">
      <c r="A44" s="4">
        <f t="shared" si="22"/>
        <v>3.5</v>
      </c>
      <c r="B44" s="4">
        <f t="shared" si="23"/>
        <v>0.33571428571428574</v>
      </c>
      <c r="C44" s="4">
        <f t="shared" si="24"/>
        <v>0.25800000000000001</v>
      </c>
      <c r="D44" s="4">
        <f t="shared" si="25"/>
        <v>0.71627906976744182</v>
      </c>
      <c r="E44" s="4">
        <f t="shared" si="26"/>
        <v>4.3633231299858237E-2</v>
      </c>
      <c r="F44" s="4">
        <f t="shared" si="27"/>
        <v>28.284271247461902</v>
      </c>
      <c r="G44" s="4">
        <f t="shared" si="28"/>
        <v>5.5449525098307584</v>
      </c>
      <c r="H44" s="4">
        <f t="shared" si="29"/>
        <v>29.336264602943629</v>
      </c>
    </row>
    <row r="45" spans="1:8">
      <c r="A45" s="4">
        <f t="shared" si="22"/>
        <v>4.03</v>
      </c>
      <c r="B45" s="4">
        <f t="shared" si="23"/>
        <v>0.29813895781637717</v>
      </c>
      <c r="C45" s="4">
        <f t="shared" si="24"/>
        <v>0.29500000000000004</v>
      </c>
      <c r="D45" s="4">
        <f t="shared" si="25"/>
        <v>0.70169491525423722</v>
      </c>
      <c r="E45" s="4">
        <f t="shared" si="26"/>
        <v>5.0614548307835565E-2</v>
      </c>
      <c r="F45" s="4">
        <f t="shared" si="27"/>
        <v>24.382992454708535</v>
      </c>
      <c r="G45" s="4">
        <f t="shared" si="28"/>
        <v>5.6254013123462698</v>
      </c>
      <c r="H45" s="4">
        <f t="shared" si="29"/>
        <v>25.382826327779149</v>
      </c>
    </row>
    <row r="46" spans="1:8">
      <c r="A46" s="4">
        <f t="shared" si="22"/>
        <v>4.5</v>
      </c>
      <c r="B46" s="4">
        <f t="shared" si="23"/>
        <v>0.2722222222222222</v>
      </c>
      <c r="C46" s="4">
        <f t="shared" si="24"/>
        <v>0.32900000000000001</v>
      </c>
      <c r="D46" s="4">
        <f t="shared" si="25"/>
        <v>0.69118541033434644</v>
      </c>
      <c r="E46" s="4">
        <f t="shared" si="26"/>
        <v>6.1086523819801536E-2</v>
      </c>
      <c r="F46" s="4">
        <f t="shared" si="27"/>
        <v>20.203050891044217</v>
      </c>
      <c r="G46" s="4">
        <f t="shared" si="28"/>
        <v>6.0876499895163221</v>
      </c>
      <c r="H46" s="4">
        <f t="shared" si="29"/>
        <v>21.166458523600785</v>
      </c>
    </row>
    <row r="47" spans="1:8">
      <c r="A47" s="4">
        <f t="shared" si="22"/>
        <v>5.05</v>
      </c>
      <c r="B47" s="4">
        <f t="shared" si="23"/>
        <v>0.24801980198019802</v>
      </c>
      <c r="C47" s="4">
        <f t="shared" si="24"/>
        <v>0.36699999999999999</v>
      </c>
      <c r="D47" s="4">
        <f t="shared" si="25"/>
        <v>0.68174386920980923</v>
      </c>
      <c r="E47" s="4">
        <f t="shared" si="26"/>
        <v>6.9813170079773182E-2</v>
      </c>
      <c r="F47" s="4">
        <f t="shared" si="27"/>
        <v>17.677669529663689</v>
      </c>
      <c r="G47" s="4">
        <f t="shared" si="28"/>
        <v>6.2369384088777577</v>
      </c>
      <c r="H47" s="4">
        <f t="shared" si="29"/>
        <v>18.607433200853695</v>
      </c>
    </row>
    <row r="48" spans="1:8">
      <c r="A48" s="4">
        <f t="shared" si="22"/>
        <v>5.52</v>
      </c>
      <c r="B48" s="4">
        <f t="shared" si="23"/>
        <v>0.23115942028985509</v>
      </c>
      <c r="C48" s="4">
        <f t="shared" si="24"/>
        <v>0.39900000000000002</v>
      </c>
      <c r="D48" s="4">
        <f t="shared" si="25"/>
        <v>0.67518796992481211</v>
      </c>
      <c r="E48" s="4">
        <f t="shared" si="26"/>
        <v>8.377580409572781E-2</v>
      </c>
      <c r="F48" s="4">
        <f t="shared" si="27"/>
        <v>14.731391274719741</v>
      </c>
      <c r="G48" s="4">
        <f t="shared" si="28"/>
        <v>6.8840793866410133</v>
      </c>
      <c r="H48" s="4">
        <f t="shared" si="29"/>
        <v>15.637738664934409</v>
      </c>
    </row>
    <row r="49" spans="1:8">
      <c r="A49" s="4">
        <f t="shared" si="22"/>
        <v>6.03</v>
      </c>
      <c r="B49" s="4">
        <f t="shared" si="23"/>
        <v>0.21583747927031507</v>
      </c>
      <c r="C49" s="4">
        <f t="shared" si="24"/>
        <v>0.435</v>
      </c>
      <c r="D49" s="4">
        <f t="shared" si="25"/>
        <v>0.66896551724137931</v>
      </c>
      <c r="E49" s="4">
        <f t="shared" si="26"/>
        <v>8.9011791851710806E-2</v>
      </c>
      <c r="F49" s="4">
        <f t="shared" si="27"/>
        <v>13.864838846795053</v>
      </c>
      <c r="G49" s="4">
        <f t="shared" si="28"/>
        <v>6.7090101263772981</v>
      </c>
      <c r="H49" s="4">
        <f t="shared" si="29"/>
        <v>14.749641843306748</v>
      </c>
    </row>
    <row r="50" spans="1:8">
      <c r="A50" s="4">
        <f t="shared" si="22"/>
        <v>6.5</v>
      </c>
      <c r="B50" s="4">
        <f t="shared" si="23"/>
        <v>0.20384615384615384</v>
      </c>
      <c r="C50" s="4">
        <f t="shared" si="24"/>
        <v>0.46600000000000003</v>
      </c>
      <c r="D50" s="4">
        <f t="shared" si="25"/>
        <v>0.66437768240343353</v>
      </c>
      <c r="E50" s="4">
        <f t="shared" si="26"/>
        <v>0.10471975511965978</v>
      </c>
      <c r="F50" s="4">
        <f t="shared" si="27"/>
        <v>11.785113019775793</v>
      </c>
      <c r="G50" s="4">
        <f t="shared" si="28"/>
        <v>7.3678853950369225</v>
      </c>
      <c r="H50" s="4">
        <f t="shared" si="29"/>
        <v>12.65333685602538</v>
      </c>
    </row>
    <row r="51" spans="1:8">
      <c r="A51" s="4">
        <f t="shared" si="22"/>
        <v>7.02</v>
      </c>
      <c r="B51" s="4">
        <f t="shared" si="23"/>
        <v>0.19245014245014247</v>
      </c>
      <c r="C51" s="4">
        <f t="shared" si="24"/>
        <v>0.504</v>
      </c>
      <c r="D51" s="4">
        <f t="shared" si="25"/>
        <v>0.6595238095238094</v>
      </c>
      <c r="E51" s="4">
        <f t="shared" si="26"/>
        <v>0.1064650843716541</v>
      </c>
      <c r="F51" s="4">
        <f t="shared" si="27"/>
        <v>11.591914445681109</v>
      </c>
      <c r="G51" s="4">
        <f t="shared" si="28"/>
        <v>6.9259097301362278</v>
      </c>
      <c r="H51" s="4">
        <f t="shared" si="29"/>
        <v>12.44388839765506</v>
      </c>
    </row>
    <row r="52" spans="1:8">
      <c r="A52" s="4">
        <f t="shared" si="22"/>
        <v>7.55</v>
      </c>
      <c r="B52" s="4">
        <f t="shared" si="23"/>
        <v>0.18245033112582784</v>
      </c>
      <c r="C52" s="4">
        <f t="shared" si="24"/>
        <v>0.54</v>
      </c>
      <c r="D52" s="4">
        <f t="shared" si="25"/>
        <v>0.65555555555555545</v>
      </c>
      <c r="E52" s="4">
        <f t="shared" si="26"/>
        <v>0.1064650843716541</v>
      </c>
      <c r="F52" s="4">
        <f t="shared" si="27"/>
        <v>11.591914445681109</v>
      </c>
      <c r="G52" s="4">
        <f t="shared" si="28"/>
        <v>6.4641824147938118</v>
      </c>
      <c r="H52" s="4">
        <f t="shared" si="29"/>
        <v>12.429920332362492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9193-BC8D-4003-BF59-BA23D51C3297}">
  <dimension ref="A1:AB56"/>
  <sheetViews>
    <sheetView topLeftCell="F25" zoomScaleNormal="100" workbookViewId="0">
      <selection activeCell="A41" sqref="A41:H55"/>
    </sheetView>
  </sheetViews>
  <sheetFormatPr defaultColWidth="11.42578125" defaultRowHeight="15"/>
  <cols>
    <col min="1" max="1" width="15.42578125" customWidth="1"/>
    <col min="2" max="2" width="19.85546875" customWidth="1"/>
    <col min="3" max="3" width="21" customWidth="1"/>
    <col min="4" max="4" width="19.5703125" customWidth="1"/>
    <col min="5" max="5" width="22" customWidth="1"/>
    <col min="6" max="6" width="19.8554687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19" width="18.5703125" customWidth="1"/>
    <col min="20" max="20" width="16.85546875" customWidth="1"/>
    <col min="22" max="22" width="17.85546875" customWidth="1"/>
    <col min="23" max="23" width="17.42578125" customWidth="1"/>
    <col min="24" max="24" width="11.85546875" customWidth="1"/>
    <col min="25" max="25" width="16.7109375" customWidth="1"/>
  </cols>
  <sheetData>
    <row r="1" spans="1:28">
      <c r="A1" t="s">
        <v>37</v>
      </c>
      <c r="B1" t="s">
        <v>54</v>
      </c>
      <c r="C1">
        <v>0</v>
      </c>
      <c r="D1" t="s">
        <v>30</v>
      </c>
      <c r="E1">
        <v>431</v>
      </c>
      <c r="F1" t="s">
        <v>62</v>
      </c>
      <c r="G1" t="s">
        <v>63</v>
      </c>
    </row>
    <row r="2" spans="1:2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64</v>
      </c>
      <c r="T2" t="s">
        <v>15</v>
      </c>
      <c r="U2" t="s">
        <v>8</v>
      </c>
      <c r="V2" t="s">
        <v>11</v>
      </c>
      <c r="W2" t="s">
        <v>31</v>
      </c>
      <c r="X2" t="s">
        <v>23</v>
      </c>
      <c r="Y2" t="s">
        <v>18</v>
      </c>
      <c r="Z2" t="s">
        <v>19</v>
      </c>
      <c r="AA2" t="s">
        <v>34</v>
      </c>
      <c r="AB2" t="s">
        <v>19</v>
      </c>
    </row>
    <row r="3" spans="1:28">
      <c r="A3">
        <v>4.04</v>
      </c>
      <c r="B3">
        <f>$A$3/100</f>
        <v>4.0399999999999998E-2</v>
      </c>
      <c r="C3">
        <v>12.4</v>
      </c>
      <c r="D3" s="1">
        <v>13.1</v>
      </c>
      <c r="E3">
        <v>1</v>
      </c>
      <c r="F3">
        <f>$E$3/2</f>
        <v>0.5</v>
      </c>
      <c r="G3">
        <f>ABS(C3-D3)</f>
        <v>0.69999999999999929</v>
      </c>
      <c r="H3">
        <f>G3*60</f>
        <v>41.999999999999957</v>
      </c>
      <c r="I3">
        <f>SQRT(2)*F3</f>
        <v>0.70710678118654757</v>
      </c>
      <c r="J3">
        <f t="shared" ref="J3:J16" si="0">RADIANS(G3)</f>
        <v>1.2217304763960294E-2</v>
      </c>
      <c r="K3">
        <f>I3/G3 * 100</f>
        <v>101.0152544552212</v>
      </c>
      <c r="L3">
        <v>1.1299999999999999</v>
      </c>
      <c r="M3">
        <f xml:space="preserve"> (0.05*L3/100) + 0.01</f>
        <v>1.0565E-2</v>
      </c>
      <c r="N3">
        <f xml:space="preserve"> M3/L3*100</f>
        <v>0.93495575221238947</v>
      </c>
      <c r="O3" s="3">
        <v>880</v>
      </c>
      <c r="P3">
        <f>O3*0.0001</f>
        <v>8.8000000000000009E-2</v>
      </c>
      <c r="Q3">
        <f t="shared" ref="Q3:Q16" si="1">(O3*0.6/100)+3</f>
        <v>8.2800000000000011</v>
      </c>
      <c r="R3">
        <f t="shared" ref="R3:R16" si="2">Q3/O3 * 100</f>
        <v>0.94090909090909103</v>
      </c>
      <c r="T3">
        <f>J3/(P3*B3)</f>
        <v>3.4364606109249252</v>
      </c>
      <c r="U3">
        <f t="shared" ref="U3:U16" si="3">$T$18/SQRT(15)</f>
        <v>0.51202967247064668</v>
      </c>
      <c r="V3">
        <f t="shared" ref="V3:V16" si="4">U3/$T$17*100</f>
        <v>8.2911474824203406</v>
      </c>
      <c r="W3">
        <v>12.51</v>
      </c>
      <c r="X3">
        <f>ABS(W3-T3)/W3*100</f>
        <v>72.530290879896683</v>
      </c>
      <c r="Y3">
        <f>1/(T3/W3)*100</f>
        <v>364.03734587351857</v>
      </c>
      <c r="Z3">
        <f>AVERAGE(Y3:Y16)</f>
        <v>255.35704655804679</v>
      </c>
      <c r="AA3">
        <f>T3/W3</f>
        <v>0.27469709120103319</v>
      </c>
      <c r="AB3">
        <f>AVERAGE(AA3:AA16)</f>
        <v>0.49365458979423116</v>
      </c>
    </row>
    <row r="4" spans="1:28">
      <c r="A4">
        <v>4.04</v>
      </c>
      <c r="B4">
        <f t="shared" ref="B4:B16" si="5">$A$3/100</f>
        <v>4.0399999999999998E-2</v>
      </c>
      <c r="C4">
        <v>12.4</v>
      </c>
      <c r="D4">
        <v>12</v>
      </c>
      <c r="E4">
        <v>1</v>
      </c>
      <c r="F4">
        <f t="shared" ref="F4:F16" si="6">$E$3/2</f>
        <v>0.5</v>
      </c>
      <c r="G4">
        <f t="shared" ref="G4:G15" si="7">ABS(C4-D4)</f>
        <v>0.40000000000000036</v>
      </c>
      <c r="H4">
        <f t="shared" ref="H4:H16" si="8">G4*60</f>
        <v>24.000000000000021</v>
      </c>
      <c r="I4">
        <f t="shared" ref="I4:I16" si="9">SQRT(2)*F4</f>
        <v>0.70710678118654757</v>
      </c>
      <c r="J4">
        <f t="shared" si="0"/>
        <v>6.9813170079773244E-3</v>
      </c>
      <c r="K4">
        <f t="shared" ref="K4:K16" si="10">I4/G4 * 100</f>
        <v>176.77669529663675</v>
      </c>
      <c r="L4">
        <v>1.55</v>
      </c>
      <c r="M4">
        <f t="shared" ref="M4:M16" si="11" xml:space="preserve"> (0.05*L4/100) + 0.01</f>
        <v>1.0775E-2</v>
      </c>
      <c r="N4">
        <f t="shared" ref="N4:N16" si="12" xml:space="preserve"> M4/L4*100</f>
        <v>0.69516129032258056</v>
      </c>
      <c r="O4" s="3">
        <v>1180</v>
      </c>
      <c r="P4">
        <f t="shared" ref="P4:P16" si="13">O4*0.0001</f>
        <v>0.11800000000000001</v>
      </c>
      <c r="Q4">
        <f t="shared" si="1"/>
        <v>10.08</v>
      </c>
      <c r="R4">
        <f t="shared" si="2"/>
        <v>0.85423728813559319</v>
      </c>
      <c r="T4">
        <f t="shared" ref="T4:T16" si="14">J4/(P4*B4)</f>
        <v>1.4644481053820533</v>
      </c>
      <c r="U4">
        <f t="shared" si="3"/>
        <v>0.51202967247064668</v>
      </c>
      <c r="V4">
        <f t="shared" si="4"/>
        <v>8.2911474824203406</v>
      </c>
      <c r="W4">
        <v>12.51</v>
      </c>
      <c r="X4">
        <f t="shared" ref="X4:X16" si="15">ABS(W4-T4)/W4*100</f>
        <v>88.293780132837313</v>
      </c>
      <c r="Y4">
        <f t="shared" ref="Y4:Y16" si="16">1/(T4/W4)*100</f>
        <v>854.24672639638004</v>
      </c>
      <c r="AA4">
        <f t="shared" ref="AA4:AA16" si="17">T4/W4</f>
        <v>0.11706219867162697</v>
      </c>
    </row>
    <row r="5" spans="1:28">
      <c r="A5">
        <v>4.04</v>
      </c>
      <c r="B5">
        <f t="shared" si="5"/>
        <v>4.0399999999999998E-2</v>
      </c>
      <c r="C5">
        <v>12.4</v>
      </c>
      <c r="D5">
        <v>11.3</v>
      </c>
      <c r="E5">
        <v>1</v>
      </c>
      <c r="F5">
        <f t="shared" si="6"/>
        <v>0.5</v>
      </c>
      <c r="G5">
        <f t="shared" si="7"/>
        <v>1.0999999999999996</v>
      </c>
      <c r="H5">
        <f t="shared" si="8"/>
        <v>65.999999999999972</v>
      </c>
      <c r="I5">
        <f t="shared" si="9"/>
        <v>0.70710678118654757</v>
      </c>
      <c r="J5">
        <f t="shared" si="0"/>
        <v>1.9198621771937621E-2</v>
      </c>
      <c r="K5">
        <f t="shared" si="10"/>
        <v>64.282434653322525</v>
      </c>
      <c r="L5">
        <v>2.0099999999999998</v>
      </c>
      <c r="M5">
        <f t="shared" si="11"/>
        <v>1.1005000000000001E-2</v>
      </c>
      <c r="N5">
        <f t="shared" si="12"/>
        <v>0.54751243781094538</v>
      </c>
      <c r="O5" s="3">
        <v>1520</v>
      </c>
      <c r="P5">
        <f t="shared" si="13"/>
        <v>0.152</v>
      </c>
      <c r="Q5">
        <f t="shared" si="1"/>
        <v>12.12</v>
      </c>
      <c r="R5">
        <f t="shared" si="2"/>
        <v>0.7973684210526315</v>
      </c>
      <c r="T5">
        <f t="shared" si="14"/>
        <v>3.126404014450499</v>
      </c>
      <c r="U5">
        <f t="shared" si="3"/>
        <v>0.51202967247064668</v>
      </c>
      <c r="V5">
        <f t="shared" si="4"/>
        <v>8.2911474824203406</v>
      </c>
      <c r="W5">
        <v>12.51</v>
      </c>
      <c r="X5">
        <f t="shared" si="15"/>
        <v>75.008760875695458</v>
      </c>
      <c r="Y5">
        <f t="shared" si="16"/>
        <v>400.14022315023078</v>
      </c>
      <c r="AA5">
        <f t="shared" si="17"/>
        <v>0.24991239124304548</v>
      </c>
    </row>
    <row r="6" spans="1:28">
      <c r="A6">
        <v>4.04</v>
      </c>
      <c r="B6">
        <f t="shared" si="5"/>
        <v>4.0399999999999998E-2</v>
      </c>
      <c r="C6">
        <v>12.4</v>
      </c>
      <c r="D6">
        <v>10.199999999999999</v>
      </c>
      <c r="E6">
        <v>1</v>
      </c>
      <c r="F6">
        <f t="shared" si="6"/>
        <v>0.5</v>
      </c>
      <c r="G6">
        <f t="shared" si="7"/>
        <v>2.2000000000000011</v>
      </c>
      <c r="H6">
        <f t="shared" si="8"/>
        <v>132.00000000000006</v>
      </c>
      <c r="I6">
        <f t="shared" si="9"/>
        <v>0.70710678118654757</v>
      </c>
      <c r="J6">
        <f t="shared" si="0"/>
        <v>3.8397243543875269E-2</v>
      </c>
      <c r="K6">
        <f t="shared" si="10"/>
        <v>32.141217326661234</v>
      </c>
      <c r="L6">
        <v>2.48</v>
      </c>
      <c r="M6">
        <f t="shared" si="11"/>
        <v>1.124E-2</v>
      </c>
      <c r="N6">
        <f t="shared" si="12"/>
        <v>0.45322580645161292</v>
      </c>
      <c r="O6" s="3">
        <v>1860</v>
      </c>
      <c r="P6">
        <f t="shared" si="13"/>
        <v>0.186</v>
      </c>
      <c r="Q6">
        <f t="shared" si="1"/>
        <v>14.16</v>
      </c>
      <c r="R6">
        <f t="shared" si="2"/>
        <v>0.76129032258064511</v>
      </c>
      <c r="T6">
        <f t="shared" si="14"/>
        <v>5.1098216150158722</v>
      </c>
      <c r="U6">
        <f t="shared" si="3"/>
        <v>0.51202967247064668</v>
      </c>
      <c r="V6">
        <f t="shared" si="4"/>
        <v>8.2911474824203406</v>
      </c>
      <c r="W6">
        <v>12.51</v>
      </c>
      <c r="X6">
        <f t="shared" si="15"/>
        <v>59.154103796835557</v>
      </c>
      <c r="Y6">
        <f t="shared" si="16"/>
        <v>244.82263653270687</v>
      </c>
      <c r="AA6">
        <f t="shared" si="17"/>
        <v>0.40845896203164445</v>
      </c>
    </row>
    <row r="7" spans="1:28">
      <c r="A7">
        <v>4.04</v>
      </c>
      <c r="B7">
        <f t="shared" si="5"/>
        <v>4.0399999999999998E-2</v>
      </c>
      <c r="C7">
        <v>12.4</v>
      </c>
      <c r="D7">
        <v>9.1</v>
      </c>
      <c r="E7">
        <v>1</v>
      </c>
      <c r="F7">
        <f t="shared" si="6"/>
        <v>0.5</v>
      </c>
      <c r="G7">
        <f t="shared" si="7"/>
        <v>3.3000000000000007</v>
      </c>
      <c r="H7">
        <f t="shared" si="8"/>
        <v>198.00000000000006</v>
      </c>
      <c r="I7">
        <f t="shared" si="9"/>
        <v>0.70710678118654757</v>
      </c>
      <c r="J7">
        <f t="shared" si="0"/>
        <v>5.7595865315812886E-2</v>
      </c>
      <c r="K7">
        <f t="shared" si="10"/>
        <v>21.427478217774166</v>
      </c>
      <c r="L7">
        <v>3.08</v>
      </c>
      <c r="M7">
        <f t="shared" si="11"/>
        <v>1.154E-2</v>
      </c>
      <c r="N7">
        <f t="shared" si="12"/>
        <v>0.37467532467532466</v>
      </c>
      <c r="O7" s="3">
        <v>2290</v>
      </c>
      <c r="P7">
        <f t="shared" si="13"/>
        <v>0.22900000000000001</v>
      </c>
      <c r="Q7">
        <f t="shared" si="1"/>
        <v>16.740000000000002</v>
      </c>
      <c r="R7">
        <f t="shared" si="2"/>
        <v>0.73100436681222714</v>
      </c>
      <c r="T7">
        <f t="shared" si="14"/>
        <v>6.2255031903468465</v>
      </c>
      <c r="U7">
        <f t="shared" si="3"/>
        <v>0.51202967247064668</v>
      </c>
      <c r="V7">
        <f t="shared" si="4"/>
        <v>8.2911474824203406</v>
      </c>
      <c r="W7">
        <v>12.51</v>
      </c>
      <c r="X7">
        <f t="shared" si="15"/>
        <v>50.235785848546385</v>
      </c>
      <c r="Y7">
        <f t="shared" si="16"/>
        <v>200.9476120644799</v>
      </c>
      <c r="AA7">
        <f t="shared" si="17"/>
        <v>0.49764214151453612</v>
      </c>
    </row>
    <row r="8" spans="1:28">
      <c r="A8">
        <v>4.04</v>
      </c>
      <c r="B8">
        <f t="shared" si="5"/>
        <v>4.0399999999999998E-2</v>
      </c>
      <c r="C8">
        <v>12.4</v>
      </c>
      <c r="D8">
        <v>8</v>
      </c>
      <c r="E8">
        <v>1</v>
      </c>
      <c r="F8">
        <f t="shared" si="6"/>
        <v>0.5</v>
      </c>
      <c r="G8">
        <f t="shared" si="7"/>
        <v>4.4000000000000004</v>
      </c>
      <c r="H8">
        <f t="shared" si="8"/>
        <v>264</v>
      </c>
      <c r="I8">
        <f t="shared" si="9"/>
        <v>0.70710678118654757</v>
      </c>
      <c r="J8">
        <f t="shared" si="0"/>
        <v>7.679448708775051E-2</v>
      </c>
      <c r="K8">
        <f t="shared" si="10"/>
        <v>16.070608663330628</v>
      </c>
      <c r="L8">
        <v>3.52</v>
      </c>
      <c r="M8">
        <f t="shared" si="11"/>
        <v>1.176E-2</v>
      </c>
      <c r="N8">
        <f t="shared" si="12"/>
        <v>0.33409090909090911</v>
      </c>
      <c r="O8" s="3">
        <v>2600</v>
      </c>
      <c r="P8">
        <f t="shared" si="13"/>
        <v>0.26</v>
      </c>
      <c r="Q8">
        <f t="shared" si="1"/>
        <v>18.600000000000001</v>
      </c>
      <c r="R8">
        <f t="shared" si="2"/>
        <v>0.71538461538461551</v>
      </c>
      <c r="T8">
        <f t="shared" si="14"/>
        <v>7.310975541484245</v>
      </c>
      <c r="U8">
        <f t="shared" si="3"/>
        <v>0.51202967247064668</v>
      </c>
      <c r="V8">
        <f t="shared" si="4"/>
        <v>8.2911474824203406</v>
      </c>
      <c r="W8">
        <v>12.51</v>
      </c>
      <c r="X8">
        <f t="shared" si="15"/>
        <v>41.558948509318583</v>
      </c>
      <c r="Y8">
        <f t="shared" si="16"/>
        <v>171.11259542608551</v>
      </c>
      <c r="AA8">
        <f t="shared" si="17"/>
        <v>0.58441051490681417</v>
      </c>
    </row>
    <row r="9" spans="1:28">
      <c r="A9">
        <v>4.04</v>
      </c>
      <c r="B9">
        <f t="shared" si="5"/>
        <v>4.0399999999999998E-2</v>
      </c>
      <c r="C9">
        <v>12.4</v>
      </c>
      <c r="D9">
        <v>7.4</v>
      </c>
      <c r="E9">
        <v>1</v>
      </c>
      <c r="F9">
        <f t="shared" si="6"/>
        <v>0.5</v>
      </c>
      <c r="G9">
        <f t="shared" si="7"/>
        <v>5</v>
      </c>
      <c r="H9">
        <f t="shared" si="8"/>
        <v>300</v>
      </c>
      <c r="I9">
        <f t="shared" si="9"/>
        <v>0.70710678118654757</v>
      </c>
      <c r="J9">
        <f t="shared" si="0"/>
        <v>8.7266462599716474E-2</v>
      </c>
      <c r="K9">
        <f t="shared" si="10"/>
        <v>14.142135623730951</v>
      </c>
      <c r="L9">
        <v>4.0199999999999996</v>
      </c>
      <c r="M9">
        <f t="shared" si="11"/>
        <v>1.201E-2</v>
      </c>
      <c r="N9">
        <f t="shared" si="12"/>
        <v>0.29875621890547266</v>
      </c>
      <c r="O9" s="3">
        <v>2960</v>
      </c>
      <c r="P9">
        <f t="shared" si="13"/>
        <v>0.29600000000000004</v>
      </c>
      <c r="Q9">
        <f t="shared" si="1"/>
        <v>20.76</v>
      </c>
      <c r="R9">
        <f t="shared" si="2"/>
        <v>0.7013513513513514</v>
      </c>
      <c r="T9">
        <f t="shared" si="14"/>
        <v>7.2975032278328591</v>
      </c>
      <c r="U9">
        <f t="shared" si="3"/>
        <v>0.51202967247064668</v>
      </c>
      <c r="V9">
        <f t="shared" si="4"/>
        <v>8.2911474824203406</v>
      </c>
      <c r="W9">
        <v>12.51</v>
      </c>
      <c r="X9">
        <f t="shared" si="15"/>
        <v>41.666640864645409</v>
      </c>
      <c r="Y9">
        <f t="shared" si="16"/>
        <v>171.42849560225679</v>
      </c>
      <c r="AA9">
        <f t="shared" si="17"/>
        <v>0.5833335913535459</v>
      </c>
    </row>
    <row r="10" spans="1:28">
      <c r="A10">
        <v>4.04</v>
      </c>
      <c r="B10">
        <f t="shared" si="5"/>
        <v>4.0399999999999998E-2</v>
      </c>
      <c r="C10">
        <v>12.4</v>
      </c>
      <c r="D10">
        <v>6.5</v>
      </c>
      <c r="E10">
        <v>1</v>
      </c>
      <c r="F10">
        <f t="shared" si="6"/>
        <v>0.5</v>
      </c>
      <c r="G10">
        <f t="shared" si="7"/>
        <v>5.9</v>
      </c>
      <c r="H10">
        <f t="shared" si="8"/>
        <v>354</v>
      </c>
      <c r="I10">
        <f t="shared" si="9"/>
        <v>0.70710678118654757</v>
      </c>
      <c r="J10">
        <f t="shared" si="0"/>
        <v>0.10297442586766545</v>
      </c>
      <c r="K10">
        <f t="shared" si="10"/>
        <v>11.984860698077076</v>
      </c>
      <c r="L10">
        <v>4.53</v>
      </c>
      <c r="M10">
        <f t="shared" si="11"/>
        <v>1.2265000000000002E-2</v>
      </c>
      <c r="N10">
        <f t="shared" si="12"/>
        <v>0.2707505518763797</v>
      </c>
      <c r="O10" s="3">
        <v>3310</v>
      </c>
      <c r="P10">
        <f t="shared" si="13"/>
        <v>0.33100000000000002</v>
      </c>
      <c r="Q10">
        <f t="shared" si="1"/>
        <v>22.86</v>
      </c>
      <c r="R10">
        <f t="shared" si="2"/>
        <v>0.69063444108761329</v>
      </c>
      <c r="T10">
        <f t="shared" si="14"/>
        <v>7.7005194181796428</v>
      </c>
      <c r="U10">
        <f t="shared" si="3"/>
        <v>0.51202967247064668</v>
      </c>
      <c r="V10">
        <f t="shared" si="4"/>
        <v>8.2911474824203406</v>
      </c>
      <c r="W10">
        <v>12.51</v>
      </c>
      <c r="X10">
        <f t="shared" si="15"/>
        <v>38.445088583695899</v>
      </c>
      <c r="Y10">
        <f t="shared" si="16"/>
        <v>162.45657364964205</v>
      </c>
      <c r="AA10">
        <f t="shared" si="17"/>
        <v>0.61554911416304103</v>
      </c>
    </row>
    <row r="11" spans="1:28">
      <c r="A11">
        <v>4.04</v>
      </c>
      <c r="B11">
        <f t="shared" si="5"/>
        <v>4.0399999999999998E-2</v>
      </c>
      <c r="C11">
        <v>12.4</v>
      </c>
      <c r="D11">
        <v>6</v>
      </c>
      <c r="E11">
        <v>1</v>
      </c>
      <c r="F11">
        <f t="shared" si="6"/>
        <v>0.5</v>
      </c>
      <c r="G11">
        <f t="shared" si="7"/>
        <v>6.4</v>
      </c>
      <c r="H11">
        <f t="shared" si="8"/>
        <v>384</v>
      </c>
      <c r="I11">
        <f t="shared" si="9"/>
        <v>0.70710678118654757</v>
      </c>
      <c r="J11">
        <f t="shared" si="0"/>
        <v>0.11170107212763709</v>
      </c>
      <c r="K11">
        <f t="shared" si="10"/>
        <v>11.048543456039805</v>
      </c>
      <c r="L11">
        <v>5.0199999999999996</v>
      </c>
      <c r="M11">
        <f t="shared" si="11"/>
        <v>1.251E-2</v>
      </c>
      <c r="N11">
        <f t="shared" si="12"/>
        <v>0.24920318725099605</v>
      </c>
      <c r="O11" s="3">
        <v>3670</v>
      </c>
      <c r="P11">
        <f t="shared" si="13"/>
        <v>0.36699999999999999</v>
      </c>
      <c r="Q11">
        <f t="shared" si="1"/>
        <v>25.02</v>
      </c>
      <c r="R11">
        <f t="shared" si="2"/>
        <v>0.68174386920980923</v>
      </c>
      <c r="T11">
        <f t="shared" si="14"/>
        <v>7.5337275830008563</v>
      </c>
      <c r="U11">
        <f t="shared" si="3"/>
        <v>0.51202967247064668</v>
      </c>
      <c r="V11">
        <f t="shared" si="4"/>
        <v>8.2911474824203406</v>
      </c>
      <c r="W11">
        <v>12.51</v>
      </c>
      <c r="X11">
        <f t="shared" si="15"/>
        <v>39.778356650672606</v>
      </c>
      <c r="Y11">
        <f t="shared" si="16"/>
        <v>166.05325666709308</v>
      </c>
      <c r="AA11">
        <f t="shared" si="17"/>
        <v>0.60221643349327392</v>
      </c>
    </row>
    <row r="12" spans="1:28">
      <c r="A12">
        <v>4.04</v>
      </c>
      <c r="B12">
        <f t="shared" si="5"/>
        <v>4.0399999999999998E-2</v>
      </c>
      <c r="C12">
        <v>12.4</v>
      </c>
      <c r="D12">
        <v>5.3</v>
      </c>
      <c r="E12">
        <v>1</v>
      </c>
      <c r="F12">
        <f t="shared" si="6"/>
        <v>0.5</v>
      </c>
      <c r="G12">
        <f t="shared" si="7"/>
        <v>7.1000000000000005</v>
      </c>
      <c r="H12">
        <f t="shared" si="8"/>
        <v>426.00000000000006</v>
      </c>
      <c r="I12">
        <f t="shared" si="9"/>
        <v>0.70710678118654757</v>
      </c>
      <c r="J12">
        <f t="shared" si="0"/>
        <v>0.1239183768915974</v>
      </c>
      <c r="K12">
        <f t="shared" si="10"/>
        <v>9.9592504392471479</v>
      </c>
      <c r="L12">
        <v>5.56</v>
      </c>
      <c r="M12">
        <f t="shared" si="11"/>
        <v>1.278E-2</v>
      </c>
      <c r="N12">
        <f t="shared" si="12"/>
        <v>0.22985611510791368</v>
      </c>
      <c r="O12" s="3">
        <v>4030</v>
      </c>
      <c r="P12">
        <f t="shared" si="13"/>
        <v>0.40300000000000002</v>
      </c>
      <c r="Q12">
        <f t="shared" si="1"/>
        <v>27.18</v>
      </c>
      <c r="R12">
        <f t="shared" si="2"/>
        <v>0.67444168734491317</v>
      </c>
      <c r="T12">
        <f t="shared" si="14"/>
        <v>7.6111328950935686</v>
      </c>
      <c r="U12">
        <f t="shared" si="3"/>
        <v>0.51202967247064668</v>
      </c>
      <c r="V12">
        <f t="shared" si="4"/>
        <v>8.2911474824203406</v>
      </c>
      <c r="W12">
        <v>12.51</v>
      </c>
      <c r="X12">
        <f t="shared" si="15"/>
        <v>39.159609151929907</v>
      </c>
      <c r="Y12">
        <f t="shared" si="16"/>
        <v>164.36449307125395</v>
      </c>
      <c r="AA12">
        <f t="shared" si="17"/>
        <v>0.60840390848070092</v>
      </c>
    </row>
    <row r="13" spans="1:28">
      <c r="A13">
        <v>4.04</v>
      </c>
      <c r="B13">
        <f t="shared" si="5"/>
        <v>4.0399999999999998E-2</v>
      </c>
      <c r="C13">
        <v>12.4</v>
      </c>
      <c r="D13">
        <v>4.9000000000000004</v>
      </c>
      <c r="E13">
        <v>1</v>
      </c>
      <c r="F13">
        <f t="shared" si="6"/>
        <v>0.5</v>
      </c>
      <c r="G13">
        <f t="shared" si="7"/>
        <v>7.5</v>
      </c>
      <c r="H13">
        <f t="shared" si="8"/>
        <v>450</v>
      </c>
      <c r="I13">
        <f t="shared" si="9"/>
        <v>0.70710678118654757</v>
      </c>
      <c r="J13">
        <f t="shared" si="0"/>
        <v>0.1308996938995747</v>
      </c>
      <c r="K13">
        <f t="shared" si="10"/>
        <v>9.4280904158206358</v>
      </c>
      <c r="L13">
        <v>6.05</v>
      </c>
      <c r="M13">
        <f t="shared" si="11"/>
        <v>1.3025E-2</v>
      </c>
      <c r="N13">
        <f t="shared" si="12"/>
        <v>0.2152892561983471</v>
      </c>
      <c r="O13" s="3">
        <v>4370</v>
      </c>
      <c r="P13">
        <f t="shared" si="13"/>
        <v>0.437</v>
      </c>
      <c r="Q13">
        <f t="shared" si="1"/>
        <v>29.22</v>
      </c>
      <c r="R13">
        <f t="shared" si="2"/>
        <v>0.66864988558352401</v>
      </c>
      <c r="T13">
        <f t="shared" si="14"/>
        <v>7.4143968722146223</v>
      </c>
      <c r="U13">
        <f t="shared" si="3"/>
        <v>0.51202967247064668</v>
      </c>
      <c r="V13">
        <f t="shared" si="4"/>
        <v>8.2911474824203406</v>
      </c>
      <c r="W13">
        <v>12.51</v>
      </c>
      <c r="X13">
        <f t="shared" si="15"/>
        <v>40.732239230898301</v>
      </c>
      <c r="Y13">
        <f t="shared" si="16"/>
        <v>168.72579409501398</v>
      </c>
      <c r="AA13">
        <f t="shared" si="17"/>
        <v>0.59267760769101696</v>
      </c>
    </row>
    <row r="14" spans="1:28">
      <c r="A14">
        <v>4.04</v>
      </c>
      <c r="B14">
        <f t="shared" si="5"/>
        <v>4.0399999999999998E-2</v>
      </c>
      <c r="C14">
        <v>12.4</v>
      </c>
      <c r="D14">
        <v>4.5</v>
      </c>
      <c r="E14">
        <v>1</v>
      </c>
      <c r="F14">
        <f t="shared" si="6"/>
        <v>0.5</v>
      </c>
      <c r="G14">
        <f t="shared" si="7"/>
        <v>7.9</v>
      </c>
      <c r="H14">
        <f t="shared" si="8"/>
        <v>474</v>
      </c>
      <c r="I14">
        <f t="shared" si="9"/>
        <v>0.70710678118654757</v>
      </c>
      <c r="J14">
        <f t="shared" si="0"/>
        <v>0.13788101090755203</v>
      </c>
      <c r="K14">
        <f t="shared" si="10"/>
        <v>8.9507187491968043</v>
      </c>
      <c r="L14">
        <v>6.5</v>
      </c>
      <c r="M14">
        <f t="shared" si="11"/>
        <v>1.3250000000000001E-2</v>
      </c>
      <c r="N14">
        <f t="shared" si="12"/>
        <v>0.20384615384615384</v>
      </c>
      <c r="O14" s="3">
        <v>4680</v>
      </c>
      <c r="P14">
        <f t="shared" si="13"/>
        <v>0.46800000000000003</v>
      </c>
      <c r="Q14">
        <f t="shared" si="1"/>
        <v>31.08</v>
      </c>
      <c r="R14">
        <f t="shared" si="2"/>
        <v>0.66410256410256407</v>
      </c>
      <c r="T14">
        <f t="shared" si="14"/>
        <v>7.2925134820360515</v>
      </c>
      <c r="U14">
        <f t="shared" si="3"/>
        <v>0.51202967247064668</v>
      </c>
      <c r="V14">
        <f t="shared" si="4"/>
        <v>8.2911474824203406</v>
      </c>
      <c r="W14">
        <v>12.51</v>
      </c>
      <c r="X14">
        <f t="shared" si="15"/>
        <v>41.70652692217385</v>
      </c>
      <c r="Y14">
        <f t="shared" si="16"/>
        <v>171.54579187020221</v>
      </c>
      <c r="AA14">
        <f t="shared" si="17"/>
        <v>0.58293473077826152</v>
      </c>
    </row>
    <row r="15" spans="1:28">
      <c r="A15">
        <v>4.04</v>
      </c>
      <c r="B15">
        <f t="shared" si="5"/>
        <v>4.0399999999999998E-2</v>
      </c>
      <c r="C15">
        <v>12.4</v>
      </c>
      <c r="D15">
        <v>3.9</v>
      </c>
      <c r="E15">
        <v>1</v>
      </c>
      <c r="F15">
        <f t="shared" si="6"/>
        <v>0.5</v>
      </c>
      <c r="G15">
        <f t="shared" si="7"/>
        <v>8.5</v>
      </c>
      <c r="H15">
        <f t="shared" si="8"/>
        <v>510</v>
      </c>
      <c r="I15">
        <f t="shared" si="9"/>
        <v>0.70710678118654757</v>
      </c>
      <c r="J15">
        <f t="shared" si="0"/>
        <v>0.14835298641951802</v>
      </c>
      <c r="K15">
        <f t="shared" si="10"/>
        <v>8.3189033080770294</v>
      </c>
      <c r="L15">
        <v>6.95</v>
      </c>
      <c r="M15">
        <f t="shared" si="11"/>
        <v>1.3475000000000001E-2</v>
      </c>
      <c r="N15">
        <f t="shared" si="12"/>
        <v>0.19388489208633095</v>
      </c>
      <c r="O15" s="3">
        <v>4990</v>
      </c>
      <c r="P15">
        <f t="shared" si="13"/>
        <v>0.499</v>
      </c>
      <c r="Q15">
        <f t="shared" si="1"/>
        <v>32.94</v>
      </c>
      <c r="R15">
        <f t="shared" si="2"/>
        <v>0.66012024048096185</v>
      </c>
      <c r="T15">
        <f t="shared" si="14"/>
        <v>7.3589250986883679</v>
      </c>
      <c r="U15">
        <f t="shared" si="3"/>
        <v>0.51202967247064668</v>
      </c>
      <c r="V15">
        <f t="shared" si="4"/>
        <v>8.2911474824203406</v>
      </c>
      <c r="W15">
        <v>12.51</v>
      </c>
      <c r="X15">
        <f t="shared" si="15"/>
        <v>41.175658683546217</v>
      </c>
      <c r="Y15">
        <f t="shared" si="16"/>
        <v>169.9976536278341</v>
      </c>
      <c r="AA15">
        <f t="shared" si="17"/>
        <v>0.58824341316453777</v>
      </c>
    </row>
    <row r="16" spans="1:28">
      <c r="A16">
        <v>4.04</v>
      </c>
      <c r="B16">
        <f t="shared" si="5"/>
        <v>4.0399999999999998E-2</v>
      </c>
      <c r="C16">
        <v>12.4</v>
      </c>
      <c r="D16">
        <v>3</v>
      </c>
      <c r="E16">
        <v>1</v>
      </c>
      <c r="F16">
        <f t="shared" si="6"/>
        <v>0.5</v>
      </c>
      <c r="G16">
        <f>ABS(C16-D16)</f>
        <v>9.4</v>
      </c>
      <c r="H16">
        <f t="shared" si="8"/>
        <v>564</v>
      </c>
      <c r="I16">
        <f t="shared" si="9"/>
        <v>0.70710678118654757</v>
      </c>
      <c r="J16">
        <f t="shared" si="0"/>
        <v>0.16406094968746698</v>
      </c>
      <c r="K16">
        <f t="shared" si="10"/>
        <v>7.5224125658143359</v>
      </c>
      <c r="L16">
        <v>7.5</v>
      </c>
      <c r="M16">
        <f t="shared" si="11"/>
        <v>1.375E-2</v>
      </c>
      <c r="N16">
        <f t="shared" si="12"/>
        <v>0.18333333333333332</v>
      </c>
      <c r="O16" s="3">
        <v>5360</v>
      </c>
      <c r="P16">
        <f t="shared" si="13"/>
        <v>0.53600000000000003</v>
      </c>
      <c r="Q16">
        <f t="shared" si="1"/>
        <v>35.159999999999997</v>
      </c>
      <c r="R16">
        <f t="shared" si="2"/>
        <v>0.65597014925373121</v>
      </c>
      <c r="T16">
        <f t="shared" si="14"/>
        <v>7.5763332019112504</v>
      </c>
      <c r="U16">
        <f t="shared" si="3"/>
        <v>0.51202967247064668</v>
      </c>
      <c r="V16">
        <f t="shared" si="4"/>
        <v>8.2911474824203406</v>
      </c>
      <c r="W16">
        <v>12.51</v>
      </c>
      <c r="X16">
        <f t="shared" si="15"/>
        <v>39.437784157384087</v>
      </c>
      <c r="Y16">
        <f t="shared" si="16"/>
        <v>165.11945378595749</v>
      </c>
      <c r="AA16">
        <f t="shared" si="17"/>
        <v>0.60562215842615907</v>
      </c>
    </row>
    <row r="17" spans="1:22">
      <c r="R17" t="s">
        <v>19</v>
      </c>
      <c r="T17">
        <f>AVERAGE(T3:T16)</f>
        <v>6.1756189183258341</v>
      </c>
    </row>
    <row r="18" spans="1:22">
      <c r="R18" t="s">
        <v>22</v>
      </c>
      <c r="T18">
        <f>_xlfn.STDEV.P(T3:T16)</f>
        <v>1.983082394242853</v>
      </c>
    </row>
    <row r="19" spans="1:22">
      <c r="R19" t="s">
        <v>35</v>
      </c>
      <c r="T19">
        <f xml:space="preserve"> CORREL(B25:B38,C25:C38)</f>
        <v>0.99221963813544078</v>
      </c>
    </row>
    <row r="20" spans="1:22" s="2" customFormat="1">
      <c r="A20" s="2" t="s">
        <v>25</v>
      </c>
    </row>
    <row r="21" spans="1:22">
      <c r="V21" t="s">
        <v>36</v>
      </c>
    </row>
    <row r="22" spans="1:22">
      <c r="A22" t="s">
        <v>26</v>
      </c>
      <c r="E22" t="s">
        <v>56</v>
      </c>
    </row>
    <row r="23" spans="1:22">
      <c r="E23" t="s">
        <v>41</v>
      </c>
      <c r="F23" t="s">
        <v>42</v>
      </c>
      <c r="G23" t="s">
        <v>43</v>
      </c>
    </row>
    <row r="24" spans="1:22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LINEST(_xlfn.ANCHORARRAY(F25),E25:E38, TRUE, TRUE)</f>
        <v>8.9169697290292831</v>
      </c>
      <c r="H24">
        <v>-2.5430953844901405E-2</v>
      </c>
      <c r="J24">
        <f>ABS(G24-W3)/W3 *100</f>
        <v>28.721265155641223</v>
      </c>
    </row>
    <row r="25" spans="1:22">
      <c r="A25">
        <f t="shared" ref="A25:A38" si="18">L3</f>
        <v>1.1299999999999999</v>
      </c>
      <c r="B25">
        <f t="shared" ref="B25:B38" si="19">O3</f>
        <v>880</v>
      </c>
      <c r="C25">
        <f t="shared" ref="C25:C38" si="20">J3</f>
        <v>1.2217304763960294E-2</v>
      </c>
      <c r="E25">
        <f>P3*B3</f>
        <v>3.5552000000000001E-3</v>
      </c>
      <c r="F25" cm="1">
        <f t="array" ref="F25:F38">J3:J16</f>
        <v>1.2217304763960294E-2</v>
      </c>
      <c r="G25">
        <v>0.32298872161658398</v>
      </c>
      <c r="H25">
        <v>4.4660459410968377E-3</v>
      </c>
    </row>
    <row r="26" spans="1:22">
      <c r="A26">
        <f t="shared" si="18"/>
        <v>1.55</v>
      </c>
      <c r="B26">
        <f t="shared" si="19"/>
        <v>1180</v>
      </c>
      <c r="C26">
        <f t="shared" si="20"/>
        <v>6.9813170079773244E-3</v>
      </c>
      <c r="E26">
        <f t="shared" ref="E26:E38" si="21">P4*B4</f>
        <v>4.7672000000000001E-3</v>
      </c>
      <c r="F26">
        <v>6.9813170079773244E-3</v>
      </c>
      <c r="G26">
        <v>0.98449981030162459</v>
      </c>
      <c r="H26">
        <v>6.8541281235863236E-3</v>
      </c>
    </row>
    <row r="27" spans="1:22">
      <c r="A27">
        <f t="shared" si="18"/>
        <v>2.0099999999999998</v>
      </c>
      <c r="B27">
        <f t="shared" si="19"/>
        <v>1520</v>
      </c>
      <c r="C27">
        <f t="shared" si="20"/>
        <v>1.9198621771937621E-2</v>
      </c>
      <c r="E27">
        <f t="shared" si="21"/>
        <v>6.1407999999999992E-3</v>
      </c>
      <c r="F27">
        <v>1.9198621771937621E-2</v>
      </c>
      <c r="G27">
        <v>762.18407345412663</v>
      </c>
      <c r="H27">
        <v>12</v>
      </c>
    </row>
    <row r="28" spans="1:22">
      <c r="A28">
        <f t="shared" si="18"/>
        <v>2.48</v>
      </c>
      <c r="B28">
        <f t="shared" si="19"/>
        <v>1860</v>
      </c>
      <c r="C28">
        <f t="shared" si="20"/>
        <v>3.8397243543875269E-2</v>
      </c>
      <c r="E28">
        <f t="shared" si="21"/>
        <v>7.5144000000000001E-3</v>
      </c>
      <c r="F28">
        <v>3.8397243543875269E-2</v>
      </c>
      <c r="G28">
        <v>3.5806700719033462E-2</v>
      </c>
      <c r="H28">
        <v>5.6374886801444373E-4</v>
      </c>
    </row>
    <row r="29" spans="1:22">
      <c r="A29">
        <f t="shared" si="18"/>
        <v>3.08</v>
      </c>
      <c r="B29">
        <f t="shared" si="19"/>
        <v>2290</v>
      </c>
      <c r="C29">
        <f t="shared" si="20"/>
        <v>5.7595865315812886E-2</v>
      </c>
      <c r="E29">
        <f t="shared" si="21"/>
        <v>9.2516000000000004E-3</v>
      </c>
      <c r="F29">
        <v>5.7595865315812886E-2</v>
      </c>
    </row>
    <row r="30" spans="1:22">
      <c r="A30">
        <f t="shared" si="18"/>
        <v>3.52</v>
      </c>
      <c r="B30">
        <f t="shared" si="19"/>
        <v>2600</v>
      </c>
      <c r="C30">
        <f t="shared" si="20"/>
        <v>7.679448708775051E-2</v>
      </c>
      <c r="E30">
        <f t="shared" si="21"/>
        <v>1.0503999999999999E-2</v>
      </c>
      <c r="F30">
        <v>7.679448708775051E-2</v>
      </c>
    </row>
    <row r="31" spans="1:22">
      <c r="A31">
        <f t="shared" si="18"/>
        <v>4.0199999999999996</v>
      </c>
      <c r="B31">
        <f t="shared" si="19"/>
        <v>2960</v>
      </c>
      <c r="C31">
        <f t="shared" si="20"/>
        <v>8.7266462599716474E-2</v>
      </c>
      <c r="E31">
        <f t="shared" si="21"/>
        <v>1.1958400000000001E-2</v>
      </c>
      <c r="F31">
        <v>8.7266462599716474E-2</v>
      </c>
    </row>
    <row r="32" spans="1:22">
      <c r="A32">
        <f t="shared" si="18"/>
        <v>4.53</v>
      </c>
      <c r="B32">
        <f t="shared" si="19"/>
        <v>3310</v>
      </c>
      <c r="C32">
        <f t="shared" si="20"/>
        <v>0.10297442586766545</v>
      </c>
      <c r="E32">
        <f t="shared" si="21"/>
        <v>1.33724E-2</v>
      </c>
      <c r="F32">
        <v>0.10297442586766545</v>
      </c>
    </row>
    <row r="33" spans="1:8">
      <c r="A33">
        <f t="shared" si="18"/>
        <v>5.0199999999999996</v>
      </c>
      <c r="B33">
        <f t="shared" si="19"/>
        <v>3670</v>
      </c>
      <c r="C33">
        <f t="shared" si="20"/>
        <v>0.11170107212763709</v>
      </c>
      <c r="E33">
        <f t="shared" si="21"/>
        <v>1.4826799999999999E-2</v>
      </c>
      <c r="F33">
        <v>0.11170107212763709</v>
      </c>
    </row>
    <row r="34" spans="1:8">
      <c r="A34">
        <f t="shared" si="18"/>
        <v>5.56</v>
      </c>
      <c r="B34">
        <f t="shared" si="19"/>
        <v>4030</v>
      </c>
      <c r="C34">
        <f t="shared" si="20"/>
        <v>0.1239183768915974</v>
      </c>
      <c r="E34">
        <f t="shared" si="21"/>
        <v>1.6281199999999999E-2</v>
      </c>
      <c r="F34">
        <v>0.1239183768915974</v>
      </c>
    </row>
    <row r="35" spans="1:8">
      <c r="A35">
        <f t="shared" si="18"/>
        <v>6.05</v>
      </c>
      <c r="B35">
        <f t="shared" si="19"/>
        <v>4370</v>
      </c>
      <c r="C35">
        <f t="shared" si="20"/>
        <v>0.1308996938995747</v>
      </c>
      <c r="E35">
        <f t="shared" si="21"/>
        <v>1.7654799999999998E-2</v>
      </c>
      <c r="F35">
        <v>0.1308996938995747</v>
      </c>
    </row>
    <row r="36" spans="1:8">
      <c r="A36">
        <f t="shared" si="18"/>
        <v>6.5</v>
      </c>
      <c r="B36">
        <f t="shared" si="19"/>
        <v>4680</v>
      </c>
      <c r="C36">
        <f t="shared" si="20"/>
        <v>0.13788101090755203</v>
      </c>
      <c r="E36">
        <f t="shared" si="21"/>
        <v>1.8907199999999999E-2</v>
      </c>
      <c r="F36">
        <v>0.13788101090755203</v>
      </c>
    </row>
    <row r="37" spans="1:8">
      <c r="A37">
        <f t="shared" si="18"/>
        <v>6.95</v>
      </c>
      <c r="B37">
        <f t="shared" si="19"/>
        <v>4990</v>
      </c>
      <c r="C37">
        <f t="shared" si="20"/>
        <v>0.14835298641951802</v>
      </c>
      <c r="E37">
        <f t="shared" si="21"/>
        <v>2.01596E-2</v>
      </c>
      <c r="F37">
        <v>0.14835298641951802</v>
      </c>
    </row>
    <row r="38" spans="1:8">
      <c r="A38">
        <f t="shared" si="18"/>
        <v>7.5</v>
      </c>
      <c r="B38">
        <f t="shared" si="19"/>
        <v>5360</v>
      </c>
      <c r="C38">
        <f t="shared" si="20"/>
        <v>0.16406094968746698</v>
      </c>
      <c r="E38">
        <f t="shared" si="21"/>
        <v>2.1654400000000001E-2</v>
      </c>
      <c r="F38">
        <v>0.16406094968746698</v>
      </c>
    </row>
    <row r="41" spans="1:8">
      <c r="A41" s="4" t="s">
        <v>46</v>
      </c>
      <c r="B41" s="4" t="s">
        <v>50</v>
      </c>
      <c r="C41" s="4" t="s">
        <v>51</v>
      </c>
      <c r="D41" s="4" t="s">
        <v>50</v>
      </c>
      <c r="E41" s="4" t="s">
        <v>52</v>
      </c>
      <c r="F41" s="4" t="s">
        <v>50</v>
      </c>
      <c r="G41" s="4" t="s">
        <v>53</v>
      </c>
      <c r="H41" s="4" t="s">
        <v>50</v>
      </c>
    </row>
    <row r="42" spans="1:8">
      <c r="A42" s="4">
        <f>L3</f>
        <v>1.1299999999999999</v>
      </c>
      <c r="B42" s="4">
        <f>N3</f>
        <v>0.93495575221238947</v>
      </c>
      <c r="C42" s="4">
        <f>P3</f>
        <v>8.8000000000000009E-2</v>
      </c>
      <c r="D42" s="4">
        <f>R3</f>
        <v>0.94090909090909103</v>
      </c>
      <c r="E42" s="4">
        <f>J3</f>
        <v>1.2217304763960294E-2</v>
      </c>
      <c r="F42" s="4">
        <f>K3</f>
        <v>101.0152544552212</v>
      </c>
      <c r="G42" s="4">
        <f>T3</f>
        <v>3.4364606109249252</v>
      </c>
      <c r="H42" s="4">
        <f t="shared" ref="H42:H55" si="22">B42+D42+F42</f>
        <v>102.89111929834267</v>
      </c>
    </row>
    <row r="43" spans="1:8">
      <c r="A43" s="4">
        <f t="shared" ref="A43:A55" si="23">L4</f>
        <v>1.55</v>
      </c>
      <c r="B43" s="4">
        <f t="shared" ref="B43:B55" si="24">N4</f>
        <v>0.69516129032258056</v>
      </c>
      <c r="C43" s="4">
        <f t="shared" ref="C43:C55" si="25">P4</f>
        <v>0.11800000000000001</v>
      </c>
      <c r="D43" s="4">
        <f t="shared" ref="D43:D55" si="26">R4</f>
        <v>0.85423728813559319</v>
      </c>
      <c r="E43" s="4">
        <f t="shared" ref="E43:E55" si="27">J4</f>
        <v>6.9813170079773244E-3</v>
      </c>
      <c r="F43" s="4">
        <f t="shared" ref="F43:F55" si="28">K4</f>
        <v>176.77669529663675</v>
      </c>
      <c r="G43" s="4">
        <f t="shared" ref="G43:G55" si="29">T4</f>
        <v>1.4644481053820533</v>
      </c>
      <c r="H43" s="4">
        <f t="shared" si="22"/>
        <v>178.32609387509493</v>
      </c>
    </row>
    <row r="44" spans="1:8">
      <c r="A44" s="4">
        <f t="shared" si="23"/>
        <v>2.0099999999999998</v>
      </c>
      <c r="B44" s="4">
        <f t="shared" si="24"/>
        <v>0.54751243781094538</v>
      </c>
      <c r="C44" s="4">
        <f t="shared" si="25"/>
        <v>0.152</v>
      </c>
      <c r="D44" s="4">
        <f t="shared" si="26"/>
        <v>0.7973684210526315</v>
      </c>
      <c r="E44" s="4">
        <f t="shared" si="27"/>
        <v>1.9198621771937621E-2</v>
      </c>
      <c r="F44" s="4">
        <f t="shared" si="28"/>
        <v>64.282434653322525</v>
      </c>
      <c r="G44" s="4">
        <f t="shared" si="29"/>
        <v>3.126404014450499</v>
      </c>
      <c r="H44" s="4">
        <f t="shared" si="22"/>
        <v>65.627315512186101</v>
      </c>
    </row>
    <row r="45" spans="1:8">
      <c r="A45" s="4">
        <f t="shared" si="23"/>
        <v>2.48</v>
      </c>
      <c r="B45" s="4">
        <f t="shared" si="24"/>
        <v>0.45322580645161292</v>
      </c>
      <c r="C45" s="4">
        <f t="shared" si="25"/>
        <v>0.186</v>
      </c>
      <c r="D45" s="4">
        <f t="shared" si="26"/>
        <v>0.76129032258064511</v>
      </c>
      <c r="E45" s="4">
        <f t="shared" si="27"/>
        <v>3.8397243543875269E-2</v>
      </c>
      <c r="F45" s="4">
        <f t="shared" si="28"/>
        <v>32.141217326661234</v>
      </c>
      <c r="G45" s="4">
        <f t="shared" si="29"/>
        <v>5.1098216150158722</v>
      </c>
      <c r="H45" s="4">
        <f t="shared" si="22"/>
        <v>33.355733455693489</v>
      </c>
    </row>
    <row r="46" spans="1:8">
      <c r="A46" s="4">
        <f t="shared" si="23"/>
        <v>3.08</v>
      </c>
      <c r="B46" s="4">
        <f t="shared" si="24"/>
        <v>0.37467532467532466</v>
      </c>
      <c r="C46" s="4">
        <f t="shared" si="25"/>
        <v>0.22900000000000001</v>
      </c>
      <c r="D46" s="4">
        <f t="shared" si="26"/>
        <v>0.73100436681222714</v>
      </c>
      <c r="E46" s="4">
        <f t="shared" si="27"/>
        <v>5.7595865315812886E-2</v>
      </c>
      <c r="F46" s="4">
        <f t="shared" si="28"/>
        <v>21.427478217774166</v>
      </c>
      <c r="G46" s="4">
        <f t="shared" si="29"/>
        <v>6.2255031903468465</v>
      </c>
      <c r="H46" s="4">
        <f t="shared" si="22"/>
        <v>22.533157909261718</v>
      </c>
    </row>
    <row r="47" spans="1:8">
      <c r="A47" s="4">
        <f t="shared" si="23"/>
        <v>3.52</v>
      </c>
      <c r="B47" s="4">
        <f t="shared" si="24"/>
        <v>0.33409090909090911</v>
      </c>
      <c r="C47" s="4">
        <f t="shared" si="25"/>
        <v>0.26</v>
      </c>
      <c r="D47" s="4">
        <f t="shared" si="26"/>
        <v>0.71538461538461551</v>
      </c>
      <c r="E47" s="4">
        <f t="shared" si="27"/>
        <v>7.679448708775051E-2</v>
      </c>
      <c r="F47" s="4">
        <f t="shared" si="28"/>
        <v>16.070608663330628</v>
      </c>
      <c r="G47" s="4">
        <f t="shared" si="29"/>
        <v>7.310975541484245</v>
      </c>
      <c r="H47" s="4">
        <f t="shared" si="22"/>
        <v>17.120084187806153</v>
      </c>
    </row>
    <row r="48" spans="1:8">
      <c r="A48" s="4">
        <f t="shared" si="23"/>
        <v>4.0199999999999996</v>
      </c>
      <c r="B48" s="4">
        <f t="shared" si="24"/>
        <v>0.29875621890547266</v>
      </c>
      <c r="C48" s="4">
        <f t="shared" si="25"/>
        <v>0.29600000000000004</v>
      </c>
      <c r="D48" s="4">
        <f t="shared" si="26"/>
        <v>0.7013513513513514</v>
      </c>
      <c r="E48" s="4">
        <f t="shared" si="27"/>
        <v>8.7266462599716474E-2</v>
      </c>
      <c r="F48" s="4">
        <f t="shared" si="28"/>
        <v>14.142135623730951</v>
      </c>
      <c r="G48" s="4">
        <f t="shared" si="29"/>
        <v>7.2975032278328591</v>
      </c>
      <c r="H48" s="4">
        <f t="shared" si="22"/>
        <v>15.142243193987776</v>
      </c>
    </row>
    <row r="49" spans="1:8">
      <c r="A49" s="4">
        <f t="shared" si="23"/>
        <v>4.53</v>
      </c>
      <c r="B49" s="4">
        <f t="shared" si="24"/>
        <v>0.2707505518763797</v>
      </c>
      <c r="C49" s="4">
        <f t="shared" si="25"/>
        <v>0.33100000000000002</v>
      </c>
      <c r="D49" s="4">
        <f t="shared" si="26"/>
        <v>0.69063444108761329</v>
      </c>
      <c r="E49" s="4">
        <f t="shared" si="27"/>
        <v>0.10297442586766545</v>
      </c>
      <c r="F49" s="4">
        <f t="shared" si="28"/>
        <v>11.984860698077076</v>
      </c>
      <c r="G49" s="4">
        <f t="shared" si="29"/>
        <v>7.7005194181796428</v>
      </c>
      <c r="H49" s="4">
        <f t="shared" si="22"/>
        <v>12.946245691041069</v>
      </c>
    </row>
    <row r="50" spans="1:8">
      <c r="A50" s="4">
        <f t="shared" si="23"/>
        <v>5.0199999999999996</v>
      </c>
      <c r="B50" s="4">
        <f t="shared" si="24"/>
        <v>0.24920318725099605</v>
      </c>
      <c r="C50" s="4">
        <f t="shared" si="25"/>
        <v>0.36699999999999999</v>
      </c>
      <c r="D50" s="4">
        <f t="shared" si="26"/>
        <v>0.68174386920980923</v>
      </c>
      <c r="E50" s="4">
        <f t="shared" si="27"/>
        <v>0.11170107212763709</v>
      </c>
      <c r="F50" s="4">
        <f t="shared" si="28"/>
        <v>11.048543456039805</v>
      </c>
      <c r="G50" s="4">
        <f t="shared" si="29"/>
        <v>7.5337275830008563</v>
      </c>
      <c r="H50" s="4">
        <f t="shared" si="22"/>
        <v>11.979490512500611</v>
      </c>
    </row>
    <row r="51" spans="1:8">
      <c r="A51" s="4">
        <f t="shared" si="23"/>
        <v>5.56</v>
      </c>
      <c r="B51" s="4">
        <f t="shared" si="24"/>
        <v>0.22985611510791368</v>
      </c>
      <c r="C51" s="4">
        <f t="shared" si="25"/>
        <v>0.40300000000000002</v>
      </c>
      <c r="D51" s="4">
        <f t="shared" si="26"/>
        <v>0.67444168734491317</v>
      </c>
      <c r="E51" s="4">
        <f t="shared" si="27"/>
        <v>0.1239183768915974</v>
      </c>
      <c r="F51" s="4">
        <f t="shared" si="28"/>
        <v>9.9592504392471479</v>
      </c>
      <c r="G51" s="4">
        <f t="shared" si="29"/>
        <v>7.6111328950935686</v>
      </c>
      <c r="H51" s="4">
        <f t="shared" si="22"/>
        <v>10.863548241699975</v>
      </c>
    </row>
    <row r="52" spans="1:8">
      <c r="A52" s="4">
        <f t="shared" si="23"/>
        <v>6.05</v>
      </c>
      <c r="B52" s="4">
        <f t="shared" si="24"/>
        <v>0.2152892561983471</v>
      </c>
      <c r="C52" s="4">
        <f t="shared" si="25"/>
        <v>0.437</v>
      </c>
      <c r="D52" s="4">
        <f t="shared" si="26"/>
        <v>0.66864988558352401</v>
      </c>
      <c r="E52" s="4">
        <f t="shared" si="27"/>
        <v>0.1308996938995747</v>
      </c>
      <c r="F52" s="4">
        <f t="shared" si="28"/>
        <v>9.4280904158206358</v>
      </c>
      <c r="G52" s="4">
        <f t="shared" si="29"/>
        <v>7.4143968722146223</v>
      </c>
      <c r="H52" s="4">
        <f t="shared" si="22"/>
        <v>10.312029557602507</v>
      </c>
    </row>
    <row r="53" spans="1:8">
      <c r="A53" s="4">
        <f t="shared" si="23"/>
        <v>6.5</v>
      </c>
      <c r="B53" s="4">
        <f t="shared" si="24"/>
        <v>0.20384615384615384</v>
      </c>
      <c r="C53" s="4">
        <f t="shared" si="25"/>
        <v>0.46800000000000003</v>
      </c>
      <c r="D53" s="4">
        <f t="shared" si="26"/>
        <v>0.66410256410256407</v>
      </c>
      <c r="E53" s="4">
        <f t="shared" si="27"/>
        <v>0.13788101090755203</v>
      </c>
      <c r="F53" s="4">
        <f t="shared" si="28"/>
        <v>8.9507187491968043</v>
      </c>
      <c r="G53" s="4">
        <f t="shared" si="29"/>
        <v>7.2925134820360515</v>
      </c>
      <c r="H53" s="4">
        <f t="shared" si="22"/>
        <v>9.8186674671455219</v>
      </c>
    </row>
    <row r="54" spans="1:8">
      <c r="A54" s="4">
        <f>L15</f>
        <v>6.95</v>
      </c>
      <c r="B54" s="4">
        <f t="shared" si="24"/>
        <v>0.19388489208633095</v>
      </c>
      <c r="C54" s="4">
        <f t="shared" si="25"/>
        <v>0.499</v>
      </c>
      <c r="D54" s="4">
        <f t="shared" si="26"/>
        <v>0.66012024048096185</v>
      </c>
      <c r="E54" s="4">
        <f t="shared" si="27"/>
        <v>0.14835298641951802</v>
      </c>
      <c r="F54" s="4">
        <f t="shared" si="28"/>
        <v>8.3189033080770294</v>
      </c>
      <c r="G54" s="4">
        <f t="shared" si="29"/>
        <v>7.3589250986883679</v>
      </c>
      <c r="H54" s="4">
        <f t="shared" si="22"/>
        <v>9.1729084406443224</v>
      </c>
    </row>
    <row r="55" spans="1:8">
      <c r="A55" s="4">
        <f t="shared" si="23"/>
        <v>7.5</v>
      </c>
      <c r="B55" s="4">
        <f t="shared" si="24"/>
        <v>0.18333333333333332</v>
      </c>
      <c r="C55" s="4">
        <f t="shared" si="25"/>
        <v>0.53600000000000003</v>
      </c>
      <c r="D55" s="4">
        <f t="shared" si="26"/>
        <v>0.65597014925373121</v>
      </c>
      <c r="E55" s="4">
        <f t="shared" si="27"/>
        <v>0.16406094968746698</v>
      </c>
      <c r="F55" s="4">
        <f t="shared" si="28"/>
        <v>7.5224125658143359</v>
      </c>
      <c r="G55" s="4">
        <f t="shared" si="29"/>
        <v>7.5763332019112504</v>
      </c>
      <c r="H55" s="4">
        <f t="shared" si="22"/>
        <v>8.3617160484013997</v>
      </c>
    </row>
    <row r="56" spans="1:8">
      <c r="A56" s="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26A4-65F0-43F1-891E-B89D95DB84DD}">
  <dimension ref="A1:AB59"/>
  <sheetViews>
    <sheetView topLeftCell="A41" zoomScale="90" zoomScaleNormal="90" workbookViewId="0">
      <selection activeCell="A41" sqref="A41"/>
    </sheetView>
  </sheetViews>
  <sheetFormatPr defaultColWidth="11.42578125" defaultRowHeight="15"/>
  <cols>
    <col min="1" max="1" width="15.42578125" customWidth="1"/>
    <col min="2" max="2" width="19.85546875" customWidth="1"/>
    <col min="3" max="3" width="21" customWidth="1"/>
    <col min="4" max="4" width="19.5703125" customWidth="1"/>
    <col min="5" max="5" width="22.7109375" customWidth="1"/>
    <col min="6" max="6" width="19.8554687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19" width="18.5703125" customWidth="1"/>
    <col min="20" max="20" width="16.85546875" customWidth="1"/>
    <col min="22" max="22" width="17.85546875" customWidth="1"/>
    <col min="23" max="23" width="17.42578125" customWidth="1"/>
    <col min="24" max="24" width="11.85546875" customWidth="1"/>
    <col min="25" max="25" width="16.7109375" customWidth="1"/>
  </cols>
  <sheetData>
    <row r="1" spans="1:28">
      <c r="A1" t="s">
        <v>0</v>
      </c>
      <c r="B1" t="s">
        <v>54</v>
      </c>
      <c r="C1">
        <v>0</v>
      </c>
      <c r="D1" t="s">
        <v>30</v>
      </c>
      <c r="E1">
        <v>237</v>
      </c>
      <c r="F1" t="s">
        <v>62</v>
      </c>
      <c r="G1" t="s">
        <v>63</v>
      </c>
    </row>
    <row r="2" spans="1:2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64</v>
      </c>
      <c r="T2" t="s">
        <v>15</v>
      </c>
      <c r="U2" t="s">
        <v>8</v>
      </c>
      <c r="V2" t="s">
        <v>11</v>
      </c>
      <c r="W2" t="s">
        <v>31</v>
      </c>
      <c r="X2" t="s">
        <v>23</v>
      </c>
      <c r="Y2" t="s">
        <v>18</v>
      </c>
      <c r="Z2" t="s">
        <v>19</v>
      </c>
      <c r="AA2" t="s">
        <v>34</v>
      </c>
      <c r="AB2" t="s">
        <v>19</v>
      </c>
    </row>
    <row r="3" spans="1:28">
      <c r="A3">
        <v>3.05</v>
      </c>
      <c r="B3">
        <f>$A$3/100</f>
        <v>3.0499999999999999E-2</v>
      </c>
      <c r="C3">
        <v>17.399999999999999</v>
      </c>
      <c r="D3" s="1">
        <v>15.4</v>
      </c>
      <c r="E3">
        <v>1</v>
      </c>
      <c r="F3">
        <f>$E$3/2</f>
        <v>0.5</v>
      </c>
      <c r="G3">
        <f>ABS(C3-D3)</f>
        <v>1.9999999999999982</v>
      </c>
      <c r="H3">
        <f>G3*60</f>
        <v>119.99999999999989</v>
      </c>
      <c r="I3">
        <f>SQRT(2)*F3</f>
        <v>0.70710678118654757</v>
      </c>
      <c r="J3">
        <f t="shared" ref="J3:J16" si="0">RADIANS(G3)</f>
        <v>3.4906585039886563E-2</v>
      </c>
      <c r="K3">
        <f>I3/G3 * 100</f>
        <v>35.355339059327413</v>
      </c>
      <c r="L3">
        <v>1.1599999999999999</v>
      </c>
      <c r="M3">
        <f xml:space="preserve"> (0.05*L3/100) + 0.01</f>
        <v>1.0580000000000001E-2</v>
      </c>
      <c r="N3">
        <f xml:space="preserve"> M3/L3*100</f>
        <v>0.91206896551724159</v>
      </c>
      <c r="O3" s="3">
        <v>900</v>
      </c>
      <c r="P3">
        <f>O3*0.0001</f>
        <v>9.0000000000000011E-2</v>
      </c>
      <c r="Q3">
        <f t="shared" ref="Q3:Q16" si="1">(O3*0.6/100)+3</f>
        <v>8.4</v>
      </c>
      <c r="R3">
        <f t="shared" ref="R3:R16" si="2">Q3/O3 * 100</f>
        <v>0.93333333333333346</v>
      </c>
      <c r="T3">
        <f>J3/(P3*B3)</f>
        <v>12.716424422545193</v>
      </c>
      <c r="U3">
        <f t="shared" ref="U3:U16" si="3">$T$18/SQRT(15)</f>
        <v>0.18645788365772789</v>
      </c>
      <c r="V3">
        <f t="shared" ref="V3:V16" si="4">U3/$T$17*100</f>
        <v>1.6584791696715853</v>
      </c>
      <c r="W3">
        <v>10.38</v>
      </c>
      <c r="X3">
        <f>ABS(W3-T3)/W3*100</f>
        <v>22.508905804866981</v>
      </c>
      <c r="Y3">
        <f>1/(T3/W3)*100</f>
        <v>81.626718762210388</v>
      </c>
      <c r="Z3">
        <f>AVERAGE(Y3:Y16)</f>
        <v>92.693619881911701</v>
      </c>
      <c r="AA3">
        <f>T3/W3</f>
        <v>1.2250890580486697</v>
      </c>
      <c r="AB3">
        <f>AVERAGE(AA3:AA16)</f>
        <v>1.0831120208654714</v>
      </c>
    </row>
    <row r="4" spans="1:28">
      <c r="A4">
        <v>3.05</v>
      </c>
      <c r="B4">
        <f t="shared" ref="B4:B16" si="5">$A$3/100</f>
        <v>3.0499999999999999E-2</v>
      </c>
      <c r="C4">
        <v>17.399999999999999</v>
      </c>
      <c r="D4">
        <v>14.9</v>
      </c>
      <c r="E4">
        <v>1</v>
      </c>
      <c r="F4">
        <f t="shared" ref="F4:F16" si="6">$E$3/2</f>
        <v>0.5</v>
      </c>
      <c r="G4">
        <f t="shared" ref="G4:G15" si="7">ABS(C4-D4)</f>
        <v>2.4999999999999982</v>
      </c>
      <c r="H4">
        <f t="shared" ref="H4:H16" si="8">G4*60</f>
        <v>149.99999999999989</v>
      </c>
      <c r="I4">
        <f t="shared" ref="I4:I16" si="9">SQRT(2)*F4</f>
        <v>0.70710678118654757</v>
      </c>
      <c r="J4">
        <f t="shared" si="0"/>
        <v>4.3633231299858209E-2</v>
      </c>
      <c r="K4">
        <f t="shared" ref="K4:K16" si="10">I4/G4 * 100</f>
        <v>28.284271247461923</v>
      </c>
      <c r="L4">
        <v>1.51</v>
      </c>
      <c r="M4">
        <f t="shared" ref="M4:M16" si="11" xml:space="preserve"> (0.05*L4/100) + 0.01</f>
        <v>1.0755000000000001E-2</v>
      </c>
      <c r="N4">
        <f t="shared" ref="N4:N16" si="12" xml:space="preserve"> M4/L4*100</f>
        <v>0.71225165562913917</v>
      </c>
      <c r="O4" s="3">
        <v>1150</v>
      </c>
      <c r="P4">
        <f t="shared" ref="P4:P16" si="13">O4*0.0001</f>
        <v>0.115</v>
      </c>
      <c r="Q4">
        <f t="shared" si="1"/>
        <v>9.9</v>
      </c>
      <c r="R4">
        <f t="shared" si="2"/>
        <v>0.86086956521739133</v>
      </c>
      <c r="T4">
        <f t="shared" ref="T4:T16" si="14">J4/(P4*B4)</f>
        <v>12.439980413359432</v>
      </c>
      <c r="U4">
        <f t="shared" si="3"/>
        <v>0.18645788365772789</v>
      </c>
      <c r="V4">
        <f t="shared" si="4"/>
        <v>1.6584791696715853</v>
      </c>
      <c r="W4">
        <v>10.38</v>
      </c>
      <c r="X4">
        <f t="shared" ref="X4:X16" si="15">ABS(W4-T4)/W4*100</f>
        <v>19.845668722152517</v>
      </c>
      <c r="Y4">
        <f t="shared" ref="Y4:Y16" si="16">1/(T4/W4)*100</f>
        <v>83.440645845815027</v>
      </c>
      <c r="AA4">
        <f t="shared" ref="AA4:AA16" si="17">T4/W4</f>
        <v>1.1984566872215252</v>
      </c>
    </row>
    <row r="5" spans="1:28">
      <c r="A5">
        <v>3.05</v>
      </c>
      <c r="B5">
        <f t="shared" si="5"/>
        <v>3.0499999999999999E-2</v>
      </c>
      <c r="C5">
        <v>17.399999999999999</v>
      </c>
      <c r="D5">
        <v>14.2</v>
      </c>
      <c r="E5">
        <v>1</v>
      </c>
      <c r="F5">
        <f t="shared" si="6"/>
        <v>0.5</v>
      </c>
      <c r="G5">
        <f t="shared" si="7"/>
        <v>3.1999999999999993</v>
      </c>
      <c r="H5">
        <f t="shared" si="8"/>
        <v>191.99999999999994</v>
      </c>
      <c r="I5">
        <f t="shared" si="9"/>
        <v>0.70710678118654757</v>
      </c>
      <c r="J5">
        <f t="shared" si="0"/>
        <v>5.5850536063818533E-2</v>
      </c>
      <c r="K5">
        <f t="shared" si="10"/>
        <v>22.097086912079618</v>
      </c>
      <c r="L5">
        <v>2.0099999999999998</v>
      </c>
      <c r="M5">
        <f t="shared" si="11"/>
        <v>1.1005000000000001E-2</v>
      </c>
      <c r="N5">
        <f t="shared" si="12"/>
        <v>0.54751243781094538</v>
      </c>
      <c r="O5" s="3">
        <v>1510</v>
      </c>
      <c r="P5">
        <f t="shared" si="13"/>
        <v>0.151</v>
      </c>
      <c r="Q5">
        <f t="shared" si="1"/>
        <v>12.06</v>
      </c>
      <c r="R5">
        <f t="shared" si="2"/>
        <v>0.79867549668874183</v>
      </c>
      <c r="T5">
        <f t="shared" si="14"/>
        <v>12.126921303619268</v>
      </c>
      <c r="U5">
        <f t="shared" si="3"/>
        <v>0.18645788365772789</v>
      </c>
      <c r="V5">
        <f t="shared" si="4"/>
        <v>1.6584791696715853</v>
      </c>
      <c r="W5">
        <v>10.38</v>
      </c>
      <c r="X5">
        <f t="shared" si="15"/>
        <v>16.82968500596596</v>
      </c>
      <c r="Y5">
        <f t="shared" si="16"/>
        <v>85.594684257595546</v>
      </c>
      <c r="AA5">
        <f t="shared" si="17"/>
        <v>1.1682968500596596</v>
      </c>
    </row>
    <row r="6" spans="1:28">
      <c r="A6">
        <v>3.05</v>
      </c>
      <c r="B6">
        <f t="shared" si="5"/>
        <v>3.0499999999999999E-2</v>
      </c>
      <c r="C6">
        <v>17.399999999999999</v>
      </c>
      <c r="D6">
        <v>13.6</v>
      </c>
      <c r="E6">
        <v>1</v>
      </c>
      <c r="F6">
        <f t="shared" si="6"/>
        <v>0.5</v>
      </c>
      <c r="G6">
        <f t="shared" si="7"/>
        <v>3.7999999999999989</v>
      </c>
      <c r="H6">
        <f t="shared" si="8"/>
        <v>227.99999999999994</v>
      </c>
      <c r="I6">
        <f t="shared" si="9"/>
        <v>0.70710678118654757</v>
      </c>
      <c r="J6">
        <f t="shared" si="0"/>
        <v>6.6322511575784504E-2</v>
      </c>
      <c r="K6">
        <f t="shared" si="10"/>
        <v>18.608073189119679</v>
      </c>
      <c r="L6">
        <v>2.5</v>
      </c>
      <c r="M6">
        <f t="shared" si="11"/>
        <v>1.125E-2</v>
      </c>
      <c r="N6">
        <f t="shared" si="12"/>
        <v>0.44999999999999996</v>
      </c>
      <c r="O6" s="3">
        <v>1870</v>
      </c>
      <c r="P6">
        <f t="shared" si="13"/>
        <v>0.187</v>
      </c>
      <c r="Q6">
        <f t="shared" si="1"/>
        <v>14.22</v>
      </c>
      <c r="R6">
        <f t="shared" si="2"/>
        <v>0.76042780748663097</v>
      </c>
      <c r="T6">
        <f t="shared" si="14"/>
        <v>11.628388108316736</v>
      </c>
      <c r="U6">
        <f t="shared" si="3"/>
        <v>0.18645788365772789</v>
      </c>
      <c r="V6">
        <f t="shared" si="4"/>
        <v>1.6584791696715853</v>
      </c>
      <c r="W6">
        <v>10.38</v>
      </c>
      <c r="X6">
        <f t="shared" si="15"/>
        <v>12.026860388407854</v>
      </c>
      <c r="Y6">
        <f t="shared" si="16"/>
        <v>89.264306482651051</v>
      </c>
      <c r="AA6">
        <f t="shared" si="17"/>
        <v>1.1202686038840786</v>
      </c>
    </row>
    <row r="7" spans="1:28">
      <c r="A7">
        <v>3.05</v>
      </c>
      <c r="B7">
        <f t="shared" si="5"/>
        <v>3.0499999999999999E-2</v>
      </c>
      <c r="C7">
        <v>17.399999999999999</v>
      </c>
      <c r="D7">
        <v>12.9</v>
      </c>
      <c r="E7">
        <v>1</v>
      </c>
      <c r="F7">
        <f t="shared" si="6"/>
        <v>0.5</v>
      </c>
      <c r="G7">
        <f t="shared" si="7"/>
        <v>4.4999999999999982</v>
      </c>
      <c r="H7">
        <f t="shared" si="8"/>
        <v>269.99999999999989</v>
      </c>
      <c r="I7">
        <f t="shared" si="9"/>
        <v>0.70710678118654757</v>
      </c>
      <c r="J7">
        <f t="shared" si="0"/>
        <v>7.85398163397448E-2</v>
      </c>
      <c r="K7">
        <f t="shared" si="10"/>
        <v>15.71348402636773</v>
      </c>
      <c r="L7">
        <v>3.03</v>
      </c>
      <c r="M7">
        <f t="shared" si="11"/>
        <v>1.1515000000000001E-2</v>
      </c>
      <c r="N7">
        <f t="shared" si="12"/>
        <v>0.38003300330033007</v>
      </c>
      <c r="O7" s="3">
        <v>2250</v>
      </c>
      <c r="P7">
        <f t="shared" si="13"/>
        <v>0.22500000000000001</v>
      </c>
      <c r="Q7">
        <f t="shared" si="1"/>
        <v>16.5</v>
      </c>
      <c r="R7">
        <f t="shared" si="2"/>
        <v>0.73333333333333328</v>
      </c>
      <c r="T7">
        <f t="shared" si="14"/>
        <v>11.444781980290681</v>
      </c>
      <c r="U7">
        <f t="shared" si="3"/>
        <v>0.18645788365772789</v>
      </c>
      <c r="V7">
        <f t="shared" si="4"/>
        <v>1.6584791696715853</v>
      </c>
      <c r="W7">
        <v>10.38</v>
      </c>
      <c r="X7">
        <f t="shared" si="15"/>
        <v>10.258015224380351</v>
      </c>
      <c r="Y7">
        <f t="shared" si="16"/>
        <v>90.696354180233712</v>
      </c>
      <c r="AA7">
        <f t="shared" si="17"/>
        <v>1.1025801522438035</v>
      </c>
    </row>
    <row r="8" spans="1:28">
      <c r="A8">
        <v>3.05</v>
      </c>
      <c r="B8">
        <f t="shared" si="5"/>
        <v>3.0499999999999999E-2</v>
      </c>
      <c r="C8">
        <v>17.399999999999999</v>
      </c>
      <c r="D8">
        <v>12.4</v>
      </c>
      <c r="E8">
        <v>1</v>
      </c>
      <c r="F8">
        <f t="shared" si="6"/>
        <v>0.5</v>
      </c>
      <c r="G8">
        <f t="shared" si="7"/>
        <v>4.9999999999999982</v>
      </c>
      <c r="H8">
        <f t="shared" si="8"/>
        <v>299.99999999999989</v>
      </c>
      <c r="I8">
        <f t="shared" si="9"/>
        <v>0.70710678118654757</v>
      </c>
      <c r="J8">
        <f t="shared" si="0"/>
        <v>8.7266462599716446E-2</v>
      </c>
      <c r="K8">
        <f t="shared" si="10"/>
        <v>14.142135623730956</v>
      </c>
      <c r="L8">
        <v>3.55</v>
      </c>
      <c r="M8">
        <f t="shared" si="11"/>
        <v>1.1775000000000001E-2</v>
      </c>
      <c r="N8">
        <f t="shared" si="12"/>
        <v>0.33169014084507042</v>
      </c>
      <c r="O8" s="3">
        <v>2600</v>
      </c>
      <c r="P8">
        <f t="shared" si="13"/>
        <v>0.26</v>
      </c>
      <c r="Q8">
        <f t="shared" si="1"/>
        <v>18.600000000000001</v>
      </c>
      <c r="R8">
        <f t="shared" si="2"/>
        <v>0.71538461538461551</v>
      </c>
      <c r="T8">
        <f t="shared" si="14"/>
        <v>11.00459805797181</v>
      </c>
      <c r="U8">
        <f t="shared" si="3"/>
        <v>0.18645788365772789</v>
      </c>
      <c r="V8">
        <f t="shared" si="4"/>
        <v>1.6584791696715853</v>
      </c>
      <c r="W8">
        <v>10.38</v>
      </c>
      <c r="X8">
        <f t="shared" si="15"/>
        <v>6.0173223311349648</v>
      </c>
      <c r="Y8">
        <f t="shared" si="16"/>
        <v>94.324208347443033</v>
      </c>
      <c r="AA8">
        <f t="shared" si="17"/>
        <v>1.0601732233113497</v>
      </c>
    </row>
    <row r="9" spans="1:28">
      <c r="A9">
        <v>3.05</v>
      </c>
      <c r="B9">
        <f t="shared" si="5"/>
        <v>3.0499999999999999E-2</v>
      </c>
      <c r="C9">
        <v>17.399999999999999</v>
      </c>
      <c r="D9">
        <v>11.9</v>
      </c>
      <c r="E9">
        <v>1</v>
      </c>
      <c r="F9">
        <f t="shared" si="6"/>
        <v>0.5</v>
      </c>
      <c r="G9">
        <f t="shared" si="7"/>
        <v>5.4999999999999982</v>
      </c>
      <c r="H9">
        <f t="shared" si="8"/>
        <v>329.99999999999989</v>
      </c>
      <c r="I9">
        <f t="shared" si="9"/>
        <v>0.70710678118654757</v>
      </c>
      <c r="J9">
        <f t="shared" si="0"/>
        <v>9.5993108859688092E-2</v>
      </c>
      <c r="K9">
        <f t="shared" si="10"/>
        <v>12.856486930664504</v>
      </c>
      <c r="L9">
        <v>4.03</v>
      </c>
      <c r="M9">
        <f t="shared" si="11"/>
        <v>1.2015000000000001E-2</v>
      </c>
      <c r="N9">
        <f t="shared" si="12"/>
        <v>0.29813895781637717</v>
      </c>
      <c r="O9" s="3">
        <v>2960</v>
      </c>
      <c r="P9">
        <f t="shared" si="13"/>
        <v>0.29600000000000004</v>
      </c>
      <c r="Q9">
        <f t="shared" si="1"/>
        <v>20.76</v>
      </c>
      <c r="R9">
        <f t="shared" si="2"/>
        <v>0.7013513513513514</v>
      </c>
      <c r="T9">
        <f t="shared" si="14"/>
        <v>10.63282109655384</v>
      </c>
      <c r="U9">
        <f t="shared" si="3"/>
        <v>0.18645788365772789</v>
      </c>
      <c r="V9">
        <f t="shared" si="4"/>
        <v>1.6584791696715853</v>
      </c>
      <c r="W9">
        <v>10.38</v>
      </c>
      <c r="X9">
        <f t="shared" si="15"/>
        <v>2.4356560361641573</v>
      </c>
      <c r="Y9">
        <f t="shared" si="16"/>
        <v>97.622257590360661</v>
      </c>
      <c r="AA9">
        <f t="shared" si="17"/>
        <v>1.0243565603616416</v>
      </c>
    </row>
    <row r="10" spans="1:28">
      <c r="A10">
        <v>3.05</v>
      </c>
      <c r="B10">
        <f t="shared" si="5"/>
        <v>3.0499999999999999E-2</v>
      </c>
      <c r="C10">
        <v>17.399999999999999</v>
      </c>
      <c r="D10">
        <v>11.1</v>
      </c>
      <c r="E10">
        <v>1</v>
      </c>
      <c r="F10">
        <f t="shared" si="6"/>
        <v>0.5</v>
      </c>
      <c r="G10">
        <f t="shared" si="7"/>
        <v>6.2999999999999989</v>
      </c>
      <c r="H10">
        <f t="shared" si="8"/>
        <v>377.99999999999994</v>
      </c>
      <c r="I10">
        <f t="shared" si="9"/>
        <v>0.70710678118654757</v>
      </c>
      <c r="J10">
        <f t="shared" si="0"/>
        <v>0.10995574287564275</v>
      </c>
      <c r="K10">
        <f t="shared" si="10"/>
        <v>11.223917161691233</v>
      </c>
      <c r="L10">
        <v>4.5</v>
      </c>
      <c r="M10">
        <f t="shared" si="11"/>
        <v>1.225E-2</v>
      </c>
      <c r="N10">
        <f t="shared" si="12"/>
        <v>0.2722222222222222</v>
      </c>
      <c r="O10" s="3">
        <v>3290</v>
      </c>
      <c r="P10">
        <f t="shared" si="13"/>
        <v>0.32900000000000001</v>
      </c>
      <c r="Q10">
        <f t="shared" si="1"/>
        <v>22.74</v>
      </c>
      <c r="R10">
        <f t="shared" si="2"/>
        <v>0.69118541033434644</v>
      </c>
      <c r="T10">
        <f t="shared" si="14"/>
        <v>10.957769981129378</v>
      </c>
      <c r="U10">
        <f t="shared" si="3"/>
        <v>0.18645788365772789</v>
      </c>
      <c r="V10">
        <f t="shared" si="4"/>
        <v>1.6584791696715853</v>
      </c>
      <c r="W10">
        <v>10.38</v>
      </c>
      <c r="X10">
        <f t="shared" si="15"/>
        <v>5.5661847893003547</v>
      </c>
      <c r="Y10">
        <f t="shared" si="16"/>
        <v>94.727303254910737</v>
      </c>
      <c r="AA10">
        <f t="shared" si="17"/>
        <v>1.0556618478930035</v>
      </c>
    </row>
    <row r="11" spans="1:28">
      <c r="A11">
        <v>3.05</v>
      </c>
      <c r="B11">
        <f t="shared" si="5"/>
        <v>3.0499999999999999E-2</v>
      </c>
      <c r="C11">
        <v>17.399999999999999</v>
      </c>
      <c r="D11">
        <v>10.3</v>
      </c>
      <c r="E11">
        <v>1</v>
      </c>
      <c r="F11">
        <f t="shared" si="6"/>
        <v>0.5</v>
      </c>
      <c r="G11">
        <f t="shared" si="7"/>
        <v>7.0999999999999979</v>
      </c>
      <c r="H11">
        <f t="shared" si="8"/>
        <v>425.99999999999989</v>
      </c>
      <c r="I11">
        <f t="shared" si="9"/>
        <v>0.70710678118654757</v>
      </c>
      <c r="J11">
        <f t="shared" si="0"/>
        <v>0.12391837689159736</v>
      </c>
      <c r="K11">
        <f t="shared" si="10"/>
        <v>9.9592504392471533</v>
      </c>
      <c r="L11">
        <v>5.01</v>
      </c>
      <c r="M11">
        <f t="shared" si="11"/>
        <v>1.2505E-2</v>
      </c>
      <c r="N11">
        <f t="shared" si="12"/>
        <v>0.24960079840319363</v>
      </c>
      <c r="O11" s="3">
        <v>3640</v>
      </c>
      <c r="P11">
        <f t="shared" si="13"/>
        <v>0.36399999999999999</v>
      </c>
      <c r="Q11">
        <f t="shared" si="1"/>
        <v>24.84</v>
      </c>
      <c r="R11">
        <f t="shared" si="2"/>
        <v>0.68241758241758244</v>
      </c>
      <c r="T11">
        <f t="shared" si="14"/>
        <v>11.161806601657123</v>
      </c>
      <c r="U11">
        <f t="shared" si="3"/>
        <v>0.18645788365772789</v>
      </c>
      <c r="V11">
        <f t="shared" si="4"/>
        <v>1.6584791696715853</v>
      </c>
      <c r="W11">
        <v>10.38</v>
      </c>
      <c r="X11">
        <f t="shared" si="15"/>
        <v>7.5318555072940443</v>
      </c>
      <c r="Y11">
        <f t="shared" si="16"/>
        <v>92.995698370718486</v>
      </c>
      <c r="AA11">
        <f t="shared" si="17"/>
        <v>1.0753185550729405</v>
      </c>
    </row>
    <row r="12" spans="1:28">
      <c r="A12">
        <v>3.05</v>
      </c>
      <c r="B12">
        <f t="shared" si="5"/>
        <v>3.0499999999999999E-2</v>
      </c>
      <c r="C12">
        <v>17.399999999999999</v>
      </c>
      <c r="D12">
        <v>9.9</v>
      </c>
      <c r="E12">
        <v>1</v>
      </c>
      <c r="F12">
        <f t="shared" si="6"/>
        <v>0.5</v>
      </c>
      <c r="G12">
        <f t="shared" si="7"/>
        <v>7.4999999999999982</v>
      </c>
      <c r="H12">
        <f t="shared" si="8"/>
        <v>449.99999999999989</v>
      </c>
      <c r="I12">
        <f t="shared" si="9"/>
        <v>0.70710678118654757</v>
      </c>
      <c r="J12">
        <f t="shared" si="0"/>
        <v>0.13089969389957468</v>
      </c>
      <c r="K12">
        <f t="shared" si="10"/>
        <v>9.4280904158206358</v>
      </c>
      <c r="L12">
        <v>5.55</v>
      </c>
      <c r="M12">
        <f t="shared" si="11"/>
        <v>1.2775E-2</v>
      </c>
      <c r="N12">
        <f t="shared" si="12"/>
        <v>0.23018018018018022</v>
      </c>
      <c r="O12" s="3">
        <v>4020</v>
      </c>
      <c r="P12">
        <f t="shared" si="13"/>
        <v>0.40200000000000002</v>
      </c>
      <c r="Q12">
        <f t="shared" si="1"/>
        <v>27.12</v>
      </c>
      <c r="R12">
        <f t="shared" si="2"/>
        <v>0.67462686567164176</v>
      </c>
      <c r="T12">
        <f t="shared" si="14"/>
        <v>10.67610259355474</v>
      </c>
      <c r="U12">
        <f t="shared" si="3"/>
        <v>0.18645788365772789</v>
      </c>
      <c r="V12">
        <f t="shared" si="4"/>
        <v>1.6584791696715853</v>
      </c>
      <c r="W12">
        <v>10.38</v>
      </c>
      <c r="X12">
        <f t="shared" si="15"/>
        <v>2.8526261421458479</v>
      </c>
      <c r="Y12">
        <f t="shared" si="16"/>
        <v>97.226491681210518</v>
      </c>
      <c r="AA12">
        <f t="shared" si="17"/>
        <v>1.0285262614214585</v>
      </c>
    </row>
    <row r="13" spans="1:28">
      <c r="A13">
        <v>3.05</v>
      </c>
      <c r="B13">
        <f t="shared" si="5"/>
        <v>3.0499999999999999E-2</v>
      </c>
      <c r="C13">
        <v>17.399999999999999</v>
      </c>
      <c r="D13">
        <v>9.5</v>
      </c>
      <c r="E13">
        <v>1</v>
      </c>
      <c r="F13">
        <f t="shared" si="6"/>
        <v>0.5</v>
      </c>
      <c r="G13">
        <f t="shared" si="7"/>
        <v>7.8999999999999986</v>
      </c>
      <c r="H13">
        <f t="shared" si="8"/>
        <v>473.99999999999989</v>
      </c>
      <c r="I13">
        <f t="shared" si="9"/>
        <v>0.70710678118654757</v>
      </c>
      <c r="J13">
        <f t="shared" si="0"/>
        <v>0.137881010907552</v>
      </c>
      <c r="K13">
        <f t="shared" si="10"/>
        <v>8.9507187491968061</v>
      </c>
      <c r="L13">
        <v>6.02</v>
      </c>
      <c r="M13">
        <f t="shared" si="11"/>
        <v>1.3010000000000001E-2</v>
      </c>
      <c r="N13">
        <f t="shared" si="12"/>
        <v>0.21611295681063128</v>
      </c>
      <c r="O13" s="3">
        <v>4350</v>
      </c>
      <c r="P13">
        <f t="shared" si="13"/>
        <v>0.435</v>
      </c>
      <c r="Q13">
        <f t="shared" si="1"/>
        <v>29.1</v>
      </c>
      <c r="R13">
        <f t="shared" si="2"/>
        <v>0.66896551724137931</v>
      </c>
      <c r="T13">
        <f t="shared" si="14"/>
        <v>10.392388234976597</v>
      </c>
      <c r="U13">
        <f t="shared" si="3"/>
        <v>0.18645788365772789</v>
      </c>
      <c r="V13">
        <f t="shared" si="4"/>
        <v>1.6584791696715853</v>
      </c>
      <c r="W13">
        <v>10.38</v>
      </c>
      <c r="X13">
        <f t="shared" si="15"/>
        <v>0.11934715777067459</v>
      </c>
      <c r="Y13">
        <f t="shared" si="16"/>
        <v>99.880795109877624</v>
      </c>
      <c r="AA13">
        <f t="shared" si="17"/>
        <v>1.0011934715777067</v>
      </c>
    </row>
    <row r="14" spans="1:28">
      <c r="A14">
        <v>3.05</v>
      </c>
      <c r="B14">
        <f t="shared" si="5"/>
        <v>3.0499999999999999E-2</v>
      </c>
      <c r="C14">
        <v>17.399999999999999</v>
      </c>
      <c r="D14">
        <v>8.9</v>
      </c>
      <c r="E14">
        <v>1</v>
      </c>
      <c r="F14">
        <f t="shared" si="6"/>
        <v>0.5</v>
      </c>
      <c r="G14">
        <f t="shared" si="7"/>
        <v>8.4999999999999982</v>
      </c>
      <c r="H14">
        <f t="shared" si="8"/>
        <v>509.99999999999989</v>
      </c>
      <c r="I14">
        <f t="shared" si="9"/>
        <v>0.70710678118654757</v>
      </c>
      <c r="J14">
        <f t="shared" si="0"/>
        <v>0.14835298641951797</v>
      </c>
      <c r="K14">
        <f t="shared" si="10"/>
        <v>8.3189033080770312</v>
      </c>
      <c r="L14">
        <v>6.49</v>
      </c>
      <c r="M14">
        <f t="shared" si="11"/>
        <v>1.3245E-2</v>
      </c>
      <c r="N14">
        <f t="shared" si="12"/>
        <v>0.20408320493066254</v>
      </c>
      <c r="O14" s="3">
        <v>4670</v>
      </c>
      <c r="P14">
        <f t="shared" si="13"/>
        <v>0.46700000000000003</v>
      </c>
      <c r="Q14">
        <f t="shared" si="1"/>
        <v>31.02</v>
      </c>
      <c r="R14">
        <f t="shared" si="2"/>
        <v>0.66423982869379017</v>
      </c>
      <c r="T14">
        <f t="shared" si="14"/>
        <v>10.415486812898372</v>
      </c>
      <c r="U14">
        <f t="shared" si="3"/>
        <v>0.18645788365772789</v>
      </c>
      <c r="V14">
        <f t="shared" si="4"/>
        <v>1.6584791696715853</v>
      </c>
      <c r="W14">
        <v>10.38</v>
      </c>
      <c r="X14">
        <f t="shared" si="15"/>
        <v>0.34187681019625632</v>
      </c>
      <c r="Y14">
        <f t="shared" si="16"/>
        <v>99.659288005103846</v>
      </c>
      <c r="AA14">
        <f t="shared" si="17"/>
        <v>1.0034187681019626</v>
      </c>
    </row>
    <row r="15" spans="1:28">
      <c r="A15">
        <v>3.05</v>
      </c>
      <c r="B15">
        <f t="shared" si="5"/>
        <v>3.0499999999999999E-2</v>
      </c>
      <c r="C15">
        <v>17.399999999999999</v>
      </c>
      <c r="D15">
        <v>8.1999999999999993</v>
      </c>
      <c r="E15">
        <v>1</v>
      </c>
      <c r="F15">
        <f t="shared" si="6"/>
        <v>0.5</v>
      </c>
      <c r="G15">
        <f t="shared" si="7"/>
        <v>9.1999999999999993</v>
      </c>
      <c r="H15">
        <f t="shared" si="8"/>
        <v>552</v>
      </c>
      <c r="I15">
        <f t="shared" si="9"/>
        <v>0.70710678118654757</v>
      </c>
      <c r="J15">
        <f t="shared" si="0"/>
        <v>0.16057029118347832</v>
      </c>
      <c r="K15">
        <f t="shared" si="10"/>
        <v>7.6859432737668225</v>
      </c>
      <c r="L15">
        <v>6.95</v>
      </c>
      <c r="M15">
        <f t="shared" si="11"/>
        <v>1.3475000000000001E-2</v>
      </c>
      <c r="N15">
        <f t="shared" si="12"/>
        <v>0.19388489208633095</v>
      </c>
      <c r="O15" s="3">
        <v>4990</v>
      </c>
      <c r="P15">
        <f t="shared" si="13"/>
        <v>0.499</v>
      </c>
      <c r="Q15">
        <f t="shared" si="1"/>
        <v>32.94</v>
      </c>
      <c r="R15">
        <f t="shared" si="2"/>
        <v>0.66012024048096185</v>
      </c>
      <c r="T15">
        <f t="shared" si="14"/>
        <v>10.550300021911253</v>
      </c>
      <c r="U15">
        <f t="shared" si="3"/>
        <v>0.18645788365772789</v>
      </c>
      <c r="V15">
        <f t="shared" si="4"/>
        <v>1.6584791696715853</v>
      </c>
      <c r="W15">
        <v>10.38</v>
      </c>
      <c r="X15">
        <f t="shared" si="15"/>
        <v>1.6406553170640894</v>
      </c>
      <c r="Y15">
        <f t="shared" si="16"/>
        <v>98.385827686818686</v>
      </c>
      <c r="AA15">
        <f t="shared" si="17"/>
        <v>1.016406553170641</v>
      </c>
    </row>
    <row r="16" spans="1:28">
      <c r="A16">
        <v>3.05</v>
      </c>
      <c r="B16">
        <f t="shared" si="5"/>
        <v>3.0499999999999999E-2</v>
      </c>
      <c r="C16">
        <v>17.399999999999999</v>
      </c>
      <c r="D16">
        <v>7</v>
      </c>
      <c r="E16">
        <v>1</v>
      </c>
      <c r="F16">
        <f t="shared" si="6"/>
        <v>0.5</v>
      </c>
      <c r="G16">
        <f>ABS(C16-D16)</f>
        <v>10.399999999999999</v>
      </c>
      <c r="H16">
        <f t="shared" si="8"/>
        <v>623.99999999999989</v>
      </c>
      <c r="I16">
        <f t="shared" si="9"/>
        <v>0.70710678118654757</v>
      </c>
      <c r="J16">
        <f t="shared" si="0"/>
        <v>0.18151424220741025</v>
      </c>
      <c r="K16">
        <f t="shared" si="10"/>
        <v>6.7991036652552657</v>
      </c>
      <c r="L16">
        <v>7.36</v>
      </c>
      <c r="M16">
        <f t="shared" si="11"/>
        <v>1.3680000000000001E-2</v>
      </c>
      <c r="N16">
        <f t="shared" si="12"/>
        <v>0.18586956521739131</v>
      </c>
      <c r="O16" s="3">
        <v>5290</v>
      </c>
      <c r="P16">
        <f t="shared" si="13"/>
        <v>0.52900000000000003</v>
      </c>
      <c r="Q16">
        <f t="shared" si="1"/>
        <v>34.739999999999995</v>
      </c>
      <c r="R16">
        <f t="shared" si="2"/>
        <v>0.65671077504725883</v>
      </c>
      <c r="T16">
        <f t="shared" si="14"/>
        <v>11.250069243385928</v>
      </c>
      <c r="U16">
        <f t="shared" si="3"/>
        <v>0.18645788365772789</v>
      </c>
      <c r="V16">
        <f t="shared" si="4"/>
        <v>1.6584791696715853</v>
      </c>
      <c r="W16">
        <v>10.38</v>
      </c>
      <c r="X16">
        <f t="shared" si="15"/>
        <v>8.3821699748162555</v>
      </c>
      <c r="Y16">
        <f t="shared" si="16"/>
        <v>92.266098771814654</v>
      </c>
      <c r="AA16">
        <f t="shared" si="17"/>
        <v>1.0838216997481624</v>
      </c>
    </row>
    <row r="17" spans="1:22">
      <c r="R17" t="s">
        <v>19</v>
      </c>
      <c r="T17">
        <f>AVERAGE(T3:T16)</f>
        <v>11.242702776583595</v>
      </c>
    </row>
    <row r="18" spans="1:22">
      <c r="R18" t="s">
        <v>22</v>
      </c>
      <c r="T18">
        <f>_xlfn.STDEV.P(T3:T16)</f>
        <v>0.72214827817546023</v>
      </c>
    </row>
    <row r="19" spans="1:22">
      <c r="R19" t="s">
        <v>35</v>
      </c>
      <c r="T19">
        <f xml:space="preserve"> CORREL(B25:B38,C25:C38)</f>
        <v>0.99683297344983735</v>
      </c>
    </row>
    <row r="20" spans="1:22" s="2" customFormat="1">
      <c r="A20" s="2" t="s">
        <v>25</v>
      </c>
    </row>
    <row r="21" spans="1:22">
      <c r="V21" t="s">
        <v>36</v>
      </c>
    </row>
    <row r="22" spans="1:22">
      <c r="A22" t="s">
        <v>26</v>
      </c>
      <c r="E22" t="s">
        <v>56</v>
      </c>
    </row>
    <row r="23" spans="1:22">
      <c r="E23" t="s">
        <v>41</v>
      </c>
      <c r="F23" t="s">
        <v>42</v>
      </c>
      <c r="G23" t="s">
        <v>43</v>
      </c>
    </row>
    <row r="24" spans="1:22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LINEST(_xlfn.ANCHORARRAY(F25),E25:E38, TRUE, TRUE)</f>
        <v>10.217624641272389</v>
      </c>
      <c r="H24">
        <v>7.1637774595725012E-3</v>
      </c>
      <c r="J24">
        <f>ABS(G24-W3)/W3 *100</f>
        <v>1.5643098143315219</v>
      </c>
      <c r="M24">
        <f>COUNT(M3:M16)</f>
        <v>14</v>
      </c>
    </row>
    <row r="25" spans="1:22">
      <c r="A25">
        <f t="shared" ref="A25:A38" si="18">L3</f>
        <v>1.1599999999999999</v>
      </c>
      <c r="B25">
        <f t="shared" ref="B25:B38" si="19">O3</f>
        <v>900</v>
      </c>
      <c r="C25">
        <f t="shared" ref="C25:C38" si="20">J3</f>
        <v>3.4906585039886563E-2</v>
      </c>
      <c r="E25">
        <f>P3*B3</f>
        <v>2.7450000000000005E-3</v>
      </c>
      <c r="F25" cm="1">
        <f t="array" ref="F25:F38">J3:J16</f>
        <v>3.4906585039886563E-2</v>
      </c>
      <c r="G25">
        <v>0.23530635031339292</v>
      </c>
      <c r="H25">
        <v>2.4439181358356815E-3</v>
      </c>
    </row>
    <row r="26" spans="1:22">
      <c r="A26">
        <f t="shared" si="18"/>
        <v>1.51</v>
      </c>
      <c r="B26">
        <f t="shared" si="19"/>
        <v>1150</v>
      </c>
      <c r="C26">
        <f t="shared" si="20"/>
        <v>4.3633231299858209E-2</v>
      </c>
      <c r="E26">
        <f t="shared" ref="E26:E38" si="21">P4*B4</f>
        <v>3.5075000000000002E-3</v>
      </c>
      <c r="F26">
        <v>4.3633231299858209E-2</v>
      </c>
      <c r="G26">
        <v>0.99367597695684406</v>
      </c>
      <c r="H26">
        <v>3.7460595161440068E-3</v>
      </c>
      <c r="J26" t="s">
        <v>60</v>
      </c>
      <c r="K26">
        <f>3*G25/SQRT(M24)</f>
        <v>0.18866480224391213</v>
      </c>
    </row>
    <row r="27" spans="1:22">
      <c r="A27">
        <f t="shared" si="18"/>
        <v>2.0099999999999998</v>
      </c>
      <c r="B27">
        <f t="shared" si="19"/>
        <v>1510</v>
      </c>
      <c r="C27">
        <f t="shared" si="20"/>
        <v>5.5850536063818533E-2</v>
      </c>
      <c r="E27">
        <f t="shared" si="21"/>
        <v>4.6054999999999994E-3</v>
      </c>
      <c r="F27">
        <v>5.5850536063818533E-2</v>
      </c>
      <c r="G27">
        <v>1885.5262926954351</v>
      </c>
      <c r="H27">
        <v>12</v>
      </c>
      <c r="J27" t="s">
        <v>65</v>
      </c>
      <c r="K27">
        <f>K26/G24*100</f>
        <v>1.8464644070191438</v>
      </c>
    </row>
    <row r="28" spans="1:22">
      <c r="A28">
        <f t="shared" si="18"/>
        <v>2.5</v>
      </c>
      <c r="B28">
        <f t="shared" si="19"/>
        <v>1870</v>
      </c>
      <c r="C28">
        <f t="shared" si="20"/>
        <v>6.6322511575784504E-2</v>
      </c>
      <c r="E28">
        <f t="shared" si="21"/>
        <v>5.7035000000000002E-3</v>
      </c>
      <c r="F28">
        <v>6.6322511575784504E-2</v>
      </c>
      <c r="G28">
        <v>2.6459518624001935E-2</v>
      </c>
      <c r="H28">
        <v>1.6839554278191685E-4</v>
      </c>
    </row>
    <row r="29" spans="1:22">
      <c r="A29">
        <f t="shared" si="18"/>
        <v>3.03</v>
      </c>
      <c r="B29">
        <f t="shared" si="19"/>
        <v>2250</v>
      </c>
      <c r="C29">
        <f t="shared" si="20"/>
        <v>7.85398163397448E-2</v>
      </c>
      <c r="E29">
        <f t="shared" si="21"/>
        <v>6.8624999999999997E-3</v>
      </c>
      <c r="F29">
        <v>7.85398163397448E-2</v>
      </c>
    </row>
    <row r="30" spans="1:22">
      <c r="A30">
        <f t="shared" si="18"/>
        <v>3.55</v>
      </c>
      <c r="B30">
        <f t="shared" si="19"/>
        <v>2600</v>
      </c>
      <c r="C30">
        <f t="shared" si="20"/>
        <v>8.7266462599716446E-2</v>
      </c>
      <c r="E30">
        <f t="shared" si="21"/>
        <v>7.9299999999999995E-3</v>
      </c>
      <c r="F30">
        <v>8.7266462599716446E-2</v>
      </c>
    </row>
    <row r="31" spans="1:22">
      <c r="A31">
        <f t="shared" si="18"/>
        <v>4.03</v>
      </c>
      <c r="B31">
        <f t="shared" si="19"/>
        <v>2960</v>
      </c>
      <c r="C31">
        <f t="shared" si="20"/>
        <v>9.5993108859688092E-2</v>
      </c>
      <c r="E31">
        <f t="shared" si="21"/>
        <v>9.0280000000000013E-3</v>
      </c>
      <c r="F31">
        <v>9.5993108859688092E-2</v>
      </c>
    </row>
    <row r="32" spans="1:22">
      <c r="A32">
        <f t="shared" si="18"/>
        <v>4.5</v>
      </c>
      <c r="B32">
        <f t="shared" si="19"/>
        <v>3290</v>
      </c>
      <c r="C32">
        <f t="shared" si="20"/>
        <v>0.10995574287564275</v>
      </c>
      <c r="E32">
        <f t="shared" si="21"/>
        <v>1.00345E-2</v>
      </c>
      <c r="F32">
        <v>0.10995574287564275</v>
      </c>
    </row>
    <row r="33" spans="1:8">
      <c r="A33">
        <f t="shared" si="18"/>
        <v>5.01</v>
      </c>
      <c r="B33">
        <f t="shared" si="19"/>
        <v>3640</v>
      </c>
      <c r="C33">
        <f t="shared" si="20"/>
        <v>0.12391837689159736</v>
      </c>
      <c r="E33">
        <f t="shared" si="21"/>
        <v>1.1101999999999999E-2</v>
      </c>
      <c r="F33">
        <v>0.12391837689159736</v>
      </c>
    </row>
    <row r="34" spans="1:8">
      <c r="A34">
        <f t="shared" si="18"/>
        <v>5.55</v>
      </c>
      <c r="B34">
        <f t="shared" si="19"/>
        <v>4020</v>
      </c>
      <c r="C34">
        <f t="shared" si="20"/>
        <v>0.13089969389957468</v>
      </c>
      <c r="E34">
        <f t="shared" si="21"/>
        <v>1.2261000000000001E-2</v>
      </c>
      <c r="F34">
        <v>0.13089969389957468</v>
      </c>
    </row>
    <row r="35" spans="1:8">
      <c r="A35">
        <f t="shared" si="18"/>
        <v>6.02</v>
      </c>
      <c r="B35">
        <f t="shared" si="19"/>
        <v>4350</v>
      </c>
      <c r="C35">
        <f t="shared" si="20"/>
        <v>0.137881010907552</v>
      </c>
      <c r="E35">
        <f t="shared" si="21"/>
        <v>1.32675E-2</v>
      </c>
      <c r="F35">
        <v>0.137881010907552</v>
      </c>
    </row>
    <row r="36" spans="1:8">
      <c r="A36">
        <f t="shared" si="18"/>
        <v>6.49</v>
      </c>
      <c r="B36">
        <f t="shared" si="19"/>
        <v>4670</v>
      </c>
      <c r="C36">
        <f t="shared" si="20"/>
        <v>0.14835298641951797</v>
      </c>
      <c r="E36">
        <f t="shared" si="21"/>
        <v>1.4243500000000001E-2</v>
      </c>
      <c r="F36">
        <v>0.14835298641951797</v>
      </c>
    </row>
    <row r="37" spans="1:8">
      <c r="A37">
        <f t="shared" si="18"/>
        <v>6.95</v>
      </c>
      <c r="B37">
        <f t="shared" si="19"/>
        <v>4990</v>
      </c>
      <c r="C37">
        <f t="shared" si="20"/>
        <v>0.16057029118347832</v>
      </c>
      <c r="E37">
        <f t="shared" si="21"/>
        <v>1.52195E-2</v>
      </c>
      <c r="F37">
        <v>0.16057029118347832</v>
      </c>
    </row>
    <row r="38" spans="1:8">
      <c r="A38">
        <f t="shared" si="18"/>
        <v>7.36</v>
      </c>
      <c r="B38">
        <f t="shared" si="19"/>
        <v>5290</v>
      </c>
      <c r="C38">
        <f t="shared" si="20"/>
        <v>0.18151424220741025</v>
      </c>
      <c r="E38">
        <f t="shared" si="21"/>
        <v>1.61345E-2</v>
      </c>
      <c r="F38">
        <v>0.18151424220741025</v>
      </c>
    </row>
    <row r="41" spans="1:8">
      <c r="A41" s="4" t="s">
        <v>46</v>
      </c>
      <c r="B41" s="4" t="s">
        <v>50</v>
      </c>
      <c r="C41" s="4" t="s">
        <v>51</v>
      </c>
      <c r="D41" s="4" t="s">
        <v>50</v>
      </c>
      <c r="E41" s="4" t="s">
        <v>52</v>
      </c>
      <c r="F41" s="4" t="s">
        <v>50</v>
      </c>
      <c r="G41" s="4" t="s">
        <v>53</v>
      </c>
      <c r="H41" s="4" t="s">
        <v>50</v>
      </c>
    </row>
    <row r="42" spans="1:8">
      <c r="A42" s="4">
        <f>L3</f>
        <v>1.1599999999999999</v>
      </c>
      <c r="B42" s="4">
        <f>N3</f>
        <v>0.91206896551724159</v>
      </c>
      <c r="C42" s="4">
        <f>P3</f>
        <v>9.0000000000000011E-2</v>
      </c>
      <c r="D42" s="4">
        <f>R3</f>
        <v>0.93333333333333346</v>
      </c>
      <c r="E42" s="4">
        <f>J3</f>
        <v>3.4906585039886563E-2</v>
      </c>
      <c r="F42" s="4">
        <f>K3</f>
        <v>35.355339059327413</v>
      </c>
      <c r="G42" s="4">
        <f>T3</f>
        <v>12.716424422545193</v>
      </c>
      <c r="H42" s="4">
        <f t="shared" ref="H42:H55" si="22">B42+D42+F42</f>
        <v>37.200741358177986</v>
      </c>
    </row>
    <row r="43" spans="1:8">
      <c r="A43" s="4">
        <f t="shared" ref="A43:A55" si="23">L4</f>
        <v>1.51</v>
      </c>
      <c r="B43" s="4">
        <f t="shared" ref="B43:B55" si="24">N4</f>
        <v>0.71225165562913917</v>
      </c>
      <c r="C43" s="4">
        <f t="shared" ref="C43:C55" si="25">P4</f>
        <v>0.115</v>
      </c>
      <c r="D43" s="4">
        <f t="shared" ref="D43:D55" si="26">R4</f>
        <v>0.86086956521739133</v>
      </c>
      <c r="E43" s="4">
        <f t="shared" ref="E43:E55" si="27">J4</f>
        <v>4.3633231299858209E-2</v>
      </c>
      <c r="F43" s="4">
        <f t="shared" ref="F43:F55" si="28">K4</f>
        <v>28.284271247461923</v>
      </c>
      <c r="G43" s="4">
        <f t="shared" ref="G43:G55" si="29">T4</f>
        <v>12.439980413359432</v>
      </c>
      <c r="H43" s="4">
        <f t="shared" si="22"/>
        <v>29.857392468308454</v>
      </c>
    </row>
    <row r="44" spans="1:8">
      <c r="A44" s="4">
        <f t="shared" si="23"/>
        <v>2.0099999999999998</v>
      </c>
      <c r="B44" s="4">
        <f t="shared" si="24"/>
        <v>0.54751243781094538</v>
      </c>
      <c r="C44" s="4">
        <f t="shared" si="25"/>
        <v>0.151</v>
      </c>
      <c r="D44" s="4">
        <f t="shared" si="26"/>
        <v>0.79867549668874183</v>
      </c>
      <c r="E44" s="4">
        <f t="shared" si="27"/>
        <v>5.5850536063818533E-2</v>
      </c>
      <c r="F44" s="4">
        <f t="shared" si="28"/>
        <v>22.097086912079618</v>
      </c>
      <c r="G44" s="4">
        <f t="shared" si="29"/>
        <v>12.126921303619268</v>
      </c>
      <c r="H44" s="4">
        <f t="shared" si="22"/>
        <v>23.443274846579307</v>
      </c>
    </row>
    <row r="45" spans="1:8">
      <c r="A45" s="4">
        <f t="shared" si="23"/>
        <v>2.5</v>
      </c>
      <c r="B45" s="4">
        <f t="shared" si="24"/>
        <v>0.44999999999999996</v>
      </c>
      <c r="C45" s="4">
        <f t="shared" si="25"/>
        <v>0.187</v>
      </c>
      <c r="D45" s="4">
        <f t="shared" si="26"/>
        <v>0.76042780748663097</v>
      </c>
      <c r="E45" s="4">
        <f t="shared" si="27"/>
        <v>6.6322511575784504E-2</v>
      </c>
      <c r="F45" s="4">
        <f t="shared" si="28"/>
        <v>18.608073189119679</v>
      </c>
      <c r="G45" s="4">
        <f t="shared" si="29"/>
        <v>11.628388108316736</v>
      </c>
      <c r="H45" s="4">
        <f t="shared" si="22"/>
        <v>19.818500996606311</v>
      </c>
    </row>
    <row r="46" spans="1:8">
      <c r="A46" s="4">
        <f t="shared" si="23"/>
        <v>3.03</v>
      </c>
      <c r="B46" s="4">
        <f t="shared" si="24"/>
        <v>0.38003300330033007</v>
      </c>
      <c r="C46" s="4">
        <f t="shared" si="25"/>
        <v>0.22500000000000001</v>
      </c>
      <c r="D46" s="4">
        <f t="shared" si="26"/>
        <v>0.73333333333333328</v>
      </c>
      <c r="E46" s="4">
        <f t="shared" si="27"/>
        <v>7.85398163397448E-2</v>
      </c>
      <c r="F46" s="4">
        <f t="shared" si="28"/>
        <v>15.71348402636773</v>
      </c>
      <c r="G46" s="4">
        <f t="shared" si="29"/>
        <v>11.444781980290681</v>
      </c>
      <c r="H46" s="4">
        <f t="shared" si="22"/>
        <v>16.826850363001395</v>
      </c>
    </row>
    <row r="47" spans="1:8">
      <c r="A47" s="4">
        <f t="shared" si="23"/>
        <v>3.55</v>
      </c>
      <c r="B47" s="4">
        <f t="shared" si="24"/>
        <v>0.33169014084507042</v>
      </c>
      <c r="C47" s="4">
        <f t="shared" si="25"/>
        <v>0.26</v>
      </c>
      <c r="D47" s="4">
        <f t="shared" si="26"/>
        <v>0.71538461538461551</v>
      </c>
      <c r="E47" s="4">
        <f t="shared" si="27"/>
        <v>8.7266462599716446E-2</v>
      </c>
      <c r="F47" s="4">
        <f t="shared" si="28"/>
        <v>14.142135623730956</v>
      </c>
      <c r="G47" s="4">
        <f t="shared" si="29"/>
        <v>11.00459805797181</v>
      </c>
      <c r="H47" s="4">
        <f t="shared" si="22"/>
        <v>15.189210379960642</v>
      </c>
    </row>
    <row r="48" spans="1:8">
      <c r="A48" s="4">
        <f t="shared" si="23"/>
        <v>4.03</v>
      </c>
      <c r="B48" s="4">
        <f t="shared" si="24"/>
        <v>0.29813895781637717</v>
      </c>
      <c r="C48" s="4">
        <f t="shared" si="25"/>
        <v>0.29600000000000004</v>
      </c>
      <c r="D48" s="4">
        <f t="shared" si="26"/>
        <v>0.7013513513513514</v>
      </c>
      <c r="E48" s="4">
        <f t="shared" si="27"/>
        <v>9.5993108859688092E-2</v>
      </c>
      <c r="F48" s="4">
        <f t="shared" si="28"/>
        <v>12.856486930664504</v>
      </c>
      <c r="G48" s="4">
        <f t="shared" si="29"/>
        <v>10.63282109655384</v>
      </c>
      <c r="H48" s="4">
        <f t="shared" si="22"/>
        <v>13.855977239832232</v>
      </c>
    </row>
    <row r="49" spans="1:8">
      <c r="A49" s="4">
        <f t="shared" si="23"/>
        <v>4.5</v>
      </c>
      <c r="B49" s="4">
        <f t="shared" si="24"/>
        <v>0.2722222222222222</v>
      </c>
      <c r="C49" s="4">
        <f t="shared" si="25"/>
        <v>0.32900000000000001</v>
      </c>
      <c r="D49" s="4">
        <f t="shared" si="26"/>
        <v>0.69118541033434644</v>
      </c>
      <c r="E49" s="4">
        <f t="shared" si="27"/>
        <v>0.10995574287564275</v>
      </c>
      <c r="F49" s="4">
        <f t="shared" si="28"/>
        <v>11.223917161691233</v>
      </c>
      <c r="G49" s="4">
        <f t="shared" si="29"/>
        <v>10.957769981129378</v>
      </c>
      <c r="H49" s="4">
        <f t="shared" si="22"/>
        <v>12.187324794247802</v>
      </c>
    </row>
    <row r="50" spans="1:8">
      <c r="A50" s="4">
        <f t="shared" si="23"/>
        <v>5.01</v>
      </c>
      <c r="B50" s="4">
        <f t="shared" si="24"/>
        <v>0.24960079840319363</v>
      </c>
      <c r="C50" s="4">
        <f t="shared" si="25"/>
        <v>0.36399999999999999</v>
      </c>
      <c r="D50" s="4">
        <f t="shared" si="26"/>
        <v>0.68241758241758244</v>
      </c>
      <c r="E50" s="4">
        <f t="shared" si="27"/>
        <v>0.12391837689159736</v>
      </c>
      <c r="F50" s="4">
        <f t="shared" si="28"/>
        <v>9.9592504392471533</v>
      </c>
      <c r="G50" s="4">
        <f t="shared" si="29"/>
        <v>11.161806601657123</v>
      </c>
      <c r="H50" s="4">
        <f t="shared" si="22"/>
        <v>10.891268820067928</v>
      </c>
    </row>
    <row r="51" spans="1:8">
      <c r="A51" s="4">
        <f t="shared" si="23"/>
        <v>5.55</v>
      </c>
      <c r="B51" s="4">
        <f t="shared" si="24"/>
        <v>0.23018018018018022</v>
      </c>
      <c r="C51" s="4">
        <f t="shared" si="25"/>
        <v>0.40200000000000002</v>
      </c>
      <c r="D51" s="4">
        <f t="shared" si="26"/>
        <v>0.67462686567164176</v>
      </c>
      <c r="E51" s="4">
        <f t="shared" si="27"/>
        <v>0.13089969389957468</v>
      </c>
      <c r="F51" s="4">
        <f t="shared" si="28"/>
        <v>9.4280904158206358</v>
      </c>
      <c r="G51" s="4">
        <f t="shared" si="29"/>
        <v>10.67610259355474</v>
      </c>
      <c r="H51" s="4">
        <f t="shared" si="22"/>
        <v>10.332897461672458</v>
      </c>
    </row>
    <row r="52" spans="1:8">
      <c r="A52" s="4">
        <f t="shared" si="23"/>
        <v>6.02</v>
      </c>
      <c r="B52" s="4">
        <f t="shared" si="24"/>
        <v>0.21611295681063128</v>
      </c>
      <c r="C52" s="4">
        <f t="shared" si="25"/>
        <v>0.435</v>
      </c>
      <c r="D52" s="4">
        <f t="shared" si="26"/>
        <v>0.66896551724137931</v>
      </c>
      <c r="E52" s="4">
        <f t="shared" si="27"/>
        <v>0.137881010907552</v>
      </c>
      <c r="F52" s="4">
        <f t="shared" si="28"/>
        <v>8.9507187491968061</v>
      </c>
      <c r="G52" s="4">
        <f t="shared" si="29"/>
        <v>10.392388234976597</v>
      </c>
      <c r="H52" s="4">
        <f t="shared" si="22"/>
        <v>9.8357972232488162</v>
      </c>
    </row>
    <row r="53" spans="1:8">
      <c r="A53" s="4">
        <f t="shared" si="23"/>
        <v>6.49</v>
      </c>
      <c r="B53" s="4">
        <f t="shared" si="24"/>
        <v>0.20408320493066254</v>
      </c>
      <c r="C53" s="4">
        <f t="shared" si="25"/>
        <v>0.46700000000000003</v>
      </c>
      <c r="D53" s="4">
        <f t="shared" si="26"/>
        <v>0.66423982869379017</v>
      </c>
      <c r="E53" s="4">
        <f t="shared" si="27"/>
        <v>0.14835298641951797</v>
      </c>
      <c r="F53" s="4">
        <f t="shared" si="28"/>
        <v>8.3189033080770312</v>
      </c>
      <c r="G53" s="4">
        <f t="shared" si="29"/>
        <v>10.415486812898372</v>
      </c>
      <c r="H53" s="4">
        <f t="shared" si="22"/>
        <v>9.1872263417014839</v>
      </c>
    </row>
    <row r="54" spans="1:8">
      <c r="A54" s="4">
        <f t="shared" si="23"/>
        <v>6.95</v>
      </c>
      <c r="B54" s="4">
        <f t="shared" si="24"/>
        <v>0.19388489208633095</v>
      </c>
      <c r="C54" s="4">
        <f t="shared" si="25"/>
        <v>0.499</v>
      </c>
      <c r="D54" s="4">
        <f t="shared" si="26"/>
        <v>0.66012024048096185</v>
      </c>
      <c r="E54" s="4">
        <f t="shared" si="27"/>
        <v>0.16057029118347832</v>
      </c>
      <c r="F54" s="4">
        <f t="shared" si="28"/>
        <v>7.6859432737668225</v>
      </c>
      <c r="G54" s="4">
        <f t="shared" si="29"/>
        <v>10.550300021911253</v>
      </c>
      <c r="H54" s="4">
        <f t="shared" si="22"/>
        <v>8.5399484063341156</v>
      </c>
    </row>
    <row r="55" spans="1:8">
      <c r="A55" s="4">
        <f t="shared" si="23"/>
        <v>7.36</v>
      </c>
      <c r="B55" s="4">
        <f t="shared" si="24"/>
        <v>0.18586956521739131</v>
      </c>
      <c r="C55" s="4">
        <f t="shared" si="25"/>
        <v>0.52900000000000003</v>
      </c>
      <c r="D55" s="4">
        <f t="shared" si="26"/>
        <v>0.65671077504725883</v>
      </c>
      <c r="E55" s="4">
        <f t="shared" si="27"/>
        <v>0.18151424220741025</v>
      </c>
      <c r="F55" s="4">
        <f t="shared" si="28"/>
        <v>6.7991036652552657</v>
      </c>
      <c r="G55" s="4">
        <f t="shared" si="29"/>
        <v>11.250069243385928</v>
      </c>
      <c r="H55" s="4">
        <f t="shared" si="22"/>
        <v>7.6416840055199158</v>
      </c>
    </row>
    <row r="56" spans="1:8">
      <c r="A56" s="4"/>
    </row>
    <row r="57" spans="1:8">
      <c r="A57" s="4"/>
    </row>
    <row r="58" spans="1:8">
      <c r="A58" s="4"/>
    </row>
    <row r="59" spans="1:8">
      <c r="A59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6AA8-64E4-46DD-A3F0-3045F936C127}">
  <dimension ref="A1:AB55"/>
  <sheetViews>
    <sheetView topLeftCell="H6" zoomScale="90" zoomScaleNormal="90" workbookViewId="0">
      <selection activeCell="J25" sqref="J25"/>
    </sheetView>
  </sheetViews>
  <sheetFormatPr defaultColWidth="11.42578125" defaultRowHeight="15"/>
  <cols>
    <col min="1" max="1" width="15.42578125" customWidth="1"/>
    <col min="2" max="2" width="19.85546875" customWidth="1"/>
    <col min="3" max="3" width="21" customWidth="1"/>
    <col min="4" max="4" width="19.5703125" customWidth="1"/>
    <col min="5" max="5" width="22.42578125" customWidth="1"/>
    <col min="6" max="6" width="19.85546875" customWidth="1"/>
    <col min="7" max="8" width="18.85546875" customWidth="1"/>
    <col min="9" max="9" width="16.28515625" customWidth="1"/>
    <col min="10" max="10" width="15.42578125" customWidth="1"/>
    <col min="11" max="11" width="18.28515625" customWidth="1"/>
    <col min="12" max="12" width="11.7109375" customWidth="1"/>
    <col min="13" max="13" width="11" customWidth="1"/>
    <col min="14" max="14" width="17.85546875" customWidth="1"/>
    <col min="15" max="16" width="16.7109375" customWidth="1"/>
    <col min="18" max="19" width="18.5703125" customWidth="1"/>
    <col min="20" max="20" width="16.85546875" customWidth="1"/>
    <col min="22" max="22" width="17.85546875" customWidth="1"/>
    <col min="23" max="23" width="17.42578125" customWidth="1"/>
    <col min="24" max="24" width="11.85546875" customWidth="1"/>
    <col min="25" max="25" width="16.7109375" customWidth="1"/>
  </cols>
  <sheetData>
    <row r="1" spans="1:28">
      <c r="A1" t="s">
        <v>0</v>
      </c>
      <c r="B1" t="s">
        <v>54</v>
      </c>
      <c r="C1">
        <v>0</v>
      </c>
      <c r="D1" t="s">
        <v>30</v>
      </c>
      <c r="E1">
        <v>60</v>
      </c>
      <c r="F1" t="s">
        <v>62</v>
      </c>
      <c r="G1" t="s">
        <v>63</v>
      </c>
    </row>
    <row r="2" spans="1:2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55</v>
      </c>
      <c r="I2" t="s">
        <v>8</v>
      </c>
      <c r="J2" t="s">
        <v>10</v>
      </c>
      <c r="K2" t="s">
        <v>11</v>
      </c>
      <c r="L2" t="s">
        <v>12</v>
      </c>
      <c r="M2" t="s">
        <v>8</v>
      </c>
      <c r="N2" t="s">
        <v>11</v>
      </c>
      <c r="O2" t="s">
        <v>13</v>
      </c>
      <c r="P2" t="s">
        <v>14</v>
      </c>
      <c r="Q2" t="s">
        <v>8</v>
      </c>
      <c r="R2" t="s">
        <v>11</v>
      </c>
      <c r="S2" t="s">
        <v>64</v>
      </c>
      <c r="T2" t="s">
        <v>15</v>
      </c>
      <c r="U2" t="s">
        <v>8</v>
      </c>
      <c r="V2" t="s">
        <v>11</v>
      </c>
      <c r="W2" t="s">
        <v>31</v>
      </c>
      <c r="X2" t="s">
        <v>23</v>
      </c>
      <c r="Y2" t="s">
        <v>18</v>
      </c>
      <c r="Z2" t="s">
        <v>19</v>
      </c>
      <c r="AA2" t="s">
        <v>34</v>
      </c>
      <c r="AB2" t="s">
        <v>19</v>
      </c>
    </row>
    <row r="3" spans="1:28">
      <c r="A3">
        <v>4.04</v>
      </c>
      <c r="B3">
        <f>$A$3/100</f>
        <v>4.0399999999999998E-2</v>
      </c>
      <c r="C3">
        <v>17</v>
      </c>
      <c r="D3" s="1">
        <v>16.7</v>
      </c>
      <c r="E3">
        <v>1</v>
      </c>
      <c r="F3">
        <f>$E$3/2</f>
        <v>0.5</v>
      </c>
      <c r="G3">
        <f>ABS(C3-D3)</f>
        <v>0.30000000000000071</v>
      </c>
      <c r="H3">
        <f>G3*60</f>
        <v>18.000000000000043</v>
      </c>
      <c r="I3">
        <f>SQRT(2)*F3</f>
        <v>0.70710678118654757</v>
      </c>
      <c r="J3">
        <f t="shared" ref="J3:J16" si="0">RADIANS(G3)</f>
        <v>5.2359877559830011E-3</v>
      </c>
      <c r="K3">
        <f>I3/G3 * 100</f>
        <v>235.70226039551531</v>
      </c>
      <c r="L3">
        <v>1.19</v>
      </c>
      <c r="M3">
        <f xml:space="preserve"> (0.05*L3/100) + 0.01</f>
        <v>1.0595E-2</v>
      </c>
      <c r="N3">
        <f xml:space="preserve"> M3/L3*100</f>
        <v>0.89033613445378157</v>
      </c>
      <c r="O3" s="3">
        <v>910</v>
      </c>
      <c r="P3">
        <f>O3*0.0001</f>
        <v>9.0999999999999998E-2</v>
      </c>
      <c r="Q3">
        <f t="shared" ref="Q3:Q16" si="1">(O3*0.6/100)+3</f>
        <v>8.4600000000000009</v>
      </c>
      <c r="R3">
        <f t="shared" ref="R3:R16" si="2">Q3/O3 * 100</f>
        <v>0.9296703296703297</v>
      </c>
      <c r="T3">
        <f>J3/(P3*B3)</f>
        <v>1.4242160145748561</v>
      </c>
      <c r="U3">
        <f t="shared" ref="U3:U16" si="3">$T$18/SQRT(15)</f>
        <v>0.47174500152947507</v>
      </c>
      <c r="V3">
        <f t="shared" ref="V3:V16" si="4">U3/$T$17*100</f>
        <v>7.1040261320544547</v>
      </c>
      <c r="W3">
        <v>10.38</v>
      </c>
      <c r="X3">
        <f>ABS(W3-T3)/W3*100</f>
        <v>86.279229146677679</v>
      </c>
      <c r="Y3">
        <f>1/(T3/W3)*100</f>
        <v>728.82202515455799</v>
      </c>
      <c r="Z3">
        <f>AVERAGE(Y3:Y16)</f>
        <v>194.35088137689493</v>
      </c>
      <c r="AA3">
        <f>T3/W3</f>
        <v>0.13720770853322312</v>
      </c>
      <c r="AB3">
        <f>AVERAGE(AA3:AA16)</f>
        <v>0.63974279493886588</v>
      </c>
    </row>
    <row r="4" spans="1:28">
      <c r="A4">
        <v>4.04</v>
      </c>
      <c r="B4">
        <f t="shared" ref="B4:B16" si="5">$A$3/100</f>
        <v>4.0399999999999998E-2</v>
      </c>
      <c r="C4">
        <v>17</v>
      </c>
      <c r="D4">
        <v>15.9</v>
      </c>
      <c r="E4">
        <v>1</v>
      </c>
      <c r="F4">
        <f t="shared" ref="F4:F16" si="6">$E$3/2</f>
        <v>0.5</v>
      </c>
      <c r="G4">
        <f t="shared" ref="G4:G15" si="7">ABS(C4-D4)</f>
        <v>1.0999999999999996</v>
      </c>
      <c r="H4">
        <f t="shared" ref="H4:H16" si="8">G4*60</f>
        <v>65.999999999999972</v>
      </c>
      <c r="I4">
        <f t="shared" ref="I4:I16" si="9">SQRT(2)*F4</f>
        <v>0.70710678118654757</v>
      </c>
      <c r="J4">
        <f t="shared" si="0"/>
        <v>1.9198621771937621E-2</v>
      </c>
      <c r="K4">
        <f t="shared" ref="K4:K16" si="10">I4/G4 * 100</f>
        <v>64.282434653322525</v>
      </c>
      <c r="L4">
        <v>1.57</v>
      </c>
      <c r="M4">
        <f t="shared" ref="M4:M16" si="11" xml:space="preserve"> (0.05*L4/100) + 0.01</f>
        <v>1.0784999999999999E-2</v>
      </c>
      <c r="N4">
        <f t="shared" ref="N4:N16" si="12" xml:space="preserve"> M4/L4*100</f>
        <v>0.68694267515923557</v>
      </c>
      <c r="O4" s="3">
        <v>1190</v>
      </c>
      <c r="P4">
        <f t="shared" ref="P4:P16" si="13">O4*0.0001</f>
        <v>0.11900000000000001</v>
      </c>
      <c r="Q4">
        <f t="shared" si="1"/>
        <v>10.14</v>
      </c>
      <c r="R4">
        <f t="shared" si="2"/>
        <v>0.85210084033613442</v>
      </c>
      <c r="T4">
        <f t="shared" ref="T4:T16" si="14">J4/(P4*B4)</f>
        <v>3.9933900016510564</v>
      </c>
      <c r="U4">
        <f t="shared" si="3"/>
        <v>0.47174500152947507</v>
      </c>
      <c r="V4">
        <f t="shared" si="4"/>
        <v>7.1040261320544547</v>
      </c>
      <c r="W4">
        <v>10.38</v>
      </c>
      <c r="X4">
        <f t="shared" ref="X4:X16" si="15">ABS(W4-T4)/W4*100</f>
        <v>61.528034666174804</v>
      </c>
      <c r="Y4">
        <f t="shared" ref="Y4:Y16" si="16">1/(T4/W4)*100</f>
        <v>259.92953344673117</v>
      </c>
      <c r="AA4">
        <f t="shared" ref="AA4:AA16" si="17">T4/W4</f>
        <v>0.38471965333825203</v>
      </c>
    </row>
    <row r="5" spans="1:28">
      <c r="A5">
        <v>4.04</v>
      </c>
      <c r="B5">
        <f t="shared" si="5"/>
        <v>4.0399999999999998E-2</v>
      </c>
      <c r="C5">
        <v>17</v>
      </c>
      <c r="D5">
        <v>15.2</v>
      </c>
      <c r="E5">
        <v>1</v>
      </c>
      <c r="F5">
        <f t="shared" si="6"/>
        <v>0.5</v>
      </c>
      <c r="G5">
        <f t="shared" si="7"/>
        <v>1.8000000000000007</v>
      </c>
      <c r="H5">
        <f t="shared" si="8"/>
        <v>108.00000000000004</v>
      </c>
      <c r="I5">
        <f t="shared" si="9"/>
        <v>0.70710678118654757</v>
      </c>
      <c r="J5">
        <f t="shared" si="0"/>
        <v>3.1415926535897941E-2</v>
      </c>
      <c r="K5">
        <f t="shared" si="10"/>
        <v>39.283710065919294</v>
      </c>
      <c r="L5">
        <v>2.0099999999999998</v>
      </c>
      <c r="M5">
        <f t="shared" si="11"/>
        <v>1.1005000000000001E-2</v>
      </c>
      <c r="N5">
        <f t="shared" si="12"/>
        <v>0.54751243781094538</v>
      </c>
      <c r="O5" s="3">
        <v>1510</v>
      </c>
      <c r="P5">
        <f t="shared" si="13"/>
        <v>0.151</v>
      </c>
      <c r="Q5">
        <f t="shared" si="1"/>
        <v>12.06</v>
      </c>
      <c r="R5">
        <f t="shared" si="2"/>
        <v>0.79867549668874183</v>
      </c>
      <c r="T5">
        <f t="shared" si="14"/>
        <v>5.1498141983964887</v>
      </c>
      <c r="U5">
        <f t="shared" si="3"/>
        <v>0.47174500152947507</v>
      </c>
      <c r="V5">
        <f t="shared" si="4"/>
        <v>7.1040261320544547</v>
      </c>
      <c r="W5">
        <v>10.38</v>
      </c>
      <c r="X5">
        <f t="shared" si="15"/>
        <v>50.387146450900886</v>
      </c>
      <c r="Y5">
        <f t="shared" si="16"/>
        <v>201.56066996032692</v>
      </c>
      <c r="AA5">
        <f t="shared" si="17"/>
        <v>0.49612853549099117</v>
      </c>
    </row>
    <row r="6" spans="1:28">
      <c r="A6">
        <v>4.04</v>
      </c>
      <c r="B6">
        <f t="shared" si="5"/>
        <v>4.0399999999999998E-2</v>
      </c>
      <c r="C6">
        <v>17</v>
      </c>
      <c r="D6">
        <v>14.2</v>
      </c>
      <c r="E6">
        <v>1</v>
      </c>
      <c r="F6">
        <f t="shared" si="6"/>
        <v>0.5</v>
      </c>
      <c r="G6">
        <f t="shared" si="7"/>
        <v>2.8000000000000007</v>
      </c>
      <c r="H6">
        <f t="shared" si="8"/>
        <v>168.00000000000006</v>
      </c>
      <c r="I6">
        <f t="shared" si="9"/>
        <v>0.70710678118654757</v>
      </c>
      <c r="J6">
        <f t="shared" si="0"/>
        <v>4.886921905584124E-2</v>
      </c>
      <c r="K6">
        <f t="shared" si="10"/>
        <v>25.253813613805264</v>
      </c>
      <c r="L6">
        <v>2.5499999999999998</v>
      </c>
      <c r="M6">
        <f t="shared" si="11"/>
        <v>1.1275E-2</v>
      </c>
      <c r="N6">
        <f t="shared" si="12"/>
        <v>0.44215686274509808</v>
      </c>
      <c r="O6" s="3">
        <v>1910</v>
      </c>
      <c r="P6">
        <f t="shared" si="13"/>
        <v>0.191</v>
      </c>
      <c r="Q6">
        <f t="shared" si="1"/>
        <v>14.46</v>
      </c>
      <c r="R6">
        <f t="shared" si="2"/>
        <v>0.75706806282722516</v>
      </c>
      <c r="T6">
        <f t="shared" si="14"/>
        <v>6.3331630107098178</v>
      </c>
      <c r="U6">
        <f t="shared" si="3"/>
        <v>0.47174500152947507</v>
      </c>
      <c r="V6">
        <f t="shared" si="4"/>
        <v>7.1040261320544547</v>
      </c>
      <c r="W6">
        <v>10.38</v>
      </c>
      <c r="X6">
        <f t="shared" si="15"/>
        <v>38.98686887562797</v>
      </c>
      <c r="Y6">
        <f t="shared" si="16"/>
        <v>163.89914458931031</v>
      </c>
      <c r="AA6">
        <f t="shared" si="17"/>
        <v>0.61013131124372033</v>
      </c>
    </row>
    <row r="7" spans="1:28">
      <c r="A7">
        <v>4.04</v>
      </c>
      <c r="B7">
        <f t="shared" si="5"/>
        <v>4.0399999999999998E-2</v>
      </c>
      <c r="C7">
        <v>17</v>
      </c>
      <c r="D7">
        <v>13.4</v>
      </c>
      <c r="E7">
        <v>1</v>
      </c>
      <c r="F7">
        <f t="shared" si="6"/>
        <v>0.5</v>
      </c>
      <c r="G7">
        <f t="shared" si="7"/>
        <v>3.5999999999999996</v>
      </c>
      <c r="H7">
        <f t="shared" si="8"/>
        <v>215.99999999999997</v>
      </c>
      <c r="I7">
        <f t="shared" si="9"/>
        <v>0.70710678118654757</v>
      </c>
      <c r="J7">
        <f t="shared" si="0"/>
        <v>6.2831853071795854E-2</v>
      </c>
      <c r="K7">
        <f t="shared" si="10"/>
        <v>19.641855032959658</v>
      </c>
      <c r="L7">
        <v>3.03</v>
      </c>
      <c r="M7">
        <f t="shared" si="11"/>
        <v>1.1515000000000001E-2</v>
      </c>
      <c r="N7">
        <f t="shared" si="12"/>
        <v>0.38003300330033007</v>
      </c>
      <c r="O7" s="3">
        <v>2240</v>
      </c>
      <c r="P7">
        <f t="shared" si="13"/>
        <v>0.224</v>
      </c>
      <c r="Q7">
        <f t="shared" si="1"/>
        <v>16.439999999999998</v>
      </c>
      <c r="R7">
        <f t="shared" si="2"/>
        <v>0.73392857142857126</v>
      </c>
      <c r="T7">
        <f t="shared" si="14"/>
        <v>6.9430530710524065</v>
      </c>
      <c r="U7">
        <f t="shared" si="3"/>
        <v>0.47174500152947507</v>
      </c>
      <c r="V7">
        <f t="shared" si="4"/>
        <v>7.1040261320544547</v>
      </c>
      <c r="W7">
        <v>10.38</v>
      </c>
      <c r="X7">
        <f t="shared" si="15"/>
        <v>33.111242090053892</v>
      </c>
      <c r="Y7">
        <f t="shared" si="16"/>
        <v>149.5019538778584</v>
      </c>
      <c r="AA7">
        <f t="shared" si="17"/>
        <v>0.66888757909946106</v>
      </c>
    </row>
    <row r="8" spans="1:28">
      <c r="A8">
        <v>4.04</v>
      </c>
      <c r="B8">
        <f t="shared" si="5"/>
        <v>4.0399999999999998E-2</v>
      </c>
      <c r="C8">
        <v>17</v>
      </c>
      <c r="D8">
        <v>12.6</v>
      </c>
      <c r="E8">
        <v>1</v>
      </c>
      <c r="F8">
        <f t="shared" si="6"/>
        <v>0.5</v>
      </c>
      <c r="G8">
        <f t="shared" si="7"/>
        <v>4.4000000000000004</v>
      </c>
      <c r="H8">
        <f t="shared" si="8"/>
        <v>264</v>
      </c>
      <c r="I8">
        <f t="shared" si="9"/>
        <v>0.70710678118654757</v>
      </c>
      <c r="J8">
        <f t="shared" si="0"/>
        <v>7.679448708775051E-2</v>
      </c>
      <c r="K8">
        <f t="shared" si="10"/>
        <v>16.070608663330628</v>
      </c>
      <c r="L8">
        <v>3.52</v>
      </c>
      <c r="M8">
        <f t="shared" si="11"/>
        <v>1.176E-2</v>
      </c>
      <c r="N8">
        <f t="shared" si="12"/>
        <v>0.33409090909090911</v>
      </c>
      <c r="O8" s="3">
        <v>2590</v>
      </c>
      <c r="P8">
        <f t="shared" si="13"/>
        <v>0.25900000000000001</v>
      </c>
      <c r="Q8">
        <f t="shared" si="1"/>
        <v>18.54</v>
      </c>
      <c r="R8">
        <f t="shared" si="2"/>
        <v>0.7158301158301158</v>
      </c>
      <c r="T8">
        <f t="shared" si="14"/>
        <v>7.3392032462776209</v>
      </c>
      <c r="U8">
        <f t="shared" si="3"/>
        <v>0.47174500152947507</v>
      </c>
      <c r="V8">
        <f t="shared" si="4"/>
        <v>7.1040261320544547</v>
      </c>
      <c r="W8">
        <v>10.38</v>
      </c>
      <c r="X8">
        <f t="shared" si="15"/>
        <v>29.294766413510402</v>
      </c>
      <c r="Y8">
        <f t="shared" si="16"/>
        <v>141.43224614013306</v>
      </c>
      <c r="AA8">
        <f t="shared" si="17"/>
        <v>0.70705233586489602</v>
      </c>
    </row>
    <row r="9" spans="1:28">
      <c r="A9">
        <v>4.04</v>
      </c>
      <c r="B9">
        <f t="shared" si="5"/>
        <v>4.0399999999999998E-2</v>
      </c>
      <c r="C9">
        <v>17</v>
      </c>
      <c r="D9">
        <v>11.9</v>
      </c>
      <c r="E9">
        <v>1</v>
      </c>
      <c r="F9">
        <f t="shared" si="6"/>
        <v>0.5</v>
      </c>
      <c r="G9">
        <f t="shared" si="7"/>
        <v>5.0999999999999996</v>
      </c>
      <c r="H9">
        <f t="shared" si="8"/>
        <v>306</v>
      </c>
      <c r="I9">
        <f t="shared" si="9"/>
        <v>0.70710678118654757</v>
      </c>
      <c r="J9">
        <f t="shared" si="0"/>
        <v>8.9011791851710806E-2</v>
      </c>
      <c r="K9">
        <f t="shared" si="10"/>
        <v>13.864838846795053</v>
      </c>
      <c r="L9">
        <v>3.98</v>
      </c>
      <c r="M9">
        <f t="shared" si="11"/>
        <v>1.1990000000000001E-2</v>
      </c>
      <c r="N9">
        <f t="shared" si="12"/>
        <v>0.3012562814070352</v>
      </c>
      <c r="O9" s="3">
        <v>2920</v>
      </c>
      <c r="P9">
        <f t="shared" si="13"/>
        <v>0.29200000000000004</v>
      </c>
      <c r="Q9">
        <f t="shared" si="1"/>
        <v>20.52</v>
      </c>
      <c r="R9">
        <f t="shared" si="2"/>
        <v>0.70273972602739732</v>
      </c>
      <c r="T9">
        <f t="shared" si="14"/>
        <v>7.5454184059838934</v>
      </c>
      <c r="U9">
        <f t="shared" si="3"/>
        <v>0.47174500152947507</v>
      </c>
      <c r="V9">
        <f t="shared" si="4"/>
        <v>7.1040261320544547</v>
      </c>
      <c r="W9">
        <v>10.38</v>
      </c>
      <c r="X9">
        <f t="shared" si="15"/>
        <v>27.308107842159028</v>
      </c>
      <c r="Y9">
        <f t="shared" si="16"/>
        <v>137.56692394643272</v>
      </c>
      <c r="AA9">
        <f t="shared" si="17"/>
        <v>0.72691892157840976</v>
      </c>
    </row>
    <row r="10" spans="1:28">
      <c r="A10">
        <v>4.04</v>
      </c>
      <c r="B10">
        <f t="shared" si="5"/>
        <v>4.0399999999999998E-2</v>
      </c>
      <c r="C10">
        <v>17</v>
      </c>
      <c r="D10">
        <v>11.1</v>
      </c>
      <c r="E10">
        <v>1</v>
      </c>
      <c r="F10">
        <f t="shared" si="6"/>
        <v>0.5</v>
      </c>
      <c r="G10">
        <f t="shared" si="7"/>
        <v>5.9</v>
      </c>
      <c r="H10">
        <f t="shared" si="8"/>
        <v>354</v>
      </c>
      <c r="I10">
        <f t="shared" si="9"/>
        <v>0.70710678118654757</v>
      </c>
      <c r="J10">
        <f t="shared" si="0"/>
        <v>0.10297442586766545</v>
      </c>
      <c r="K10">
        <f t="shared" si="10"/>
        <v>11.984860698077076</v>
      </c>
      <c r="L10">
        <v>4.5</v>
      </c>
      <c r="M10">
        <f t="shared" si="11"/>
        <v>1.225E-2</v>
      </c>
      <c r="N10">
        <f t="shared" si="12"/>
        <v>0.2722222222222222</v>
      </c>
      <c r="O10" s="3">
        <v>3280</v>
      </c>
      <c r="P10">
        <f t="shared" si="13"/>
        <v>0.32800000000000001</v>
      </c>
      <c r="Q10">
        <f t="shared" si="1"/>
        <v>22.68</v>
      </c>
      <c r="R10">
        <f t="shared" si="2"/>
        <v>0.6914634146341464</v>
      </c>
      <c r="T10">
        <f t="shared" si="14"/>
        <v>7.7709509982239684</v>
      </c>
      <c r="U10">
        <f t="shared" si="3"/>
        <v>0.47174500152947507</v>
      </c>
      <c r="V10">
        <f t="shared" si="4"/>
        <v>7.1040261320544547</v>
      </c>
      <c r="W10">
        <v>10.38</v>
      </c>
      <c r="X10">
        <f t="shared" si="15"/>
        <v>25.135346837919386</v>
      </c>
      <c r="Y10">
        <f t="shared" si="16"/>
        <v>133.57438494171851</v>
      </c>
      <c r="AA10">
        <f t="shared" si="17"/>
        <v>0.74864653162080619</v>
      </c>
    </row>
    <row r="11" spans="1:28">
      <c r="A11">
        <v>4.04</v>
      </c>
      <c r="B11">
        <f t="shared" si="5"/>
        <v>4.0399999999999998E-2</v>
      </c>
      <c r="C11">
        <v>17</v>
      </c>
      <c r="D11">
        <v>10.6</v>
      </c>
      <c r="E11">
        <v>1</v>
      </c>
      <c r="F11">
        <f t="shared" si="6"/>
        <v>0.5</v>
      </c>
      <c r="G11">
        <f t="shared" si="7"/>
        <v>6.4</v>
      </c>
      <c r="H11">
        <f t="shared" si="8"/>
        <v>384</v>
      </c>
      <c r="I11">
        <f t="shared" si="9"/>
        <v>0.70710678118654757</v>
      </c>
      <c r="J11">
        <f t="shared" si="0"/>
        <v>0.11170107212763709</v>
      </c>
      <c r="K11">
        <f t="shared" si="10"/>
        <v>11.048543456039805</v>
      </c>
      <c r="L11">
        <v>5</v>
      </c>
      <c r="M11">
        <f t="shared" si="11"/>
        <v>1.2500000000000001E-2</v>
      </c>
      <c r="N11">
        <f t="shared" si="12"/>
        <v>0.25</v>
      </c>
      <c r="O11" s="3">
        <v>3630</v>
      </c>
      <c r="P11">
        <f t="shared" si="13"/>
        <v>0.36300000000000004</v>
      </c>
      <c r="Q11">
        <f t="shared" si="1"/>
        <v>24.78</v>
      </c>
      <c r="R11">
        <f t="shared" si="2"/>
        <v>0.68264462809917359</v>
      </c>
      <c r="T11">
        <f t="shared" si="14"/>
        <v>7.6167438649072006</v>
      </c>
      <c r="U11">
        <f t="shared" si="3"/>
        <v>0.47174500152947507</v>
      </c>
      <c r="V11">
        <f t="shared" si="4"/>
        <v>7.1040261320544547</v>
      </c>
      <c r="W11">
        <v>10.38</v>
      </c>
      <c r="X11">
        <f t="shared" si="15"/>
        <v>26.620964692608862</v>
      </c>
      <c r="Y11">
        <f t="shared" si="16"/>
        <v>136.27870628319292</v>
      </c>
      <c r="AA11">
        <f t="shared" si="17"/>
        <v>0.73379035307391138</v>
      </c>
    </row>
    <row r="12" spans="1:28">
      <c r="A12">
        <v>4.04</v>
      </c>
      <c r="B12">
        <f t="shared" si="5"/>
        <v>4.0399999999999998E-2</v>
      </c>
      <c r="C12">
        <v>17</v>
      </c>
      <c r="D12">
        <v>9.8000000000000007</v>
      </c>
      <c r="E12">
        <v>1</v>
      </c>
      <c r="F12">
        <f t="shared" si="6"/>
        <v>0.5</v>
      </c>
      <c r="G12">
        <f t="shared" si="7"/>
        <v>7.1999999999999993</v>
      </c>
      <c r="H12">
        <f t="shared" si="8"/>
        <v>431.99999999999994</v>
      </c>
      <c r="I12">
        <f t="shared" si="9"/>
        <v>0.70710678118654757</v>
      </c>
      <c r="J12">
        <f t="shared" si="0"/>
        <v>0.12566370614359171</v>
      </c>
      <c r="K12">
        <f t="shared" si="10"/>
        <v>9.8209275164798289</v>
      </c>
      <c r="L12">
        <v>5.51</v>
      </c>
      <c r="M12">
        <f t="shared" si="11"/>
        <v>1.2755000000000001E-2</v>
      </c>
      <c r="N12">
        <f t="shared" si="12"/>
        <v>0.23148820326678771</v>
      </c>
      <c r="O12" s="3">
        <v>3980</v>
      </c>
      <c r="P12">
        <f t="shared" si="13"/>
        <v>0.39800000000000002</v>
      </c>
      <c r="Q12">
        <f t="shared" si="1"/>
        <v>26.88</v>
      </c>
      <c r="R12">
        <f t="shared" si="2"/>
        <v>0.67537688442211052</v>
      </c>
      <c r="T12">
        <f t="shared" si="14"/>
        <v>7.8152959191745666</v>
      </c>
      <c r="U12">
        <f t="shared" si="3"/>
        <v>0.47174500152947507</v>
      </c>
      <c r="V12">
        <f t="shared" si="4"/>
        <v>7.1040261320544547</v>
      </c>
      <c r="W12">
        <v>10.38</v>
      </c>
      <c r="X12">
        <f t="shared" si="15"/>
        <v>24.708131799859672</v>
      </c>
      <c r="Y12">
        <f t="shared" si="16"/>
        <v>132.8164679539903</v>
      </c>
      <c r="AA12">
        <f t="shared" si="17"/>
        <v>0.75291868200140333</v>
      </c>
    </row>
    <row r="13" spans="1:28">
      <c r="A13">
        <v>4.04</v>
      </c>
      <c r="B13">
        <f t="shared" si="5"/>
        <v>4.0399999999999998E-2</v>
      </c>
      <c r="C13">
        <v>17</v>
      </c>
      <c r="D13">
        <v>9.3000000000000007</v>
      </c>
      <c r="E13">
        <v>1</v>
      </c>
      <c r="F13">
        <f t="shared" si="6"/>
        <v>0.5</v>
      </c>
      <c r="G13">
        <f t="shared" si="7"/>
        <v>7.6999999999999993</v>
      </c>
      <c r="H13">
        <f t="shared" si="8"/>
        <v>461.99999999999994</v>
      </c>
      <c r="I13">
        <f t="shared" si="9"/>
        <v>0.70710678118654757</v>
      </c>
      <c r="J13">
        <f t="shared" si="0"/>
        <v>0.13439035240356337</v>
      </c>
      <c r="K13">
        <f t="shared" si="10"/>
        <v>9.1832049504746447</v>
      </c>
      <c r="L13">
        <v>6.06</v>
      </c>
      <c r="M13">
        <f t="shared" si="11"/>
        <v>1.303E-2</v>
      </c>
      <c r="N13">
        <f t="shared" si="12"/>
        <v>0.21501650165016503</v>
      </c>
      <c r="O13" s="3">
        <v>4360</v>
      </c>
      <c r="P13">
        <f t="shared" si="13"/>
        <v>0.436</v>
      </c>
      <c r="Q13">
        <f t="shared" si="1"/>
        <v>29.16</v>
      </c>
      <c r="R13">
        <f t="shared" si="2"/>
        <v>0.66880733944954129</v>
      </c>
      <c r="T13">
        <f t="shared" si="14"/>
        <v>7.6295730994847046</v>
      </c>
      <c r="U13">
        <f t="shared" si="3"/>
        <v>0.47174500152947507</v>
      </c>
      <c r="V13">
        <f t="shared" si="4"/>
        <v>7.1040261320544547</v>
      </c>
      <c r="W13">
        <v>10.38</v>
      </c>
      <c r="X13">
        <f t="shared" si="15"/>
        <v>26.497368983769711</v>
      </c>
      <c r="Y13">
        <f t="shared" si="16"/>
        <v>136.04955172001769</v>
      </c>
      <c r="AA13">
        <f t="shared" si="17"/>
        <v>0.73502631016230291</v>
      </c>
    </row>
    <row r="14" spans="1:28">
      <c r="A14">
        <v>4.04</v>
      </c>
      <c r="B14">
        <f t="shared" si="5"/>
        <v>4.0399999999999998E-2</v>
      </c>
      <c r="C14">
        <v>17</v>
      </c>
      <c r="D14">
        <v>8.9</v>
      </c>
      <c r="E14">
        <v>1</v>
      </c>
      <c r="F14">
        <f t="shared" si="6"/>
        <v>0.5</v>
      </c>
      <c r="G14">
        <f t="shared" si="7"/>
        <v>8.1</v>
      </c>
      <c r="H14">
        <f t="shared" si="8"/>
        <v>486</v>
      </c>
      <c r="I14">
        <f t="shared" si="9"/>
        <v>0.70710678118654757</v>
      </c>
      <c r="J14">
        <f t="shared" si="0"/>
        <v>0.1413716694115407</v>
      </c>
      <c r="K14">
        <f t="shared" si="10"/>
        <v>8.7297133479820701</v>
      </c>
      <c r="L14">
        <v>6.5</v>
      </c>
      <c r="M14">
        <f t="shared" si="11"/>
        <v>1.3250000000000001E-2</v>
      </c>
      <c r="N14">
        <f t="shared" si="12"/>
        <v>0.20384615384615384</v>
      </c>
      <c r="O14" s="3">
        <v>4670</v>
      </c>
      <c r="P14">
        <f t="shared" si="13"/>
        <v>0.46700000000000003</v>
      </c>
      <c r="Q14">
        <f t="shared" si="1"/>
        <v>31.02</v>
      </c>
      <c r="R14">
        <f t="shared" si="2"/>
        <v>0.66423982869379017</v>
      </c>
      <c r="T14">
        <f t="shared" si="14"/>
        <v>7.4931450702578442</v>
      </c>
      <c r="U14">
        <f t="shared" si="3"/>
        <v>0.47174500152947507</v>
      </c>
      <c r="V14">
        <f t="shared" si="4"/>
        <v>7.1040261320544547</v>
      </c>
      <c r="W14">
        <v>10.38</v>
      </c>
      <c r="X14">
        <f t="shared" si="15"/>
        <v>27.811704525454299</v>
      </c>
      <c r="Y14">
        <f t="shared" si="16"/>
        <v>138.52661202571403</v>
      </c>
      <c r="AA14">
        <f t="shared" si="17"/>
        <v>0.72188295474545694</v>
      </c>
    </row>
    <row r="15" spans="1:28">
      <c r="A15">
        <v>4.04</v>
      </c>
      <c r="B15">
        <f t="shared" si="5"/>
        <v>4.0399999999999998E-2</v>
      </c>
      <c r="C15">
        <v>17</v>
      </c>
      <c r="D15">
        <v>8</v>
      </c>
      <c r="E15">
        <v>1</v>
      </c>
      <c r="F15">
        <f t="shared" si="6"/>
        <v>0.5</v>
      </c>
      <c r="G15">
        <f t="shared" si="7"/>
        <v>9</v>
      </c>
      <c r="H15">
        <f t="shared" si="8"/>
        <v>540</v>
      </c>
      <c r="I15">
        <f t="shared" si="9"/>
        <v>0.70710678118654757</v>
      </c>
      <c r="J15">
        <f t="shared" si="0"/>
        <v>0.15707963267948966</v>
      </c>
      <c r="K15">
        <f t="shared" si="10"/>
        <v>7.8567420131838626</v>
      </c>
      <c r="L15">
        <v>6.91</v>
      </c>
      <c r="M15">
        <f t="shared" si="11"/>
        <v>1.3455E-2</v>
      </c>
      <c r="N15">
        <f t="shared" si="12"/>
        <v>0.19471780028943558</v>
      </c>
      <c r="O15" s="3">
        <v>4950</v>
      </c>
      <c r="P15">
        <f t="shared" si="13"/>
        <v>0.49500000000000005</v>
      </c>
      <c r="Q15">
        <f t="shared" si="1"/>
        <v>32.700000000000003</v>
      </c>
      <c r="R15">
        <f t="shared" si="2"/>
        <v>0.66060606060606064</v>
      </c>
      <c r="T15">
        <f t="shared" si="14"/>
        <v>7.8547671106855503</v>
      </c>
      <c r="U15">
        <f t="shared" si="3"/>
        <v>0.47174500152947507</v>
      </c>
      <c r="V15">
        <f t="shared" si="4"/>
        <v>7.1040261320544547</v>
      </c>
      <c r="W15">
        <v>10.38</v>
      </c>
      <c r="X15">
        <f t="shared" si="15"/>
        <v>24.327869839252891</v>
      </c>
      <c r="Y15">
        <f t="shared" si="16"/>
        <v>132.14904851703557</v>
      </c>
      <c r="AA15">
        <f t="shared" si="17"/>
        <v>0.75672130160747109</v>
      </c>
    </row>
    <row r="16" spans="1:28">
      <c r="A16">
        <v>4.04</v>
      </c>
      <c r="B16">
        <f t="shared" si="5"/>
        <v>4.0399999999999998E-2</v>
      </c>
      <c r="C16">
        <v>17</v>
      </c>
      <c r="D16">
        <v>7.3</v>
      </c>
      <c r="E16">
        <v>1</v>
      </c>
      <c r="F16">
        <f t="shared" si="6"/>
        <v>0.5</v>
      </c>
      <c r="G16">
        <f>ABS(C16-D16)</f>
        <v>9.6999999999999993</v>
      </c>
      <c r="H16">
        <f t="shared" si="8"/>
        <v>582</v>
      </c>
      <c r="I16">
        <f t="shared" si="9"/>
        <v>0.70710678118654757</v>
      </c>
      <c r="J16">
        <f t="shared" si="0"/>
        <v>0.16929693744344995</v>
      </c>
      <c r="K16">
        <f t="shared" si="10"/>
        <v>7.2897606307891509</v>
      </c>
      <c r="L16">
        <v>7.28</v>
      </c>
      <c r="M16">
        <f t="shared" si="11"/>
        <v>1.3640000000000001E-2</v>
      </c>
      <c r="N16">
        <f t="shared" si="12"/>
        <v>0.18736263736263736</v>
      </c>
      <c r="O16" s="3">
        <v>5200</v>
      </c>
      <c r="P16">
        <f t="shared" si="13"/>
        <v>0.52</v>
      </c>
      <c r="Q16">
        <f t="shared" si="1"/>
        <v>34.200000000000003</v>
      </c>
      <c r="R16">
        <f t="shared" si="2"/>
        <v>0.6576923076923078</v>
      </c>
      <c r="T16">
        <f t="shared" si="14"/>
        <v>8.0586889491360409</v>
      </c>
      <c r="U16">
        <f t="shared" si="3"/>
        <v>0.47174500152947507</v>
      </c>
      <c r="V16">
        <f t="shared" si="4"/>
        <v>7.1040261320544547</v>
      </c>
      <c r="W16">
        <v>10.38</v>
      </c>
      <c r="X16">
        <f t="shared" si="15"/>
        <v>22.363304921618106</v>
      </c>
      <c r="Y16">
        <f t="shared" si="16"/>
        <v>128.80507071950984</v>
      </c>
      <c r="AA16">
        <f t="shared" si="17"/>
        <v>0.7763669507838189</v>
      </c>
    </row>
    <row r="17" spans="1:22">
      <c r="R17" t="s">
        <v>19</v>
      </c>
      <c r="T17">
        <f>AVERAGE(T3:T16)</f>
        <v>6.6405302114654301</v>
      </c>
    </row>
    <row r="18" spans="1:22">
      <c r="R18" t="s">
        <v>22</v>
      </c>
      <c r="T18">
        <f>_xlfn.STDEV.P(T3:T16)</f>
        <v>1.8270605345802495</v>
      </c>
    </row>
    <row r="19" spans="1:22">
      <c r="R19" t="s">
        <v>35</v>
      </c>
      <c r="T19">
        <f xml:space="preserve"> CORREL(B25:B38,C25:C38)</f>
        <v>0.99733608705525867</v>
      </c>
    </row>
    <row r="20" spans="1:22" s="2" customFormat="1">
      <c r="A20" s="2" t="s">
        <v>25</v>
      </c>
    </row>
    <row r="21" spans="1:22">
      <c r="V21" t="s">
        <v>36</v>
      </c>
    </row>
    <row r="22" spans="1:22">
      <c r="A22" t="s">
        <v>26</v>
      </c>
      <c r="E22" t="s">
        <v>56</v>
      </c>
    </row>
    <row r="23" spans="1:22">
      <c r="E23" t="s">
        <v>41</v>
      </c>
      <c r="F23" t="s">
        <v>42</v>
      </c>
      <c r="G23" t="s">
        <v>43</v>
      </c>
    </row>
    <row r="24" spans="1:22">
      <c r="A24" t="s">
        <v>12</v>
      </c>
      <c r="B24" t="s">
        <v>14</v>
      </c>
      <c r="C24" t="s">
        <v>27</v>
      </c>
      <c r="E24" t="s">
        <v>49</v>
      </c>
      <c r="F24" t="s">
        <v>27</v>
      </c>
      <c r="G24" cm="1">
        <f t="array" ref="G24:H28">LINEST(_xlfn.ANCHORARRAY(F25),E25:E38, TRUE, TRUE)</f>
        <v>9.0570506361135781</v>
      </c>
      <c r="H24">
        <v>-2.2142565575111545E-2</v>
      </c>
      <c r="J24">
        <f>ABS(G24-W3)/W3 *100</f>
        <v>12.745176916054168</v>
      </c>
    </row>
    <row r="25" spans="1:22">
      <c r="A25">
        <f t="shared" ref="A25:A38" si="18">L3</f>
        <v>1.19</v>
      </c>
      <c r="B25">
        <f t="shared" ref="B25:B38" si="19">O3</f>
        <v>910</v>
      </c>
      <c r="C25">
        <f t="shared" ref="C25:C38" si="20">J3</f>
        <v>5.2359877559830011E-3</v>
      </c>
      <c r="E25">
        <f>P3*B3</f>
        <v>3.6763999999999998E-3</v>
      </c>
      <c r="F25" cm="1">
        <f t="array" ref="F25:F38">J3:J16</f>
        <v>5.2359877559830011E-3</v>
      </c>
      <c r="G25">
        <v>0.19122304417254365</v>
      </c>
      <c r="H25">
        <v>2.616241784532485E-3</v>
      </c>
    </row>
    <row r="26" spans="1:22">
      <c r="A26">
        <f t="shared" si="18"/>
        <v>1.57</v>
      </c>
      <c r="B26">
        <f t="shared" si="19"/>
        <v>1190</v>
      </c>
      <c r="C26">
        <f t="shared" si="20"/>
        <v>1.9198621771937621E-2</v>
      </c>
      <c r="E26">
        <f t="shared" ref="E26:E38" si="21">P4*B4</f>
        <v>4.8076000000000004E-3</v>
      </c>
      <c r="F26">
        <v>1.9198621771937621E-2</v>
      </c>
      <c r="G26">
        <v>0.99467927054269445</v>
      </c>
      <c r="H26">
        <v>3.9688574585429173E-3</v>
      </c>
    </row>
    <row r="27" spans="1:22">
      <c r="A27">
        <f t="shared" si="18"/>
        <v>2.0099999999999998</v>
      </c>
      <c r="B27">
        <f t="shared" si="19"/>
        <v>1510</v>
      </c>
      <c r="C27">
        <f t="shared" si="20"/>
        <v>3.1415926535897941E-2</v>
      </c>
      <c r="E27">
        <f t="shared" si="21"/>
        <v>6.1003999999999997E-3</v>
      </c>
      <c r="F27">
        <v>3.1415926535897941E-2</v>
      </c>
      <c r="G27">
        <v>2243.3298558571305</v>
      </c>
      <c r="H27">
        <v>12</v>
      </c>
    </row>
    <row r="28" spans="1:22">
      <c r="A28">
        <f t="shared" si="18"/>
        <v>2.5499999999999998</v>
      </c>
      <c r="B28">
        <f t="shared" si="19"/>
        <v>1910</v>
      </c>
      <c r="C28">
        <f t="shared" si="20"/>
        <v>4.886921905584124E-2</v>
      </c>
      <c r="E28">
        <f t="shared" si="21"/>
        <v>7.7164E-3</v>
      </c>
      <c r="F28">
        <v>4.886921905584124E-2</v>
      </c>
      <c r="G28">
        <v>3.5336549460567551E-2</v>
      </c>
      <c r="H28">
        <v>1.8902195431478094E-4</v>
      </c>
    </row>
    <row r="29" spans="1:22">
      <c r="A29">
        <f t="shared" si="18"/>
        <v>3.03</v>
      </c>
      <c r="B29">
        <f t="shared" si="19"/>
        <v>2240</v>
      </c>
      <c r="C29">
        <f t="shared" si="20"/>
        <v>6.2831853071795854E-2</v>
      </c>
      <c r="E29">
        <f t="shared" si="21"/>
        <v>9.0495999999999997E-3</v>
      </c>
      <c r="F29">
        <v>6.2831853071795854E-2</v>
      </c>
    </row>
    <row r="30" spans="1:22">
      <c r="A30">
        <f t="shared" si="18"/>
        <v>3.52</v>
      </c>
      <c r="B30">
        <f t="shared" si="19"/>
        <v>2590</v>
      </c>
      <c r="C30">
        <f t="shared" si="20"/>
        <v>7.679448708775051E-2</v>
      </c>
      <c r="E30">
        <f t="shared" si="21"/>
        <v>1.04636E-2</v>
      </c>
      <c r="F30">
        <v>7.679448708775051E-2</v>
      </c>
    </row>
    <row r="31" spans="1:22">
      <c r="A31">
        <f t="shared" si="18"/>
        <v>3.98</v>
      </c>
      <c r="B31">
        <f t="shared" si="19"/>
        <v>2920</v>
      </c>
      <c r="C31">
        <f t="shared" si="20"/>
        <v>8.9011791851710806E-2</v>
      </c>
      <c r="E31">
        <f t="shared" si="21"/>
        <v>1.1796800000000001E-2</v>
      </c>
      <c r="F31">
        <v>8.9011791851710806E-2</v>
      </c>
    </row>
    <row r="32" spans="1:22">
      <c r="A32">
        <f t="shared" si="18"/>
        <v>4.5</v>
      </c>
      <c r="B32">
        <f t="shared" si="19"/>
        <v>3280</v>
      </c>
      <c r="C32">
        <f t="shared" si="20"/>
        <v>0.10297442586766545</v>
      </c>
      <c r="E32">
        <f t="shared" si="21"/>
        <v>1.3251199999999999E-2</v>
      </c>
      <c r="F32">
        <v>0.10297442586766545</v>
      </c>
    </row>
    <row r="33" spans="1:8">
      <c r="A33">
        <f t="shared" si="18"/>
        <v>5</v>
      </c>
      <c r="B33">
        <f t="shared" si="19"/>
        <v>3630</v>
      </c>
      <c r="C33">
        <f t="shared" si="20"/>
        <v>0.11170107212763709</v>
      </c>
      <c r="E33">
        <f t="shared" si="21"/>
        <v>1.4665200000000001E-2</v>
      </c>
      <c r="F33">
        <v>0.11170107212763709</v>
      </c>
    </row>
    <row r="34" spans="1:8">
      <c r="A34">
        <f t="shared" si="18"/>
        <v>5.51</v>
      </c>
      <c r="B34">
        <f t="shared" si="19"/>
        <v>3980</v>
      </c>
      <c r="C34">
        <f t="shared" si="20"/>
        <v>0.12566370614359171</v>
      </c>
      <c r="E34">
        <f t="shared" si="21"/>
        <v>1.6079200000000002E-2</v>
      </c>
      <c r="F34">
        <v>0.12566370614359171</v>
      </c>
    </row>
    <row r="35" spans="1:8">
      <c r="A35">
        <f t="shared" si="18"/>
        <v>6.06</v>
      </c>
      <c r="B35">
        <f t="shared" si="19"/>
        <v>4360</v>
      </c>
      <c r="C35">
        <f t="shared" si="20"/>
        <v>0.13439035240356337</v>
      </c>
      <c r="E35">
        <f t="shared" si="21"/>
        <v>1.7614399999999999E-2</v>
      </c>
      <c r="F35">
        <v>0.13439035240356337</v>
      </c>
    </row>
    <row r="36" spans="1:8">
      <c r="A36">
        <f t="shared" si="18"/>
        <v>6.5</v>
      </c>
      <c r="B36">
        <f t="shared" si="19"/>
        <v>4670</v>
      </c>
      <c r="C36">
        <f t="shared" si="20"/>
        <v>0.1413716694115407</v>
      </c>
      <c r="E36">
        <f t="shared" si="21"/>
        <v>1.88668E-2</v>
      </c>
      <c r="F36">
        <v>0.1413716694115407</v>
      </c>
    </row>
    <row r="37" spans="1:8">
      <c r="A37">
        <f t="shared" si="18"/>
        <v>6.91</v>
      </c>
      <c r="B37">
        <f t="shared" si="19"/>
        <v>4950</v>
      </c>
      <c r="C37">
        <f t="shared" si="20"/>
        <v>0.15707963267948966</v>
      </c>
      <c r="E37">
        <f t="shared" si="21"/>
        <v>1.9998000000000002E-2</v>
      </c>
      <c r="F37">
        <v>0.15707963267948966</v>
      </c>
    </row>
    <row r="38" spans="1:8">
      <c r="A38">
        <f t="shared" si="18"/>
        <v>7.28</v>
      </c>
      <c r="B38">
        <f t="shared" si="19"/>
        <v>5200</v>
      </c>
      <c r="C38">
        <f t="shared" si="20"/>
        <v>0.16929693744344995</v>
      </c>
      <c r="E38">
        <f t="shared" si="21"/>
        <v>2.1007999999999999E-2</v>
      </c>
      <c r="F38">
        <v>0.16929693744344995</v>
      </c>
    </row>
    <row r="41" spans="1:8">
      <c r="A41" s="4" t="s">
        <v>46</v>
      </c>
      <c r="B41" s="4" t="s">
        <v>50</v>
      </c>
      <c r="C41" s="4" t="s">
        <v>51</v>
      </c>
      <c r="D41" s="4" t="s">
        <v>50</v>
      </c>
      <c r="E41" s="4" t="s">
        <v>52</v>
      </c>
      <c r="F41" s="4" t="s">
        <v>50</v>
      </c>
      <c r="G41" s="4" t="s">
        <v>53</v>
      </c>
      <c r="H41" s="4" t="s">
        <v>50</v>
      </c>
    </row>
    <row r="42" spans="1:8">
      <c r="A42" s="4">
        <f>L3</f>
        <v>1.19</v>
      </c>
      <c r="B42" s="4">
        <f>N3</f>
        <v>0.89033613445378157</v>
      </c>
      <c r="C42" s="4">
        <f>P3</f>
        <v>9.0999999999999998E-2</v>
      </c>
      <c r="D42" s="4">
        <f>R3</f>
        <v>0.9296703296703297</v>
      </c>
      <c r="E42" s="4">
        <f>J3</f>
        <v>5.2359877559830011E-3</v>
      </c>
      <c r="F42" s="4">
        <f>K3</f>
        <v>235.70226039551531</v>
      </c>
      <c r="G42" s="4">
        <f>T3</f>
        <v>1.4242160145748561</v>
      </c>
      <c r="H42" s="4">
        <f>B42+D42+F42</f>
        <v>237.52226685963942</v>
      </c>
    </row>
    <row r="43" spans="1:8">
      <c r="A43" s="4">
        <f t="shared" ref="A43:A55" si="22">L4</f>
        <v>1.57</v>
      </c>
      <c r="B43" s="4">
        <f t="shared" ref="B43:B55" si="23">N4</f>
        <v>0.68694267515923557</v>
      </c>
      <c r="C43" s="4">
        <f t="shared" ref="C43:C55" si="24">P4</f>
        <v>0.11900000000000001</v>
      </c>
      <c r="D43" s="4">
        <f t="shared" ref="D43:D55" si="25">R4</f>
        <v>0.85210084033613442</v>
      </c>
      <c r="E43" s="4">
        <f t="shared" ref="E43:E55" si="26">J4</f>
        <v>1.9198621771937621E-2</v>
      </c>
      <c r="F43" s="4">
        <f t="shared" ref="F43:F55" si="27">K4</f>
        <v>64.282434653322525</v>
      </c>
      <c r="G43" s="4">
        <f t="shared" ref="G43:G54" si="28">T4</f>
        <v>3.9933900016510564</v>
      </c>
      <c r="H43" s="4">
        <f t="shared" ref="H43:H55" si="29">B43+D43+F43</f>
        <v>65.82147816881789</v>
      </c>
    </row>
    <row r="44" spans="1:8">
      <c r="A44" s="4">
        <f t="shared" si="22"/>
        <v>2.0099999999999998</v>
      </c>
      <c r="B44" s="4">
        <f t="shared" si="23"/>
        <v>0.54751243781094538</v>
      </c>
      <c r="C44" s="4">
        <f t="shared" si="24"/>
        <v>0.151</v>
      </c>
      <c r="D44" s="4">
        <f t="shared" si="25"/>
        <v>0.79867549668874183</v>
      </c>
      <c r="E44" s="4">
        <f t="shared" si="26"/>
        <v>3.1415926535897941E-2</v>
      </c>
      <c r="F44" s="4">
        <f t="shared" si="27"/>
        <v>39.283710065919294</v>
      </c>
      <c r="G44" s="4">
        <f t="shared" si="28"/>
        <v>5.1498141983964887</v>
      </c>
      <c r="H44" s="4">
        <f t="shared" si="29"/>
        <v>40.629898000418983</v>
      </c>
    </row>
    <row r="45" spans="1:8">
      <c r="A45" s="4">
        <f t="shared" si="22"/>
        <v>2.5499999999999998</v>
      </c>
      <c r="B45" s="4">
        <f t="shared" si="23"/>
        <v>0.44215686274509808</v>
      </c>
      <c r="C45" s="4">
        <f t="shared" si="24"/>
        <v>0.191</v>
      </c>
      <c r="D45" s="4">
        <f t="shared" si="25"/>
        <v>0.75706806282722516</v>
      </c>
      <c r="E45" s="4">
        <f t="shared" si="26"/>
        <v>4.886921905584124E-2</v>
      </c>
      <c r="F45" s="4">
        <f t="shared" si="27"/>
        <v>25.253813613805264</v>
      </c>
      <c r="G45" s="4">
        <f t="shared" si="28"/>
        <v>6.3331630107098178</v>
      </c>
      <c r="H45" s="4">
        <f t="shared" si="29"/>
        <v>26.453038539377587</v>
      </c>
    </row>
    <row r="46" spans="1:8">
      <c r="A46" s="4">
        <f t="shared" si="22"/>
        <v>3.03</v>
      </c>
      <c r="B46" s="4">
        <f t="shared" si="23"/>
        <v>0.38003300330033007</v>
      </c>
      <c r="C46" s="4">
        <f t="shared" si="24"/>
        <v>0.224</v>
      </c>
      <c r="D46" s="4">
        <f t="shared" si="25"/>
        <v>0.73392857142857126</v>
      </c>
      <c r="E46" s="4">
        <f t="shared" si="26"/>
        <v>6.2831853071795854E-2</v>
      </c>
      <c r="F46" s="4">
        <f t="shared" si="27"/>
        <v>19.641855032959658</v>
      </c>
      <c r="G46" s="4">
        <f t="shared" si="28"/>
        <v>6.9430530710524065</v>
      </c>
      <c r="H46" s="4">
        <f t="shared" si="29"/>
        <v>20.755816607688558</v>
      </c>
    </row>
    <row r="47" spans="1:8">
      <c r="A47" s="4">
        <f t="shared" si="22"/>
        <v>3.52</v>
      </c>
      <c r="B47" s="4">
        <f t="shared" si="23"/>
        <v>0.33409090909090911</v>
      </c>
      <c r="C47" s="4">
        <f t="shared" si="24"/>
        <v>0.25900000000000001</v>
      </c>
      <c r="D47" s="4">
        <f t="shared" si="25"/>
        <v>0.7158301158301158</v>
      </c>
      <c r="E47" s="4">
        <f t="shared" si="26"/>
        <v>7.679448708775051E-2</v>
      </c>
      <c r="F47" s="4">
        <f t="shared" si="27"/>
        <v>16.070608663330628</v>
      </c>
      <c r="G47" s="4">
        <f t="shared" si="28"/>
        <v>7.3392032462776209</v>
      </c>
      <c r="H47" s="4">
        <f t="shared" si="29"/>
        <v>17.120529688251654</v>
      </c>
    </row>
    <row r="48" spans="1:8">
      <c r="A48" s="4">
        <f t="shared" si="22"/>
        <v>3.98</v>
      </c>
      <c r="B48" s="4">
        <f t="shared" si="23"/>
        <v>0.3012562814070352</v>
      </c>
      <c r="C48" s="4">
        <f t="shared" si="24"/>
        <v>0.29200000000000004</v>
      </c>
      <c r="D48" s="4">
        <f t="shared" si="25"/>
        <v>0.70273972602739732</v>
      </c>
      <c r="E48" s="4">
        <f t="shared" si="26"/>
        <v>8.9011791851710806E-2</v>
      </c>
      <c r="F48" s="4">
        <f t="shared" si="27"/>
        <v>13.864838846795053</v>
      </c>
      <c r="G48" s="4">
        <f t="shared" si="28"/>
        <v>7.5454184059838934</v>
      </c>
      <c r="H48" s="4">
        <f t="shared" si="29"/>
        <v>14.868834854229485</v>
      </c>
    </row>
    <row r="49" spans="1:8">
      <c r="A49" s="4">
        <f t="shared" si="22"/>
        <v>4.5</v>
      </c>
      <c r="B49" s="4">
        <f t="shared" si="23"/>
        <v>0.2722222222222222</v>
      </c>
      <c r="C49" s="4">
        <f t="shared" si="24"/>
        <v>0.32800000000000001</v>
      </c>
      <c r="D49" s="4">
        <f t="shared" si="25"/>
        <v>0.6914634146341464</v>
      </c>
      <c r="E49" s="4">
        <f t="shared" si="26"/>
        <v>0.10297442586766545</v>
      </c>
      <c r="F49" s="4">
        <f t="shared" si="27"/>
        <v>11.984860698077076</v>
      </c>
      <c r="G49" s="4">
        <f t="shared" si="28"/>
        <v>7.7709509982239684</v>
      </c>
      <c r="H49" s="4">
        <f t="shared" si="29"/>
        <v>12.948546334933445</v>
      </c>
    </row>
    <row r="50" spans="1:8">
      <c r="A50" s="4">
        <f t="shared" si="22"/>
        <v>5</v>
      </c>
      <c r="B50" s="4">
        <f t="shared" si="23"/>
        <v>0.25</v>
      </c>
      <c r="C50" s="4">
        <f t="shared" si="24"/>
        <v>0.36300000000000004</v>
      </c>
      <c r="D50" s="4">
        <f t="shared" si="25"/>
        <v>0.68264462809917359</v>
      </c>
      <c r="E50" s="4">
        <f t="shared" si="26"/>
        <v>0.11170107212763709</v>
      </c>
      <c r="F50" s="4">
        <f t="shared" si="27"/>
        <v>11.048543456039805</v>
      </c>
      <c r="G50" s="4">
        <f t="shared" si="28"/>
        <v>7.6167438649072006</v>
      </c>
      <c r="H50" s="4">
        <f t="shared" si="29"/>
        <v>11.98118808413898</v>
      </c>
    </row>
    <row r="51" spans="1:8">
      <c r="A51" s="4">
        <f t="shared" si="22"/>
        <v>5.51</v>
      </c>
      <c r="B51" s="4">
        <f t="shared" si="23"/>
        <v>0.23148820326678771</v>
      </c>
      <c r="C51" s="4">
        <f t="shared" si="24"/>
        <v>0.39800000000000002</v>
      </c>
      <c r="D51" s="4">
        <f t="shared" si="25"/>
        <v>0.67537688442211052</v>
      </c>
      <c r="E51" s="4">
        <f t="shared" si="26"/>
        <v>0.12566370614359171</v>
      </c>
      <c r="F51" s="4">
        <f t="shared" si="27"/>
        <v>9.8209275164798289</v>
      </c>
      <c r="G51" s="4">
        <f t="shared" si="28"/>
        <v>7.8152959191745666</v>
      </c>
      <c r="H51" s="4">
        <f t="shared" si="29"/>
        <v>10.727792604168727</v>
      </c>
    </row>
    <row r="52" spans="1:8">
      <c r="A52" s="4">
        <f t="shared" si="22"/>
        <v>6.06</v>
      </c>
      <c r="B52" s="4">
        <f t="shared" si="23"/>
        <v>0.21501650165016503</v>
      </c>
      <c r="C52" s="4">
        <f t="shared" si="24"/>
        <v>0.436</v>
      </c>
      <c r="D52" s="4">
        <f t="shared" si="25"/>
        <v>0.66880733944954129</v>
      </c>
      <c r="E52" s="4">
        <f t="shared" si="26"/>
        <v>0.13439035240356337</v>
      </c>
      <c r="F52" s="4">
        <f t="shared" si="27"/>
        <v>9.1832049504746447</v>
      </c>
      <c r="G52" s="4">
        <f t="shared" si="28"/>
        <v>7.6295730994847046</v>
      </c>
      <c r="H52" s="4">
        <f t="shared" si="29"/>
        <v>10.067028791574351</v>
      </c>
    </row>
    <row r="53" spans="1:8">
      <c r="A53" s="4">
        <f t="shared" si="22"/>
        <v>6.5</v>
      </c>
      <c r="B53" s="4">
        <f t="shared" si="23"/>
        <v>0.20384615384615384</v>
      </c>
      <c r="C53" s="4">
        <f t="shared" si="24"/>
        <v>0.46700000000000003</v>
      </c>
      <c r="D53" s="4">
        <f t="shared" si="25"/>
        <v>0.66423982869379017</v>
      </c>
      <c r="E53" s="4">
        <f t="shared" si="26"/>
        <v>0.1413716694115407</v>
      </c>
      <c r="F53" s="4">
        <f t="shared" si="27"/>
        <v>8.7297133479820701</v>
      </c>
      <c r="G53" s="4">
        <f t="shared" si="28"/>
        <v>7.4931450702578442</v>
      </c>
      <c r="H53" s="4">
        <f t="shared" si="29"/>
        <v>9.5977993305220135</v>
      </c>
    </row>
    <row r="54" spans="1:8">
      <c r="A54" s="4">
        <f t="shared" si="22"/>
        <v>6.91</v>
      </c>
      <c r="B54" s="4">
        <f t="shared" si="23"/>
        <v>0.19471780028943558</v>
      </c>
      <c r="C54" s="4">
        <f t="shared" si="24"/>
        <v>0.49500000000000005</v>
      </c>
      <c r="D54" s="4">
        <f t="shared" si="25"/>
        <v>0.66060606060606064</v>
      </c>
      <c r="E54" s="4">
        <f t="shared" si="26"/>
        <v>0.15707963267948966</v>
      </c>
      <c r="F54" s="4">
        <f t="shared" si="27"/>
        <v>7.8567420131838626</v>
      </c>
      <c r="G54" s="4">
        <f t="shared" si="28"/>
        <v>7.8547671106855503</v>
      </c>
      <c r="H54" s="4">
        <f t="shared" si="29"/>
        <v>8.7120658740793591</v>
      </c>
    </row>
    <row r="55" spans="1:8">
      <c r="A55" s="4">
        <f t="shared" si="22"/>
        <v>7.28</v>
      </c>
      <c r="B55" s="4">
        <f t="shared" si="23"/>
        <v>0.18736263736263736</v>
      </c>
      <c r="C55" s="4">
        <f t="shared" si="24"/>
        <v>0.52</v>
      </c>
      <c r="D55" s="4">
        <f t="shared" si="25"/>
        <v>0.6576923076923078</v>
      </c>
      <c r="E55" s="4">
        <f t="shared" si="26"/>
        <v>0.16929693744344995</v>
      </c>
      <c r="F55" s="4">
        <f t="shared" si="27"/>
        <v>7.2897606307891509</v>
      </c>
      <c r="G55" s="4">
        <f>T16</f>
        <v>8.0586889491360409</v>
      </c>
      <c r="H55" s="4">
        <f t="shared" si="29"/>
        <v>8.1348155758440956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AE59-C339-428E-A44F-4191F29A258E}">
  <dimension ref="A1:J10"/>
  <sheetViews>
    <sheetView tabSelected="1" topLeftCell="C1" workbookViewId="0">
      <selection activeCell="H4" sqref="H4"/>
    </sheetView>
  </sheetViews>
  <sheetFormatPr defaultColWidth="11.42578125" defaultRowHeight="15"/>
  <cols>
    <col min="1" max="1" width="12" customWidth="1"/>
    <col min="5" max="5" width="15.85546875" customWidth="1"/>
    <col min="6" max="6" width="19.140625" customWidth="1"/>
    <col min="7" max="7" width="16.85546875" customWidth="1"/>
    <col min="10" max="10" width="13.5703125" customWidth="1"/>
  </cols>
  <sheetData>
    <row r="1" spans="1:10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37</v>
      </c>
      <c r="G1" t="s">
        <v>71</v>
      </c>
      <c r="H1" t="s">
        <v>72</v>
      </c>
      <c r="I1" t="s">
        <v>73</v>
      </c>
    </row>
    <row r="2" spans="1:10">
      <c r="A2" s="3">
        <v>1.5999999999999999E-19</v>
      </c>
      <c r="B2" s="3">
        <v>9.1000000000000001E-31</v>
      </c>
      <c r="C2" s="3">
        <v>300000000</v>
      </c>
      <c r="D2" s="3">
        <v>5.9999999999999997E-7</v>
      </c>
      <c r="E2" s="3" t="s">
        <v>74</v>
      </c>
      <c r="F2" s="3">
        <v>5.8000000000000003E-2</v>
      </c>
      <c r="G2" s="3">
        <v>4.7E-2</v>
      </c>
      <c r="H2" s="3">
        <f>F2*(PI()/(180*60))*(10000)*(100)</f>
        <v>16.871516102611849</v>
      </c>
      <c r="I2">
        <f>G2*(PI()/(180*60))*(10000)*(100)</f>
        <v>13.671745807288914</v>
      </c>
      <c r="J2" s="3"/>
    </row>
    <row r="3" spans="1:10">
      <c r="A3" s="3"/>
      <c r="E3" t="s">
        <v>75</v>
      </c>
      <c r="F3">
        <v>4.1000000000000002E-2</v>
      </c>
      <c r="G3">
        <v>3.4000000000000002E-2</v>
      </c>
      <c r="H3">
        <f>F3*(PI()/(180*60))*(10000)*(100)</f>
        <v>11.926416555294585</v>
      </c>
      <c r="I3">
        <f>G3*(PI()/(180*60))*(10000)*(100)</f>
        <v>9.8901990946345322</v>
      </c>
      <c r="J3" s="3"/>
    </row>
    <row r="4" spans="1:10">
      <c r="A4" s="3"/>
    </row>
    <row r="5" spans="1:10">
      <c r="A5" s="3"/>
    </row>
    <row r="6" spans="1:10">
      <c r="A6" s="3"/>
    </row>
    <row r="7" spans="1:10">
      <c r="A7" s="3"/>
    </row>
    <row r="8" spans="1:10">
      <c r="A8" s="3"/>
    </row>
    <row r="9" spans="1:10">
      <c r="A9" s="3"/>
    </row>
    <row r="10" spans="1:10">
      <c r="A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CE84-C2A3-485A-AEBA-06DF40C805B0}">
  <dimension ref="A1:D93"/>
  <sheetViews>
    <sheetView topLeftCell="A44" workbookViewId="0">
      <selection activeCell="P20" sqref="P20"/>
    </sheetView>
  </sheetViews>
  <sheetFormatPr defaultColWidth="9.140625" defaultRowHeight="15"/>
  <sheetData>
    <row r="1" spans="1:4">
      <c r="A1" t="s">
        <v>76</v>
      </c>
      <c r="B1" t="s">
        <v>77</v>
      </c>
      <c r="C1" t="s">
        <v>76</v>
      </c>
      <c r="D1" t="s">
        <v>78</v>
      </c>
    </row>
    <row r="2" spans="1:4">
      <c r="A2">
        <v>2.8029500000000002E-3</v>
      </c>
      <c r="B2">
        <v>2.9670597283903602E-2</v>
      </c>
      <c r="C2">
        <v>2.6535E-3</v>
      </c>
      <c r="D2">
        <v>1.7453292519902619E-6</v>
      </c>
    </row>
    <row r="3" spans="1:4">
      <c r="A3">
        <v>3.5075000000000002E-3</v>
      </c>
      <c r="B3">
        <v>3.4906585039886591E-2</v>
      </c>
      <c r="C3">
        <v>3.5075000000000002E-3</v>
      </c>
      <c r="D3">
        <v>1.7453292519943233E-3</v>
      </c>
    </row>
    <row r="4" spans="1:4">
      <c r="A4">
        <v>4.6969999999999998E-3</v>
      </c>
      <c r="B4">
        <v>4.8869219055841226E-2</v>
      </c>
      <c r="C4">
        <v>4.7580000000000001E-3</v>
      </c>
      <c r="D4">
        <v>1.3962634015954649E-2</v>
      </c>
    </row>
    <row r="5" spans="1:4">
      <c r="A5">
        <v>5.6119999999999998E-3</v>
      </c>
      <c r="B5">
        <v>5.235987755982989E-2</v>
      </c>
      <c r="C5">
        <v>5.7339999999999995E-3</v>
      </c>
      <c r="D5">
        <v>1.9198621771937621E-2</v>
      </c>
    </row>
    <row r="6" spans="1:4">
      <c r="A6">
        <v>6.7099999999999998E-3</v>
      </c>
      <c r="B6">
        <v>6.806784082777885E-2</v>
      </c>
      <c r="C6">
        <v>6.9235E-3</v>
      </c>
      <c r="D6">
        <v>3.3161255787892266E-2</v>
      </c>
    </row>
    <row r="7" spans="1:4">
      <c r="A7">
        <v>7.7652999999999993E-3</v>
      </c>
      <c r="B7">
        <v>8.5521133347722156E-2</v>
      </c>
      <c r="C7">
        <v>7.8689999999999993E-3</v>
      </c>
      <c r="D7">
        <v>4.3633231299858237E-2</v>
      </c>
    </row>
    <row r="8" spans="1:4">
      <c r="A8">
        <v>8.7840000000000001E-3</v>
      </c>
      <c r="B8">
        <v>9.4247779607693802E-2</v>
      </c>
      <c r="C8">
        <v>8.9975000000000003E-3</v>
      </c>
      <c r="D8">
        <v>5.0614548307835565E-2</v>
      </c>
    </row>
    <row r="9" spans="1:4">
      <c r="A9">
        <v>9.6989999999999993E-3</v>
      </c>
      <c r="B9">
        <v>0.10821041362364842</v>
      </c>
      <c r="C9">
        <v>1.00345E-2</v>
      </c>
      <c r="D9">
        <v>6.1086523819801536E-2</v>
      </c>
    </row>
    <row r="10" spans="1:4">
      <c r="A10">
        <v>1.0858000000000001E-2</v>
      </c>
      <c r="B10">
        <v>0.11170107212763709</v>
      </c>
      <c r="C10">
        <v>1.11935E-2</v>
      </c>
      <c r="D10">
        <v>6.9813170079773182E-2</v>
      </c>
    </row>
    <row r="11" spans="1:4">
      <c r="A11">
        <v>1.1986500000000001E-2</v>
      </c>
      <c r="B11">
        <v>0.1291543646475804</v>
      </c>
      <c r="C11">
        <v>1.21695E-2</v>
      </c>
      <c r="D11">
        <v>8.377580409572781E-2</v>
      </c>
    </row>
    <row r="12" spans="1:4">
      <c r="A12">
        <v>1.2993000000000001E-2</v>
      </c>
      <c r="B12">
        <v>0.12042771838760874</v>
      </c>
      <c r="C12">
        <v>1.32675E-2</v>
      </c>
      <c r="D12">
        <v>8.9011791851710806E-2</v>
      </c>
    </row>
    <row r="13" spans="1:4">
      <c r="A13">
        <v>1.3908E-2</v>
      </c>
      <c r="B13">
        <v>0.15533430342749532</v>
      </c>
      <c r="C13">
        <v>1.4213E-2</v>
      </c>
      <c r="D13">
        <v>0.10471975511965978</v>
      </c>
    </row>
    <row r="14" spans="1:4">
      <c r="A14">
        <v>1.5067000000000001E-2</v>
      </c>
      <c r="B14">
        <v>0.16580627893946132</v>
      </c>
      <c r="C14">
        <v>1.5372E-2</v>
      </c>
      <c r="D14">
        <v>0.1064650843716541</v>
      </c>
    </row>
    <row r="15" spans="1:4">
      <c r="A15">
        <v>1.6043000000000002E-2</v>
      </c>
      <c r="B15">
        <v>0.16406094968746698</v>
      </c>
      <c r="C15">
        <v>1.6470000000000002E-2</v>
      </c>
      <c r="D15">
        <v>0.1064650843716541</v>
      </c>
    </row>
    <row r="19" spans="1:4">
      <c r="A19" t="s">
        <v>76</v>
      </c>
      <c r="B19" t="s">
        <v>79</v>
      </c>
      <c r="C19" t="s">
        <v>76</v>
      </c>
      <c r="D19" t="s">
        <v>78</v>
      </c>
    </row>
    <row r="20" spans="1:4">
      <c r="A20">
        <v>3.5956000000000004E-3</v>
      </c>
      <c r="B20">
        <v>5.4105206811824215E-2</v>
      </c>
      <c r="C20">
        <v>3.5552000000000001E-3</v>
      </c>
      <c r="D20">
        <v>1.2217304763960294E-2</v>
      </c>
    </row>
    <row r="21" spans="1:4">
      <c r="A21">
        <v>4.5652000000000002E-3</v>
      </c>
      <c r="B21">
        <v>6.806784082777885E-2</v>
      </c>
      <c r="C21">
        <v>4.7672000000000001E-3</v>
      </c>
      <c r="D21">
        <v>6.9813170079773244E-3</v>
      </c>
    </row>
    <row r="22" spans="1:4">
      <c r="A22">
        <v>6.1003999999999997E-3</v>
      </c>
      <c r="B22">
        <v>8.5521133347722156E-2</v>
      </c>
      <c r="C22">
        <v>6.1407999999999992E-3</v>
      </c>
      <c r="D22">
        <v>1.9198621771937621E-2</v>
      </c>
    </row>
    <row r="23" spans="1:4">
      <c r="A23">
        <v>7.4739999999999997E-3</v>
      </c>
      <c r="B23">
        <v>9.9483767363676784E-2</v>
      </c>
      <c r="C23">
        <v>7.5144000000000001E-3</v>
      </c>
      <c r="D23">
        <v>3.8397243543875269E-2</v>
      </c>
    </row>
    <row r="24" spans="1:4">
      <c r="A24">
        <v>8.8071999999999994E-3</v>
      </c>
      <c r="B24">
        <v>0.12042771838760874</v>
      </c>
      <c r="C24">
        <v>9.2516000000000004E-3</v>
      </c>
      <c r="D24">
        <v>5.7595865315812886E-2</v>
      </c>
    </row>
    <row r="25" spans="1:4">
      <c r="A25">
        <v>1.0302E-2</v>
      </c>
      <c r="B25">
        <v>0.12566370614359174</v>
      </c>
      <c r="C25">
        <v>1.0503999999999999E-2</v>
      </c>
      <c r="D25">
        <v>7.679448708775051E-2</v>
      </c>
    </row>
    <row r="26" spans="1:4">
      <c r="A26">
        <v>1.18776E-2</v>
      </c>
      <c r="B26">
        <v>0.143116998663535</v>
      </c>
      <c r="C26">
        <v>1.1958400000000001E-2</v>
      </c>
      <c r="D26">
        <v>8.7266462599716474E-2</v>
      </c>
    </row>
    <row r="27" spans="1:4">
      <c r="A27">
        <v>1.3008799999999999E-2</v>
      </c>
      <c r="B27">
        <v>0.15358897417550102</v>
      </c>
      <c r="C27">
        <v>1.33724E-2</v>
      </c>
      <c r="D27">
        <v>0.10297442586766545</v>
      </c>
    </row>
    <row r="28" spans="1:4">
      <c r="A28">
        <v>1.4503600000000002E-2</v>
      </c>
      <c r="B28">
        <v>0.16929693744344995</v>
      </c>
      <c r="C28">
        <v>1.4826799999999999E-2</v>
      </c>
      <c r="D28">
        <v>0.11170107212763709</v>
      </c>
    </row>
    <row r="29" spans="1:4">
      <c r="A29">
        <v>1.5877200000000001E-2</v>
      </c>
      <c r="B29">
        <v>0.17627825445142728</v>
      </c>
      <c r="C29">
        <v>1.6281199999999999E-2</v>
      </c>
      <c r="D29">
        <v>0.1239183768915974</v>
      </c>
    </row>
    <row r="30" spans="1:4">
      <c r="A30">
        <v>1.7210400000000001E-2</v>
      </c>
      <c r="B30">
        <v>0.19024088846738194</v>
      </c>
      <c r="C30">
        <v>1.7654799999999998E-2</v>
      </c>
      <c r="D30">
        <v>0.1308996938995747</v>
      </c>
    </row>
    <row r="31" spans="1:4">
      <c r="A31">
        <v>1.8624399999999999E-2</v>
      </c>
      <c r="B31">
        <v>0.20245819323134223</v>
      </c>
      <c r="C31">
        <v>1.8907199999999999E-2</v>
      </c>
      <c r="D31">
        <v>0.13788101090755203</v>
      </c>
    </row>
    <row r="32" spans="1:4">
      <c r="A32">
        <v>1.9957600000000002E-2</v>
      </c>
      <c r="B32">
        <v>0.20943951023931956</v>
      </c>
      <c r="C32">
        <v>2.01596E-2</v>
      </c>
      <c r="D32">
        <v>0.14835298641951802</v>
      </c>
    </row>
    <row r="33" spans="1:4">
      <c r="A33">
        <v>2.09272E-2</v>
      </c>
      <c r="B33">
        <v>0.21991148575128552</v>
      </c>
      <c r="C33">
        <v>2.1654400000000001E-2</v>
      </c>
      <c r="D33">
        <v>0.16406094968746698</v>
      </c>
    </row>
    <row r="48" spans="1:4">
      <c r="A48" t="s">
        <v>76</v>
      </c>
      <c r="B48" t="s">
        <v>79</v>
      </c>
      <c r="C48" t="s">
        <v>76</v>
      </c>
      <c r="D48" t="s">
        <v>78</v>
      </c>
    </row>
    <row r="49" spans="1:4">
      <c r="A49">
        <v>2.6535E-3</v>
      </c>
      <c r="B49">
        <v>4.3633231299858237E-2</v>
      </c>
      <c r="C49">
        <v>2.7450000000000005E-3</v>
      </c>
      <c r="D49">
        <v>3.4906585039886563E-2</v>
      </c>
    </row>
    <row r="50" spans="1:4">
      <c r="A50">
        <v>3.4464999999999999E-3</v>
      </c>
      <c r="B50">
        <v>5.7595865315812872E-2</v>
      </c>
      <c r="C50">
        <v>3.5075000000000002E-3</v>
      </c>
      <c r="D50">
        <v>4.3633231299858209E-2</v>
      </c>
    </row>
    <row r="51" spans="1:4">
      <c r="A51">
        <v>4.4835000000000005E-3</v>
      </c>
      <c r="B51">
        <v>7.5049157835756164E-2</v>
      </c>
      <c r="C51">
        <v>4.6054999999999994E-3</v>
      </c>
      <c r="D51">
        <v>5.5850536063818533E-2</v>
      </c>
    </row>
    <row r="52" spans="1:4">
      <c r="A52">
        <v>5.6730000000000001E-3</v>
      </c>
      <c r="B52">
        <v>8.9011791851710806E-2</v>
      </c>
      <c r="C52">
        <v>5.7035000000000002E-3</v>
      </c>
      <c r="D52">
        <v>6.6322511575784504E-2</v>
      </c>
    </row>
    <row r="53" spans="1:4">
      <c r="A53">
        <v>6.7710000000000001E-3</v>
      </c>
      <c r="B53">
        <v>0.11170107212763709</v>
      </c>
      <c r="C53">
        <v>6.8624999999999997E-3</v>
      </c>
      <c r="D53">
        <v>7.85398163397448E-2</v>
      </c>
    </row>
    <row r="54" spans="1:4">
      <c r="A54">
        <v>7.7165000000000003E-3</v>
      </c>
      <c r="B54">
        <v>0.12740903539558607</v>
      </c>
      <c r="C54">
        <v>7.9299999999999995E-3</v>
      </c>
      <c r="D54">
        <v>8.7266462599716446E-2</v>
      </c>
    </row>
    <row r="55" spans="1:4">
      <c r="A55">
        <v>8.9365000000000017E-3</v>
      </c>
      <c r="B55">
        <v>0.1413716694115407</v>
      </c>
      <c r="C55">
        <v>9.0280000000000013E-3</v>
      </c>
      <c r="D55">
        <v>9.5993108859688092E-2</v>
      </c>
    </row>
    <row r="56" spans="1:4">
      <c r="A56">
        <v>9.9430000000000004E-3</v>
      </c>
      <c r="B56">
        <v>0.15009831567151233</v>
      </c>
      <c r="C56">
        <v>1.00345E-2</v>
      </c>
      <c r="D56">
        <v>0.10995574287564275</v>
      </c>
    </row>
    <row r="57" spans="1:4">
      <c r="A57">
        <v>1.0980000000000002E-2</v>
      </c>
      <c r="B57">
        <v>0.15882496193148399</v>
      </c>
      <c r="C57">
        <v>1.1101999999999999E-2</v>
      </c>
      <c r="D57">
        <v>0.12391837689159736</v>
      </c>
    </row>
    <row r="58" spans="1:4">
      <c r="A58">
        <v>1.1956E-2</v>
      </c>
      <c r="B58">
        <v>0.16231562043547265</v>
      </c>
      <c r="C58">
        <v>1.2261000000000001E-2</v>
      </c>
      <c r="D58">
        <v>0.13089969389957468</v>
      </c>
    </row>
    <row r="59" spans="1:4">
      <c r="A59">
        <v>1.2962500000000002E-2</v>
      </c>
      <c r="B59">
        <v>0.17278759594743864</v>
      </c>
      <c r="C59">
        <v>1.32675E-2</v>
      </c>
      <c r="D59">
        <v>0.137881010907552</v>
      </c>
    </row>
    <row r="60" spans="1:4">
      <c r="A60">
        <v>1.4030000000000001E-2</v>
      </c>
      <c r="B60">
        <v>0.17627825445142728</v>
      </c>
      <c r="C60">
        <v>1.4243500000000001E-2</v>
      </c>
      <c r="D60">
        <v>0.14835298641951797</v>
      </c>
    </row>
    <row r="61" spans="1:4">
      <c r="A61">
        <v>1.5067000000000001E-2</v>
      </c>
      <c r="B61">
        <v>0.18500490071139894</v>
      </c>
      <c r="C61">
        <v>1.52195E-2</v>
      </c>
      <c r="D61">
        <v>0.16057029118347832</v>
      </c>
    </row>
    <row r="62" spans="1:4">
      <c r="A62">
        <v>1.5616E-2</v>
      </c>
      <c r="B62">
        <v>0.19198621771937624</v>
      </c>
      <c r="C62">
        <v>1.61345E-2</v>
      </c>
      <c r="D62">
        <v>0.18151424220741025</v>
      </c>
    </row>
    <row r="79" spans="1:4">
      <c r="A79" t="s">
        <v>76</v>
      </c>
      <c r="B79" t="s">
        <v>79</v>
      </c>
      <c r="C79" t="s">
        <v>76</v>
      </c>
      <c r="D79" t="s">
        <v>78</v>
      </c>
    </row>
    <row r="80" spans="1:4">
      <c r="A80">
        <v>3.2320000000000001E-3</v>
      </c>
      <c r="B80">
        <v>3.1415926535897934E-2</v>
      </c>
      <c r="C80">
        <v>3.6763999999999998E-3</v>
      </c>
      <c r="D80">
        <v>5.2359877559830011E-3</v>
      </c>
    </row>
    <row r="81" spans="1:4">
      <c r="A81">
        <v>4.444E-3</v>
      </c>
      <c r="B81">
        <v>5.0614548307835558E-2</v>
      </c>
      <c r="C81">
        <v>4.8076000000000004E-3</v>
      </c>
      <c r="D81">
        <v>1.9198621771937621E-2</v>
      </c>
    </row>
    <row r="82" spans="1:4">
      <c r="A82">
        <v>6.1003999999999997E-3</v>
      </c>
      <c r="B82">
        <v>8.377580409572781E-2</v>
      </c>
      <c r="C82">
        <v>6.1003999999999997E-3</v>
      </c>
      <c r="D82">
        <v>3.1415926535897941E-2</v>
      </c>
    </row>
    <row r="83" spans="1:4">
      <c r="A83">
        <v>7.5951999999999999E-3</v>
      </c>
      <c r="B83">
        <v>9.0757121103705138E-2</v>
      </c>
      <c r="C83">
        <v>7.7164E-3</v>
      </c>
      <c r="D83">
        <v>4.886921905584124E-2</v>
      </c>
    </row>
    <row r="84" spans="1:4">
      <c r="A84">
        <v>8.8475999999999989E-3</v>
      </c>
      <c r="B84">
        <v>0.1064650843716541</v>
      </c>
      <c r="C84">
        <v>9.0495999999999997E-3</v>
      </c>
      <c r="D84">
        <v>6.2831853071795854E-2</v>
      </c>
    </row>
    <row r="85" spans="1:4">
      <c r="A85">
        <v>1.0302E-2</v>
      </c>
      <c r="B85">
        <v>0.12217304763960307</v>
      </c>
      <c r="C85">
        <v>1.04636E-2</v>
      </c>
      <c r="D85">
        <v>7.679448708775051E-2</v>
      </c>
    </row>
    <row r="86" spans="1:4">
      <c r="A86">
        <v>1.1675600000000001E-2</v>
      </c>
      <c r="B86">
        <v>0.1361356816555577</v>
      </c>
      <c r="C86">
        <v>1.1796800000000001E-2</v>
      </c>
      <c r="D86">
        <v>8.9011791851710806E-2</v>
      </c>
    </row>
    <row r="87" spans="1:4">
      <c r="A87">
        <v>1.3170400000000001E-2</v>
      </c>
      <c r="B87">
        <v>0.1413716694115407</v>
      </c>
      <c r="C87">
        <v>1.3251199999999999E-2</v>
      </c>
      <c r="D87">
        <v>0.10297442586766545</v>
      </c>
    </row>
    <row r="88" spans="1:4">
      <c r="A88">
        <v>1.4584400000000001E-2</v>
      </c>
      <c r="B88">
        <v>0.14835298641951802</v>
      </c>
      <c r="C88">
        <v>1.4665200000000001E-2</v>
      </c>
      <c r="D88">
        <v>0.11170107212763709</v>
      </c>
    </row>
    <row r="89" spans="1:4">
      <c r="A89">
        <v>1.5958E-2</v>
      </c>
      <c r="B89">
        <v>0.15533430342749532</v>
      </c>
      <c r="C89">
        <v>1.6079200000000002E-2</v>
      </c>
      <c r="D89">
        <v>0.12566370614359171</v>
      </c>
    </row>
    <row r="90" spans="1:4">
      <c r="A90">
        <v>1.7210400000000001E-2</v>
      </c>
      <c r="B90">
        <v>0.16406094968746698</v>
      </c>
      <c r="C90">
        <v>1.7614399999999999E-2</v>
      </c>
      <c r="D90">
        <v>0.13439035240356337</v>
      </c>
    </row>
    <row r="91" spans="1:4">
      <c r="A91">
        <v>1.8705200000000002E-2</v>
      </c>
      <c r="B91">
        <v>0.17104226669544431</v>
      </c>
      <c r="C91">
        <v>1.88668E-2</v>
      </c>
      <c r="D91">
        <v>0.1413716694115407</v>
      </c>
    </row>
    <row r="92" spans="1:4">
      <c r="A92">
        <v>1.9755600000000002E-2</v>
      </c>
      <c r="B92">
        <v>0.17627825445142728</v>
      </c>
      <c r="C92">
        <v>1.9998000000000002E-2</v>
      </c>
      <c r="D92">
        <v>0.15707963267948966</v>
      </c>
    </row>
    <row r="93" spans="1:4">
      <c r="A93">
        <v>2.0442399999999999E-2</v>
      </c>
      <c r="B93">
        <v>0.19024088846738194</v>
      </c>
      <c r="C93">
        <v>2.1007999999999999E-2</v>
      </c>
      <c r="D93">
        <v>0.16929693744344995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7FB6-1975-4F7E-82E9-AAF1300018F9}">
  <dimension ref="A1:G43"/>
  <sheetViews>
    <sheetView zoomScale="90" zoomScaleNormal="90" workbookViewId="0">
      <selection activeCell="D27" sqref="D27"/>
    </sheetView>
  </sheetViews>
  <sheetFormatPr defaultColWidth="11.42578125" defaultRowHeight="15"/>
  <cols>
    <col min="1" max="1" width="23.7109375" customWidth="1"/>
    <col min="2" max="2" width="16.5703125" customWidth="1"/>
    <col min="4" max="4" width="21.42578125" customWidth="1"/>
  </cols>
  <sheetData>
    <row r="1" spans="1:7">
      <c r="A1" t="s">
        <v>80</v>
      </c>
      <c r="B1" t="s">
        <v>81</v>
      </c>
      <c r="D1" t="s">
        <v>82</v>
      </c>
      <c r="E1" t="s">
        <v>37</v>
      </c>
      <c r="F1" t="s">
        <v>0</v>
      </c>
    </row>
    <row r="2" spans="1:7">
      <c r="A2">
        <v>1</v>
      </c>
      <c r="B2">
        <f>A2*(PI()/(180*60))*(10000)*100</f>
        <v>290.88820866572161</v>
      </c>
      <c r="D2">
        <v>435.3</v>
      </c>
      <c r="E2">
        <f>B3</f>
        <v>29.6705972839036</v>
      </c>
      <c r="F2">
        <f>B8</f>
        <v>27.052603405912105</v>
      </c>
    </row>
    <row r="3" spans="1:7">
      <c r="A3">
        <v>0.10199999999999999</v>
      </c>
      <c r="B3">
        <f>A3*(PI()/(180*60))*(10000)*100</f>
        <v>29.6705972839036</v>
      </c>
      <c r="D3">
        <v>546.1</v>
      </c>
      <c r="E3">
        <f t="shared" ref="E3:E5" si="0">B4</f>
        <v>16.871516102611849</v>
      </c>
      <c r="F3">
        <f t="shared" ref="F3:F5" si="1">B9</f>
        <v>15.417075059283244</v>
      </c>
    </row>
    <row r="4" spans="1:7">
      <c r="A4">
        <v>5.8000000000000003E-2</v>
      </c>
      <c r="B4">
        <f t="shared" ref="B4:B11" si="2">A4*(PI()/(180*60))*(10000)*100</f>
        <v>16.871516102611849</v>
      </c>
      <c r="D4">
        <v>632.79999999999995</v>
      </c>
      <c r="E4">
        <f t="shared" si="0"/>
        <v>11.926416555294585</v>
      </c>
      <c r="F4">
        <f t="shared" si="1"/>
        <v>11.05375192929742</v>
      </c>
    </row>
    <row r="5" spans="1:7">
      <c r="A5">
        <v>4.1000000000000002E-2</v>
      </c>
      <c r="B5">
        <f t="shared" si="2"/>
        <v>11.926416555294585</v>
      </c>
      <c r="D5">
        <v>1060</v>
      </c>
      <c r="E5">
        <f t="shared" si="0"/>
        <v>4.0724349213201023</v>
      </c>
      <c r="F5">
        <f t="shared" si="1"/>
        <v>3.7815467126543809</v>
      </c>
    </row>
    <row r="6" spans="1:7">
      <c r="A6">
        <v>1.4E-2</v>
      </c>
      <c r="B6">
        <f t="shared" si="2"/>
        <v>4.0724349213201023</v>
      </c>
    </row>
    <row r="7" spans="1:7">
      <c r="A7" t="s">
        <v>83</v>
      </c>
      <c r="B7" t="e">
        <f t="shared" si="2"/>
        <v>#VALUE!</v>
      </c>
    </row>
    <row r="8" spans="1:7">
      <c r="A8">
        <v>9.2999999999999999E-2</v>
      </c>
      <c r="B8">
        <f t="shared" si="2"/>
        <v>27.052603405912105</v>
      </c>
    </row>
    <row r="9" spans="1:7">
      <c r="A9">
        <v>5.2999999999999999E-2</v>
      </c>
      <c r="B9">
        <f t="shared" si="2"/>
        <v>15.417075059283244</v>
      </c>
    </row>
    <row r="10" spans="1:7">
      <c r="A10">
        <v>3.7999999999999999E-2</v>
      </c>
      <c r="B10">
        <f t="shared" si="2"/>
        <v>11.05375192929742</v>
      </c>
    </row>
    <row r="11" spans="1:7">
      <c r="A11">
        <v>1.2999999999999999E-2</v>
      </c>
      <c r="B11">
        <f t="shared" si="2"/>
        <v>3.7815467126543809</v>
      </c>
    </row>
    <row r="13" spans="1:7">
      <c r="A13" t="s">
        <v>84</v>
      </c>
      <c r="B13" t="s">
        <v>85</v>
      </c>
      <c r="C13" t="s">
        <v>86</v>
      </c>
      <c r="D13" t="s">
        <v>19</v>
      </c>
      <c r="E13" t="s">
        <v>87</v>
      </c>
      <c r="F13" t="s">
        <v>88</v>
      </c>
      <c r="G13" t="s">
        <v>19</v>
      </c>
    </row>
    <row r="14" spans="1:7">
      <c r="A14">
        <v>664</v>
      </c>
      <c r="B14">
        <v>9.06</v>
      </c>
      <c r="C14">
        <v>10.220000000000001</v>
      </c>
      <c r="D14">
        <f>AVERAGE(B14:C14)</f>
        <v>9.64</v>
      </c>
      <c r="E14">
        <v>8.92</v>
      </c>
      <c r="F14">
        <v>8.6199999999999992</v>
      </c>
      <c r="G14">
        <f>AVERAGE(E14:F14)</f>
        <v>8.77</v>
      </c>
    </row>
    <row r="15" spans="1:7">
      <c r="A15">
        <v>541</v>
      </c>
      <c r="B15">
        <v>10.71</v>
      </c>
      <c r="C15">
        <v>14.86</v>
      </c>
      <c r="D15">
        <f>AVERAGE(B15:C15)</f>
        <v>12.785</v>
      </c>
      <c r="E15">
        <v>12.34</v>
      </c>
      <c r="F15">
        <v>10.67</v>
      </c>
      <c r="G15">
        <f>AVERAGE(E15:F15)</f>
        <v>11.504999999999999</v>
      </c>
    </row>
    <row r="17" spans="1:3">
      <c r="B17" s="4" t="s">
        <v>89</v>
      </c>
    </row>
    <row r="18" spans="1:3">
      <c r="A18" t="s">
        <v>82</v>
      </c>
      <c r="B18" t="s">
        <v>37</v>
      </c>
      <c r="C18" t="s">
        <v>0</v>
      </c>
    </row>
    <row r="19" spans="1:3">
      <c r="A19">
        <v>435.3</v>
      </c>
      <c r="B19">
        <v>29.6705972839036</v>
      </c>
      <c r="C19">
        <v>27.052603405912105</v>
      </c>
    </row>
    <row r="20" spans="1:3">
      <c r="A20" s="2">
        <v>541</v>
      </c>
      <c r="B20" s="2">
        <v>11.505000000000001</v>
      </c>
      <c r="C20" s="2">
        <v>12.785</v>
      </c>
    </row>
    <row r="21" spans="1:3">
      <c r="A21">
        <v>546.1</v>
      </c>
      <c r="B21">
        <v>16.871516102611849</v>
      </c>
      <c r="C21">
        <v>15.417075059283244</v>
      </c>
    </row>
    <row r="22" spans="1:3">
      <c r="A22">
        <v>632.79999999999995</v>
      </c>
      <c r="B22">
        <v>11.926416555294585</v>
      </c>
      <c r="C22">
        <v>11.05375192929742</v>
      </c>
    </row>
    <row r="23" spans="1:3">
      <c r="A23" s="2">
        <v>664</v>
      </c>
      <c r="B23" s="2">
        <v>8.77</v>
      </c>
      <c r="C23" s="2">
        <v>9.64</v>
      </c>
    </row>
    <row r="24" spans="1:3">
      <c r="A24">
        <v>1060</v>
      </c>
      <c r="B24">
        <v>4.0724349213201023</v>
      </c>
      <c r="C24">
        <v>3.7815467126543809</v>
      </c>
    </row>
    <row r="37" spans="1:3">
      <c r="A37" t="s">
        <v>82</v>
      </c>
      <c r="B37" t="s">
        <v>37</v>
      </c>
      <c r="C37" t="s">
        <v>0</v>
      </c>
    </row>
    <row r="38" spans="1:3">
      <c r="A38">
        <v>435.3</v>
      </c>
      <c r="B38">
        <v>29.6705972839036</v>
      </c>
      <c r="C38">
        <v>27.052603405912105</v>
      </c>
    </row>
    <row r="39" spans="1:3">
      <c r="A39" s="2">
        <v>541</v>
      </c>
      <c r="B39" s="2">
        <v>16.14</v>
      </c>
      <c r="C39" s="2">
        <v>13.54</v>
      </c>
    </row>
    <row r="40" spans="1:3">
      <c r="A40">
        <v>546.1</v>
      </c>
      <c r="B40">
        <v>16.871516102611849</v>
      </c>
      <c r="C40">
        <v>15.417075059283244</v>
      </c>
    </row>
    <row r="41" spans="1:3">
      <c r="A41">
        <v>632.79999999999995</v>
      </c>
      <c r="B41">
        <v>11.926416555294585</v>
      </c>
      <c r="C41">
        <v>11.05375192929742</v>
      </c>
    </row>
    <row r="42" spans="1:3">
      <c r="A42" s="2">
        <v>664</v>
      </c>
      <c r="B42" s="2">
        <v>12.51</v>
      </c>
      <c r="C42" s="2">
        <v>10.38</v>
      </c>
    </row>
    <row r="43" spans="1:3">
      <c r="A43">
        <v>1060</v>
      </c>
      <c r="B43">
        <v>4.0724349213201023</v>
      </c>
      <c r="C43">
        <v>3.7815467126543809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184a4d-0297-49f7-a68a-a4ae958ad7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9601D337C71B48AD29482FECB27956" ma:contentTypeVersion="13" ma:contentTypeDescription="Create a new document." ma:contentTypeScope="" ma:versionID="26443dcc3081cf1603836322b6cc27f4">
  <xsd:schema xmlns:xsd="http://www.w3.org/2001/XMLSchema" xmlns:xs="http://www.w3.org/2001/XMLSchema" xmlns:p="http://schemas.microsoft.com/office/2006/metadata/properties" xmlns:ns3="88184a4d-0297-49f7-a68a-a4ae958ad7eb" targetNamespace="http://schemas.microsoft.com/office/2006/metadata/properties" ma:root="true" ma:fieldsID="122146bc9c1d5945dd5c16118ef5b8f7" ns3:_="">
    <xsd:import namespace="88184a4d-0297-49f7-a68a-a4ae958ad7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84a4d-0297-49f7-a68a-a4ae958ad7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037D9A-1D32-4342-A610-479E68690D9B}"/>
</file>

<file path=customXml/itemProps2.xml><?xml version="1.0" encoding="utf-8"?>
<ds:datastoreItem xmlns:ds="http://schemas.openxmlformats.org/officeDocument/2006/customXml" ds:itemID="{E89C0356-0D31-4B0B-9E4B-436638D691AB}"/>
</file>

<file path=customXml/itemProps3.xml><?xml version="1.0" encoding="utf-8"?>
<ds:datastoreItem xmlns:ds="http://schemas.openxmlformats.org/officeDocument/2006/customXml" ds:itemID="{AC8999CE-042D-4220-9E0C-7B2D9323A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GABRIEL AMARO COLIN</dc:creator>
  <cp:keywords/>
  <dc:description/>
  <cp:lastModifiedBy>ANGEL ESPINOZA MERINO</cp:lastModifiedBy>
  <cp:revision/>
  <dcterms:created xsi:type="dcterms:W3CDTF">2024-08-15T15:17:22Z</dcterms:created>
  <dcterms:modified xsi:type="dcterms:W3CDTF">2024-09-02T00:03:13Z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0x010100CA9601D337C71B48AD29482FECB27956</vt:lpwstr>
  </property>
</Properties>
</file>