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0" windowWidth="20985" windowHeight="9300"/>
  </bookViews>
  <sheets>
    <sheet name="ConveyorCalc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_123Graph_A" hidden="1">#REF!</definedName>
    <definedName name="__1__123Graph_A__200__BPF" hidden="1">#REF!</definedName>
    <definedName name="__2__123Graph_A__200__D50" hidden="1">#REF!</definedName>
    <definedName name="__3__123Graph_AEFICIENCIA_1" hidden="1">#REF!</definedName>
    <definedName name="__4__123Graph_AGRANULOMETRIA_1" hidden="1">#REF!</definedName>
    <definedName name="__123Graph_B" hidden="1">#REF!</definedName>
    <definedName name="__5__123Graph_B__200__BPF" hidden="1">#REF!</definedName>
    <definedName name="__6__123Graph_B__200__D50" hidden="1">#REF!</definedName>
    <definedName name="__7__123Graph_BEFICIENCIA_1" hidden="1">#REF!</definedName>
    <definedName name="__8__123Graph_BGRANULOMETRIA_1" hidden="1">#REF!</definedName>
    <definedName name="__123Graph_C" hidden="1">#REF!</definedName>
    <definedName name="__9__123Graph_C__200__BPF" hidden="1">#REF!</definedName>
    <definedName name="__10__123Graph_C__200__D50" hidden="1">#REF!</definedName>
    <definedName name="__11__123Graph_CGRANULOMETRIA_1" hidden="1">#REF!</definedName>
    <definedName name="__123Graph_D" hidden="1">#REF!</definedName>
    <definedName name="__12__123Graph_D__200__BPF" hidden="1">#REF!</definedName>
    <definedName name="__13__123Graph_D__200__D50" hidden="1">#REF!</definedName>
    <definedName name="__123Graph_E" hidden="1">#REF!</definedName>
    <definedName name="__14__123Graph_E__200__BPF" hidden="1">#REF!</definedName>
    <definedName name="__15__123Graph_E__200__D50" hidden="1">#REF!</definedName>
    <definedName name="__123Graph_F" hidden="1">#REF!</definedName>
    <definedName name="__16__123Graph_F__200__BPF" hidden="1">#REF!</definedName>
    <definedName name="__17__123Graph_F__200__D50" hidden="1">#REF!</definedName>
    <definedName name="__123Graph_X" hidden="1">#REF!</definedName>
    <definedName name="__18__123Graph_X__200__BPF" hidden="1">#REF!</definedName>
    <definedName name="__19__123Graph_X__200__D50" hidden="1">#REF!</definedName>
    <definedName name="__20__123Graph_XEFICIENCIA_1" hidden="1">#REF!</definedName>
    <definedName name="__21__123Graph_XGRANULOMETRIA_1" hidden="1">#REF!</definedName>
    <definedName name="__IntlFixup" hidden="1">TRUE</definedName>
    <definedName name="__IntlFixupTable" hidden="1">#REF!</definedName>
    <definedName name="_1__123Graph_A__200__BPF" hidden="1">#REF!</definedName>
    <definedName name="_10__123Graph_C__200__D50" hidden="1">#REF!</definedName>
    <definedName name="_11__123Graph_CGRANULOMETRIA_1" hidden="1">#REF!</definedName>
    <definedName name="_12__123Graph_D__200__BPF" hidden="1">#REF!</definedName>
    <definedName name="_13__123Graph_D__200__D50" hidden="1">#REF!</definedName>
    <definedName name="_14__123Graph_E__200__BPF" hidden="1">#REF!</definedName>
    <definedName name="_15__123Graph_E__200__D50" hidden="1">#REF!</definedName>
    <definedName name="_16__123Graph_F__200__BPF" hidden="1">#REF!</definedName>
    <definedName name="_17__123Graph_F__200__D50" hidden="1">#REF!</definedName>
    <definedName name="_18__123Graph_X__200__BPF" hidden="1">#REF!</definedName>
    <definedName name="_19__123Graph_X__200__D50" hidden="1">#REF!</definedName>
    <definedName name="_2__123Graph_A__200__D50" hidden="1">#REF!</definedName>
    <definedName name="_20__123Graph_XEFICIENCIA_1" hidden="1">#REF!</definedName>
    <definedName name="_21__123Graph_XGRANULOMETRIA_1" hidden="1">#REF!</definedName>
    <definedName name="_3__123Graph_AEFICIENCIA_1" hidden="1">#REF!</definedName>
    <definedName name="_4__123Graph_AGRANULOMETRIA_1" hidden="1">#REF!</definedName>
    <definedName name="_5__123Graph_B__200__BPF" hidden="1">#REF!</definedName>
    <definedName name="_6__123Graph_B__200__D50" hidden="1">#REF!</definedName>
    <definedName name="_7__123Graph_BEFICIENCIA_1" hidden="1">#REF!</definedName>
    <definedName name="_8__123Graph_BGRANULOMETRIA_1" hidden="1">#REF!</definedName>
    <definedName name="_9__123Graph_C__200__BPF" hidden="1">#REF!</definedName>
    <definedName name="_FHE7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_Fill" hidden="1">#REF!</definedName>
    <definedName name="_jy5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_Order1" hidden="1">255</definedName>
    <definedName name="_Order2" hidden="1">255</definedName>
    <definedName name="_Regression_Out" hidden="1">#REF!</definedName>
    <definedName name="_Regression_X" hidden="1">#REF!</definedName>
    <definedName name="_Regression_Y" hidden="1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tyl2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_wrn1" hidden="1">{#N/A,#N/A,TRUE,"Est. de Fact.";#N/A,#N/A,TRUE,"Capitulo 19";#N/A,#N/A,TRUE,"Proyecto P855"}</definedName>
    <definedName name="_zx2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A" hidden="1">{#N/A,#N/A,FALSE,"Total_OC015";#N/A,#N/A,FALSE,"ADMIN";#N/A,#N/A,FALSE,"PROCES";#N/A,#N/A,FALSE,"mecan";#N/A,#N/A,FALSE,"civil";#N/A,#N/A,FALSE,"CAÑER";#N/A,#N/A,FALSE,"ELEC";#N/A,#N/A,FALSE,"INSTR"}</definedName>
    <definedName name="A_1" hidden="1">{#N/A,#N/A,FALSE,"Total_OC015";#N/A,#N/A,FALSE,"ADMIN";#N/A,#N/A,FALSE,"PROCES";#N/A,#N/A,FALSE,"mecan";#N/A,#N/A,FALSE,"civil";#N/A,#N/A,FALSE,"CAÑER";#N/A,#N/A,FALSE,"ELEC";#N/A,#N/A,FALSE,"INSTR"}</definedName>
    <definedName name="aa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aa_1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aaa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aaa_1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aaaa" hidden="1">{#N/A,#N/A,FALSE,"summary";#N/A,#N/A,FALSE,"SumGraph"}</definedName>
    <definedName name="aaaa_1" hidden="1">{#N/A,#N/A,FALSE,"summary";#N/A,#N/A,FALSE,"SumGraph"}</definedName>
    <definedName name="ab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ab_1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ABC" hidden="1">{#N/A,#N/A,FALSE,"Total_OC015";#N/A,#N/A,FALSE,"ADMIN";#N/A,#N/A,FALSE,"PROCES";#N/A,#N/A,FALSE,"mecan";#N/A,#N/A,FALSE,"civil";#N/A,#N/A,FALSE,"CAÑER";#N/A,#N/A,FALSE,"ELEC";#N/A,#N/A,FALSE,"INSTR"}</definedName>
    <definedName name="ABC_1" hidden="1">{#N/A,#N/A,FALSE,"Total_OC015";#N/A,#N/A,FALSE,"ADMIN";#N/A,#N/A,FALSE,"PROCES";#N/A,#N/A,FALSE,"mecan";#N/A,#N/A,FALSE,"civil";#N/A,#N/A,FALSE,"CAÑER";#N/A,#N/A,FALSE,"ELEC";#N/A,#N/A,FALSE,"INSTR"}</definedName>
    <definedName name="anscount" hidden="1">1</definedName>
    <definedName name="avc" hidden="1">{#N/A,#N/A,FALSE,"Total_OC015";#N/A,#N/A,FALSE,"ADMIN";#N/A,#N/A,FALSE,"PROCES";#N/A,#N/A,FALSE,"mecan";#N/A,#N/A,FALSE,"civil";#N/A,#N/A,FALSE,"CAÑER";#N/A,#N/A,FALSE,"ELEC";#N/A,#N/A,FALSE,"INSTR"}</definedName>
    <definedName name="avc_1" hidden="1">{#N/A,#N/A,FALSE,"Total_OC015";#N/A,#N/A,FALSE,"ADMIN";#N/A,#N/A,FALSE,"PROCES";#N/A,#N/A,FALSE,"mecan";#N/A,#N/A,FALSE,"civil";#N/A,#N/A,FALSE,"CAÑER";#N/A,#N/A,FALSE,"ELEC";#N/A,#N/A,FALSE,"INSTR"}</definedName>
    <definedName name="casa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casa_1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CBWorkbookPriority" hidden="1">-255825735</definedName>
    <definedName name="CHSFH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CHSFH_1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cub" hidden="1">{#N/A,#N/A,FALSE,"RESUMEN";#N/A,#N/A,FALSE,"GG-GI";#N/A,#N/A,FALSE,"AMB";#N/A,#N/A,FALSE,"EyR";#N/A,#N/A,FALSE,"UCP";#N/A,#N/A,FALSE,"IND";#N/A,#N/A,FALSE,"LR";#N/A,#N/A,FALSE,"PRV";#N/A,#N/A,FALSE,"TÚNELES";#N/A,#N/A,FALSE,"IDT";#N/A,#N/A,FALSE,"ING"}</definedName>
    <definedName name="cub_1" hidden="1">{#N/A,#N/A,FALSE,"RESUMEN";#N/A,#N/A,FALSE,"GG-GI";#N/A,#N/A,FALSE,"AMB";#N/A,#N/A,FALSE,"EyR";#N/A,#N/A,FALSE,"UCP";#N/A,#N/A,FALSE,"IND";#N/A,#N/A,FALSE,"LR";#N/A,#N/A,FALSE,"PRV";#N/A,#N/A,FALSE,"TÚNELES";#N/A,#N/A,FALSE,"IDT";#N/A,#N/A,FALSE,"ING"}</definedName>
    <definedName name="DDD" hidden="1">{#N/A,#N/A,FALSE,"summary";#N/A,#N/A,FALSE,"SumGraph"}</definedName>
    <definedName name="DDD_1" hidden="1">{#N/A,#N/A,FALSE,"summary";#N/A,#N/A,FALSE,"SumGraph"}</definedName>
    <definedName name="DESARROLLOSRIODELMEDIO" hidden="1">{#N/A,#N/A,FALSE,"summary";#N/A,#N/A,FALSE,"SumGraph"}</definedName>
    <definedName name="DESARROLLOSRIODELMEDIO_1" hidden="1">{#N/A,#N/A,FALSE,"summary";#N/A,#N/A,FALSE,"SumGraph"}</definedName>
    <definedName name="eee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eee_1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eq" hidden="1">{#N/A,#N/A,FALSE,"minas";#N/A,#N/A,FALSE,"Total_OC015";#N/A,#N/A,FALSE,"ADMIN";#N/A,#N/A,FALSE,"PROCES";#N/A,#N/A,FALSE,"civil";#N/A,#N/A,FALSE,"CAÑER";#N/A,#N/A,FALSE,"ELEC";#N/A,#N/A,FALSE,"INSTR";#N/A,#N/A,FALSE,"PDS";#N/A,#N/A,FALSE,"mecan"}</definedName>
    <definedName name="eq_1" hidden="1">{#N/A,#N/A,FALSE,"minas";#N/A,#N/A,FALSE,"Total_OC015";#N/A,#N/A,FALSE,"ADMIN";#N/A,#N/A,FALSE,"PROCES";#N/A,#N/A,FALSE,"civil";#N/A,#N/A,FALSE,"CAÑER";#N/A,#N/A,FALSE,"ELEC";#N/A,#N/A,FALSE,"INSTR";#N/A,#N/A,FALSE,"PDS";#N/A,#N/A,FALSE,"mecan"}</definedName>
    <definedName name="equ" hidden="1">{#N/A,#N/A,TRUE,"Est. de Fact.";#N/A,#N/A,TRUE,"Capitulo 19";#N/A,#N/A,TRUE,"Proyecto P855"}</definedName>
    <definedName name="equ_1" hidden="1">{#N/A,#N/A,TRUE,"Est. de Fact.";#N/A,#N/A,TRUE,"Capitulo 19";#N/A,#N/A,TRUE,"Proyecto P855"}</definedName>
    <definedName name="equi" hidden="1">{#N/A,#N/A,FALSE,"Total_OC015";#N/A,#N/A,FALSE,"ADMIN";#N/A,#N/A,FALSE,"PROCES";#N/A,#N/A,FALSE,"mecan";#N/A,#N/A,FALSE,"civil";#N/A,#N/A,FALSE,"CAÑER";#N/A,#N/A,FALSE,"ELEC";#N/A,#N/A,FALSE,"INSTR"}</definedName>
    <definedName name="equi_1" hidden="1">{#N/A,#N/A,FALSE,"Total_OC015";#N/A,#N/A,FALSE,"ADMIN";#N/A,#N/A,FALSE,"PROCES";#N/A,#N/A,FALSE,"mecan";#N/A,#N/A,FALSE,"civil";#N/A,#N/A,FALSE,"CAÑER";#N/A,#N/A,FALSE,"ELEC";#N/A,#N/A,FALSE,"INSTR"}</definedName>
    <definedName name="equu" hidden="1">{#N/A,#N/A,FALSE,"minas";#N/A,#N/A,FALSE,"Total_OC015";#N/A,#N/A,FALSE,"ADMIN";#N/A,#N/A,FALSE,"PROCES";#N/A,#N/A,FALSE,"civil";#N/A,#N/A,FALSE,"CAÑER";#N/A,#N/A,FALSE,"ELEC";#N/A,#N/A,FALSE,"INSTR";#N/A,#N/A,FALSE,"PDS";#N/A,#N/A,FALSE,"mecan"}</definedName>
    <definedName name="equu_1" hidden="1">{#N/A,#N/A,FALSE,"minas";#N/A,#N/A,FALSE,"Total_OC015";#N/A,#N/A,FALSE,"ADMIN";#N/A,#N/A,FALSE,"PROCES";#N/A,#N/A,FALSE,"civil";#N/A,#N/A,FALSE,"CAÑER";#N/A,#N/A,FALSE,"ELEC";#N/A,#N/A,FALSE,"INSTR";#N/A,#N/A,FALSE,"PDS";#N/A,#N/A,FALSE,"mecan"}</definedName>
    <definedName name="erd" hidden="1">{#N/A,#N/A,FALSE,"IC_Global";#N/A,#N/A,FALSE,"IC_Global (98-f)";#N/A,#N/A,FALSE,"Inc";#N/A,#N/A,FALSE,"CAMBIOS (2)";#N/A,#N/A,FALSE,"EXPL Inc.";#N/A,#N/A,FALSE,"HITOS98";#N/A,#N/A,FALSE,"CURVA ""S"" GLOBAL ";#N/A,#N/A,FALSE,"CURVA ""S"" 1998 "}</definedName>
    <definedName name="erd_1" hidden="1">{#N/A,#N/A,FALSE,"IC_Global";#N/A,#N/A,FALSE,"IC_Global (98-f)";#N/A,#N/A,FALSE,"Inc";#N/A,#N/A,FALSE,"CAMBIOS (2)";#N/A,#N/A,FALSE,"EXPL Inc.";#N/A,#N/A,FALSE,"HITOS98";#N/A,#N/A,FALSE,"CURVA ""S"" GLOBAL ";#N/A,#N/A,FALSE,"CURVA ""S"" 1998 "}</definedName>
    <definedName name="FACY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FACY_1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fgch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fgch_1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__FHE7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FHE7_1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FHSFJKSG" hidden="1">{#N/A,#N/A,FALSE,"RESUMEN";#N/A,#N/A,FALSE,"GG-GI";#N/A,#N/A,FALSE,"AMB";#N/A,#N/A,FALSE,"EyR";#N/A,#N/A,FALSE,"UCP";#N/A,#N/A,FALSE,"IND";#N/A,#N/A,FALSE,"LR";#N/A,#N/A,FALSE,"PRV";#N/A,#N/A,FALSE,"TÚNELES";#N/A,#N/A,FALSE,"IDT";#N/A,#N/A,FALSE,"ING"}</definedName>
    <definedName name="FHSFJKSG_1" hidden="1">{#N/A,#N/A,FALSE,"RESUMEN";#N/A,#N/A,FALSE,"GG-GI";#N/A,#N/A,FALSE,"AMB";#N/A,#N/A,FALSE,"EyR";#N/A,#N/A,FALSE,"UCP";#N/A,#N/A,FALSE,"IND";#N/A,#N/A,FALSE,"LR";#N/A,#N/A,FALSE,"PRV";#N/A,#N/A,FALSE,"TÚNELES";#N/A,#N/A,FALSE,"IDT";#N/A,#N/A,FALSE,"ING"}</definedName>
    <definedName name="gigi" hidden="1">{#N/A,#N/A,FALSE,"summary";#N/A,#N/A,FALSE,"SumGraph"}</definedName>
    <definedName name="gigi_1" hidden="1">{#N/A,#N/A,FALSE,"summary";#N/A,#N/A,FALSE,"SumGraph"}</definedName>
    <definedName name="GJLHÑÑGHK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GJLHÑÑGHK_1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HGH" hidden="1">{#N/A,#N/A,FALSE,"summary";#N/A,#N/A,FALSE,"SumGraph"}</definedName>
    <definedName name="HGH_1" hidden="1">{#N/A,#N/A,FALSE,"summary";#N/A,#N/A,FALSE,"SumGraph"}</definedName>
    <definedName name="hhhhh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hhhhh_1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III" hidden="1">{#N/A,#N/A,FALSE,"summary";#N/A,#N/A,FALSE,"SumGraph"}</definedName>
    <definedName name="III_1" hidden="1">{#N/A,#N/A,FALSE,"summary";#N/A,#N/A,FALSE,"SumGraph"}</definedName>
    <definedName name="JUPOX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JUPOX_1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__jy5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jy5_1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lots" hidden="1">{#N/A,#N/A,FALSE,"Total_OC015";#N/A,#N/A,FALSE,"ADMIN";#N/A,#N/A,FALSE,"PROCES";#N/A,#N/A,FALSE,"mecan";#N/A,#N/A,FALSE,"civil";#N/A,#N/A,FALSE,"CAÑER";#N/A,#N/A,FALSE,"ELEC";#N/A,#N/A,FALSE,"INSTR"}</definedName>
    <definedName name="lots_1" hidden="1">{#N/A,#N/A,FALSE,"Total_OC015";#N/A,#N/A,FALSE,"ADMIN";#N/A,#N/A,FALSE,"PROCES";#N/A,#N/A,FALSE,"mecan";#N/A,#N/A,FALSE,"civil";#N/A,#N/A,FALSE,"CAÑER";#N/A,#N/A,FALSE,"ELEC";#N/A,#N/A,FALSE,"INSTR"}</definedName>
    <definedName name="qx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qx_1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RO" hidden="1">#REF!</definedName>
    <definedName name="rty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rty_1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s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s_1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SFGAST5" hidden="1">{#N/A,#N/A,FALSE,"IC_Global";#N/A,#N/A,FALSE,"IC_Global (98-f)";#N/A,#N/A,FALSE,"Inc";#N/A,#N/A,FALSE,"CAMBIOS (2)";#N/A,#N/A,FALSE,"EXPL Inc.";#N/A,#N/A,FALSE,"HITOS98";#N/A,#N/A,FALSE,"CURVA ""S"" GLOBAL ";#N/A,#N/A,FALSE,"CURVA ""S"" 1998 "}</definedName>
    <definedName name="SFGAST5_1" hidden="1">{#N/A,#N/A,FALSE,"IC_Global";#N/A,#N/A,FALSE,"IC_Global (98-f)";#N/A,#N/A,FALSE,"Inc";#N/A,#N/A,FALSE,"CAMBIOS (2)";#N/A,#N/A,FALSE,"EXPL Inc.";#N/A,#N/A,FALSE,"HITOS98";#N/A,#N/A,FALSE,"CURVA ""S"" GLOBAL ";#N/A,#N/A,FALSE,"CURVA ""S"" 1998 "}</definedName>
    <definedName name="SFSTRT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SFSTRT_1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ss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ss_1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sss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sss_1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tuut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tuut_1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__tyl2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tyl2_1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VCXNVJHKKLYJ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VCXNVJHKKLYJ_1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viio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viio_1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VSTS_ValidationRange_1b901b2ed63b467da94c4aa6a0a33614" hidden="1">[6]VSTS_ValidationWS_1!$D$1</definedName>
    <definedName name="VSTS_ValidationRange_8d88f62a07444b5f9dac89dd2061e2ac" hidden="1">[6]VSTS_ValidationWS_1!$A$1</definedName>
    <definedName name="VSTS_ValidationRange_d82c575f2ffa4620b52165e77a1c2f82" hidden="1">[6]VSTS_ValidationWS_1!$C$1</definedName>
    <definedName name="VSTS_ValidationRange_fb6fe5a252eb440aa3aafa8787336407" hidden="1">[6]VSTS_ValidationWS_1!$B$1</definedName>
    <definedName name="WERT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WERT_1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wrn" hidden="1">{#N/A,#N/A,TRUE,"Est. de Fact.";#N/A,#N/A,TRUE,"Capitulo 19";#N/A,#N/A,TRUE,"Proyecto P855"}</definedName>
    <definedName name="wrn.Día._.API." hidden="1">{#N/A,#N/A,FALSE,"IC_Global";#N/A,#N/A,FALSE,"IC_Global (98-f)";#N/A,#N/A,FALSE,"Inc";#N/A,#N/A,FALSE,"CAMBIOS (2)";#N/A,#N/A,FALSE,"EXPL Inc.";#N/A,#N/A,FALSE,"HITOS98";#N/A,#N/A,FALSE,"CURVA ""S"" GLOBAL ";#N/A,#N/A,FALSE,"CURVA ""S"" 1998 "}</definedName>
    <definedName name="wrn.Día._.API._1" hidden="1">{#N/A,#N/A,FALSE,"IC_Global";#N/A,#N/A,FALSE,"IC_Global (98-f)";#N/A,#N/A,FALSE,"Inc";#N/A,#N/A,FALSE,"CAMBIOS (2)";#N/A,#N/A,FALSE,"EXPL Inc.";#N/A,#N/A,FALSE,"HITOS98";#N/A,#N/A,FALSE,"CURVA ""S"" GLOBAL ";#N/A,#N/A,FALSE,"CURVA ""S"" 1998 "}</definedName>
    <definedName name="wrn.El._.Indio._.Production._.Summary." hidden="1">{#N/A,#N/A,FALSE,"summary";#N/A,#N/A,FALSE,"SumGraph"}</definedName>
    <definedName name="wrn.El._.Indio._.Production._.Summary._1" hidden="1">{#N/A,#N/A,FALSE,"summary";#N/A,#N/A,FALSE,"SumGraph"}</definedName>
    <definedName name="wrn.ep10.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wrn.ep10._1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wrn.print1." hidden="1">{#N/A,#N/A,TRUE,"Est. de Fact.";#N/A,#N/A,TRUE,"Capitulo 19";#N/A,#N/A,TRUE,"Proyecto P855"}</definedName>
    <definedName name="wrn.print1._1" hidden="1">{#N/A,#N/A,TRUE,"Est. de Fact.";#N/A,#N/A,TRUE,"Capitulo 19";#N/A,#N/A,TRUE,"Proyecto P855"}</definedName>
    <definedName name="wrn.PRINTBAS." hidden="1">{#N/A,#N/A,FALSE,"Total_OC015";#N/A,#N/A,FALSE,"ADMIN";#N/A,#N/A,FALSE,"PROCES";#N/A,#N/A,FALSE,"mecan";#N/A,#N/A,FALSE,"civil";#N/A,#N/A,FALSE,"CAÑER";#N/A,#N/A,FALSE,"ELEC";#N/A,#N/A,FALSE,"INSTR"}</definedName>
    <definedName name="wrn.PRINTBAS._1" hidden="1">{#N/A,#N/A,FALSE,"Total_OC015";#N/A,#N/A,FALSE,"ADMIN";#N/A,#N/A,FALSE,"PROCES";#N/A,#N/A,FALSE,"mecan";#N/A,#N/A,FALSE,"civil";#N/A,#N/A,FALSE,"CAÑER";#N/A,#N/A,FALSE,"ELEC";#N/A,#N/A,FALSE,"INSTR"}</definedName>
    <definedName name="wrn.PRINTEPRS." hidden="1">{#N/A,#N/A,FALSE,"minas";#N/A,#N/A,FALSE,"Total_OC015";#N/A,#N/A,FALSE,"ADMIN";#N/A,#N/A,FALSE,"PROCES";#N/A,#N/A,FALSE,"civil";#N/A,#N/A,FALSE,"CAÑER";#N/A,#N/A,FALSE,"ELEC";#N/A,#N/A,FALSE,"INSTR";#N/A,#N/A,FALSE,"PDS";#N/A,#N/A,FALSE,"mecan"}</definedName>
    <definedName name="wrn.PRINTEPRS._1" hidden="1">{#N/A,#N/A,FALSE,"minas";#N/A,#N/A,FALSE,"Total_OC015";#N/A,#N/A,FALSE,"ADMIN";#N/A,#N/A,FALSE,"PROCES";#N/A,#N/A,FALSE,"civil";#N/A,#N/A,FALSE,"CAÑER";#N/A,#N/A,FALSE,"ELEC";#N/A,#N/A,FALSE,"INSTR";#N/A,#N/A,FALSE,"PDS";#N/A,#N/A,FALSE,"mecan"}</definedName>
    <definedName name="wrn.printeprs1" hidden="1">{#N/A,#N/A,FALSE,"minas";#N/A,#N/A,FALSE,"Total_OC015";#N/A,#N/A,FALSE,"ADMIN";#N/A,#N/A,FALSE,"PROCES";#N/A,#N/A,FALSE,"civil";#N/A,#N/A,FALSE,"CAÑER";#N/A,#N/A,FALSE,"ELEC";#N/A,#N/A,FALSE,"INSTR";#N/A,#N/A,FALSE,"PDS";#N/A,#N/A,FALSE,"mecan"}</definedName>
    <definedName name="wrn.printeprs1_1" hidden="1">{#N/A,#N/A,FALSE,"minas";#N/A,#N/A,FALSE,"Total_OC015";#N/A,#N/A,FALSE,"ADMIN";#N/A,#N/A,FALSE,"PROCES";#N/A,#N/A,FALSE,"civil";#N/A,#N/A,FALSE,"CAÑER";#N/A,#N/A,FALSE,"ELEC";#N/A,#N/A,FALSE,"INSTR";#N/A,#N/A,FALSE,"PDS";#N/A,#N/A,FALSE,"mecan"}</definedName>
    <definedName name="wrn.unidades." hidden="1">{#N/A,#N/A,FALSE,"RESUMEN";#N/A,#N/A,FALSE,"GG-GI";#N/A,#N/A,FALSE,"AMB";#N/A,#N/A,FALSE,"EyR";#N/A,#N/A,FALSE,"UCP";#N/A,#N/A,FALSE,"IND";#N/A,#N/A,FALSE,"LR";#N/A,#N/A,FALSE,"PRV";#N/A,#N/A,FALSE,"TÚNELES";#N/A,#N/A,FALSE,"IDT";#N/A,#N/A,FALSE,"ING"}</definedName>
    <definedName name="wrn.unidades._1" hidden="1">{#N/A,#N/A,FALSE,"RESUMEN";#N/A,#N/A,FALSE,"GG-GI";#N/A,#N/A,FALSE,"AMB";#N/A,#N/A,FALSE,"EyR";#N/A,#N/A,FALSE,"UCP";#N/A,#N/A,FALSE,"IND";#N/A,#N/A,FALSE,"LR";#N/A,#N/A,FALSE,"PRV";#N/A,#N/A,FALSE,"TÚNELES";#N/A,#N/A,FALSE,"IDT";#N/A,#N/A,FALSE,"ING"}</definedName>
    <definedName name="wrn_1" hidden="1">{#N/A,#N/A,TRUE,"Est. de Fact.";#N/A,#N/A,TRUE,"Capitulo 19";#N/A,#N/A,TRUE,"Proyecto P855"}</definedName>
    <definedName name="__wrn1" hidden="1">{#N/A,#N/A,TRUE,"Est. de Fact.";#N/A,#N/A,TRUE,"Capitulo 19";#N/A,#N/A,TRUE,"Proyecto P855"}</definedName>
    <definedName name="wrn1_1" hidden="1">{#N/A,#N/A,TRUE,"Est. de Fact.";#N/A,#N/A,TRUE,"Capitulo 19";#N/A,#N/A,TRUE,"Proyecto P855"}</definedName>
    <definedName name="ws" hidden="1">{#N/A,#N/A,FALSE,"Total_OC015";#N/A,#N/A,FALSE,"ADMIN";#N/A,#N/A,FALSE,"PROCES";#N/A,#N/A,FALSE,"mecan";#N/A,#N/A,FALSE,"civil";#N/A,#N/A,FALSE,"CAÑER";#N/A,#N/A,FALSE,"ELEC";#N/A,#N/A,FALSE,"INSTR"}</definedName>
    <definedName name="ws_1" hidden="1">{#N/A,#N/A,FALSE,"Total_OC015";#N/A,#N/A,FALSE,"ADMIN";#N/A,#N/A,FALSE,"PROCES";#N/A,#N/A,FALSE,"mecan";#N/A,#N/A,FALSE,"civil";#N/A,#N/A,FALSE,"CAÑER";#N/A,#N/A,FALSE,"ELEC";#N/A,#N/A,FALSE,"INSTR"}</definedName>
    <definedName name="www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www_1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xx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xx_1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xxxx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xxxx_1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xxxxx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xxxxx_1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yy" hidden="1">{#N/A,#N/A,FALSE,"Total_OC015";#N/A,#N/A,FALSE,"ADMIN";#N/A,#N/A,FALSE,"PROCES";#N/A,#N/A,FALSE,"mecan";#N/A,#N/A,FALSE,"civil";#N/A,#N/A,FALSE,"CAÑER";#N/A,#N/A,FALSE,"ELEC";#N/A,#N/A,FALSE,"INSTR"}</definedName>
    <definedName name="yy_1" hidden="1">{#N/A,#N/A,FALSE,"Total_OC015";#N/A,#N/A,FALSE,"ADMIN";#N/A,#N/A,FALSE,"PROCES";#N/A,#N/A,FALSE,"mecan";#N/A,#N/A,FALSE,"civil";#N/A,#N/A,FALSE,"CAÑER";#N/A,#N/A,FALSE,"ELEC";#N/A,#N/A,FALSE,"INSTR"}</definedName>
    <definedName name="Z_4D0BEB98_E28C_47DE_A092_DE597F3EEB28_.wvu.Cols" hidden="1">'[7]Montara Opex'!#REF!,'[7]Montara Opex'!#REF!,'[7]Montara Opex'!#REF!</definedName>
    <definedName name="Z_936A1CE5_AE51_4610_A27F_7D368525C02F_.wvu.Cols" hidden="1">'[7]Montara Opex'!#REF!,'[7]Montara Opex'!#REF!,'[7]Montara Opex'!#REF!</definedName>
    <definedName name="Z_EA947C29_EF8A_41D8_A416_1F920211BE7C_.wvu.Cols" hidden="1">'[7]Montara Opex'!#REF!,'[7]Montara Opex'!#REF!,'[7]Montara Opex'!#REF!</definedName>
    <definedName name="__zx2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zx2_1" hidden="1">{#N/A,#N/A,FALSE,"masez (10)";#N/A,#N/A,FALSE,"masez (7)";#N/A,#N/A,FALSE,"masez (6)";#N/A,#N/A,FALSE,"masez (5)";#N/A,#N/A,FALSE,"masez (4)";#N/A,#N/A,FALSE,"masez (3)";#N/A,#N/A,FALSE,"masez (2)";#N/A,#N/A,FALSE,"GME";#N/A,#N/A,FALSE,"masez"}</definedName>
  </definedNames>
  <calcPr calcId="125725"/>
</workbook>
</file>

<file path=xl/calcChain.xml><?xml version="1.0" encoding="utf-8"?>
<calcChain xmlns="http://schemas.openxmlformats.org/spreadsheetml/2006/main">
  <c r="Q37" i="1"/>
  <c r="C37"/>
  <c r="V36"/>
  <c r="U36"/>
  <c r="T36"/>
  <c r="C36"/>
  <c r="V35"/>
  <c r="U35"/>
  <c r="T35"/>
  <c r="Q35"/>
  <c r="V34"/>
  <c r="U34"/>
  <c r="T34"/>
  <c r="Q34"/>
  <c r="V33"/>
  <c r="U33"/>
  <c r="T33"/>
  <c r="Q33"/>
  <c r="N33"/>
  <c r="R33" s="1"/>
  <c r="W33" s="1"/>
  <c r="X33" s="1"/>
  <c r="D33"/>
  <c r="C33"/>
  <c r="V32"/>
  <c r="U32"/>
  <c r="T32"/>
  <c r="Q32"/>
  <c r="G32"/>
  <c r="H32" s="1"/>
  <c r="V31"/>
  <c r="U31"/>
  <c r="T31"/>
  <c r="Q31"/>
  <c r="H31"/>
  <c r="M31" s="1"/>
  <c r="G31"/>
  <c r="C30"/>
  <c r="D30" s="1"/>
  <c r="V29"/>
  <c r="U29"/>
  <c r="T29"/>
  <c r="Q29"/>
  <c r="H29"/>
  <c r="M29" s="1"/>
  <c r="G29"/>
  <c r="V28"/>
  <c r="U28"/>
  <c r="T28"/>
  <c r="Q28"/>
  <c r="G28"/>
  <c r="H28" s="1"/>
  <c r="D27"/>
  <c r="P27" s="1"/>
  <c r="Q27" s="1"/>
  <c r="C27"/>
  <c r="V26"/>
  <c r="U26"/>
  <c r="T26"/>
  <c r="Q26"/>
  <c r="G26"/>
  <c r="H26" s="1"/>
  <c r="V25"/>
  <c r="U25"/>
  <c r="T25"/>
  <c r="Q25"/>
  <c r="H25"/>
  <c r="M25" s="1"/>
  <c r="G25"/>
  <c r="C24"/>
  <c r="D24" s="1"/>
  <c r="V23"/>
  <c r="U23"/>
  <c r="T23"/>
  <c r="Q23"/>
  <c r="H23"/>
  <c r="M23" s="1"/>
  <c r="G23"/>
  <c r="V22"/>
  <c r="U22"/>
  <c r="T22"/>
  <c r="Q22"/>
  <c r="G22"/>
  <c r="H22" s="1"/>
  <c r="D21"/>
  <c r="P21" s="1"/>
  <c r="Q21" s="1"/>
  <c r="C21"/>
  <c r="V20"/>
  <c r="U20"/>
  <c r="T20"/>
  <c r="Q20"/>
  <c r="G20"/>
  <c r="H20" s="1"/>
  <c r="V19"/>
  <c r="U19"/>
  <c r="T19"/>
  <c r="Q19"/>
  <c r="H19"/>
  <c r="M19" s="1"/>
  <c r="G19"/>
  <c r="C18"/>
  <c r="D18" s="1"/>
  <c r="V17"/>
  <c r="U17"/>
  <c r="T17"/>
  <c r="Q17"/>
  <c r="H17"/>
  <c r="M17" s="1"/>
  <c r="G17"/>
  <c r="V16"/>
  <c r="U16"/>
  <c r="T16"/>
  <c r="Q16"/>
  <c r="G16"/>
  <c r="H16" s="1"/>
  <c r="D15"/>
  <c r="P15" s="1"/>
  <c r="Q15" s="1"/>
  <c r="C15"/>
  <c r="V14"/>
  <c r="U14"/>
  <c r="T14"/>
  <c r="Q14"/>
  <c r="V13"/>
  <c r="U13"/>
  <c r="T13"/>
  <c r="R13"/>
  <c r="W13" s="1"/>
  <c r="X13" s="1"/>
  <c r="Q13"/>
  <c r="V12"/>
  <c r="U12"/>
  <c r="T12"/>
  <c r="Q12"/>
  <c r="N12"/>
  <c r="R12" s="1"/>
  <c r="W12" s="1"/>
  <c r="S10"/>
  <c r="S30" s="1"/>
  <c r="R10"/>
  <c r="S37" s="1"/>
  <c r="U30" l="1"/>
  <c r="V30"/>
  <c r="T30"/>
  <c r="P18"/>
  <c r="Q18" s="1"/>
  <c r="G18"/>
  <c r="H18" s="1"/>
  <c r="N22"/>
  <c r="R22" s="1"/>
  <c r="W22" s="1"/>
  <c r="X22" s="1"/>
  <c r="M22"/>
  <c r="N26"/>
  <c r="R26" s="1"/>
  <c r="W26" s="1"/>
  <c r="X26" s="1"/>
  <c r="M26"/>
  <c r="P30"/>
  <c r="Q30" s="1"/>
  <c r="G30"/>
  <c r="H30" s="1"/>
  <c r="U37"/>
  <c r="V37"/>
  <c r="W37" s="1"/>
  <c r="X37" s="1"/>
  <c r="T37"/>
  <c r="X12"/>
  <c r="N16"/>
  <c r="R16" s="1"/>
  <c r="W16" s="1"/>
  <c r="X16" s="1"/>
  <c r="M16"/>
  <c r="N20"/>
  <c r="R20" s="1"/>
  <c r="W20" s="1"/>
  <c r="X20" s="1"/>
  <c r="M20"/>
  <c r="P24"/>
  <c r="Q24" s="1"/>
  <c r="G24"/>
  <c r="H24" s="1"/>
  <c r="N28"/>
  <c r="R28" s="1"/>
  <c r="W28" s="1"/>
  <c r="X28" s="1"/>
  <c r="M28"/>
  <c r="N32"/>
  <c r="R32" s="1"/>
  <c r="W32" s="1"/>
  <c r="X32" s="1"/>
  <c r="M32"/>
  <c r="S15"/>
  <c r="N17"/>
  <c r="R17" s="1"/>
  <c r="W17" s="1"/>
  <c r="X17" s="1"/>
  <c r="N19"/>
  <c r="R19" s="1"/>
  <c r="W19" s="1"/>
  <c r="X19" s="1"/>
  <c r="S21"/>
  <c r="N23"/>
  <c r="R23" s="1"/>
  <c r="W23" s="1"/>
  <c r="X23" s="1"/>
  <c r="N25"/>
  <c r="R25" s="1"/>
  <c r="W25" s="1"/>
  <c r="X25" s="1"/>
  <c r="S27"/>
  <c r="N29"/>
  <c r="R29" s="1"/>
  <c r="W29" s="1"/>
  <c r="X29" s="1"/>
  <c r="N31"/>
  <c r="R31" s="1"/>
  <c r="W31" s="1"/>
  <c r="X31" s="1"/>
  <c r="R34"/>
  <c r="W34" s="1"/>
  <c r="X34" s="1"/>
  <c r="R36"/>
  <c r="W36" s="1"/>
  <c r="X36" s="1"/>
  <c r="R14"/>
  <c r="W14" s="1"/>
  <c r="X14" s="1"/>
  <c r="G15"/>
  <c r="H15" s="1"/>
  <c r="S18"/>
  <c r="G21"/>
  <c r="H21" s="1"/>
  <c r="S24"/>
  <c r="G27"/>
  <c r="H27" s="1"/>
  <c r="R35"/>
  <c r="W35" s="1"/>
  <c r="X35" s="1"/>
  <c r="M27" l="1"/>
  <c r="N27"/>
  <c r="R27" s="1"/>
  <c r="M21"/>
  <c r="N21"/>
  <c r="R21" s="1"/>
  <c r="M15"/>
  <c r="N15"/>
  <c r="V21"/>
  <c r="T21"/>
  <c r="U21"/>
  <c r="N24"/>
  <c r="R24" s="1"/>
  <c r="M24"/>
  <c r="N30"/>
  <c r="R30" s="1"/>
  <c r="W30" s="1"/>
  <c r="X30" s="1"/>
  <c r="M30"/>
  <c r="N18"/>
  <c r="R18" s="1"/>
  <c r="M18"/>
  <c r="U24"/>
  <c r="V24"/>
  <c r="T24"/>
  <c r="U18"/>
  <c r="V18"/>
  <c r="T18"/>
  <c r="V27"/>
  <c r="T27"/>
  <c r="U27"/>
  <c r="V15"/>
  <c r="T15"/>
  <c r="U15"/>
  <c r="R15" l="1"/>
  <c r="W15" s="1"/>
  <c r="X15" s="1"/>
  <c r="N38"/>
  <c r="M38"/>
  <c r="B37" s="1"/>
  <c r="W18"/>
  <c r="X18" s="1"/>
  <c r="W24"/>
  <c r="X24" s="1"/>
  <c r="W21"/>
  <c r="X21" s="1"/>
  <c r="W27"/>
  <c r="X27" s="1"/>
  <c r="R38" l="1"/>
  <c r="P38"/>
  <c r="U38"/>
  <c r="S38"/>
  <c r="Q38"/>
  <c r="W38"/>
  <c r="T38"/>
  <c r="T39" s="1"/>
  <c r="V38"/>
  <c r="V39" s="1"/>
  <c r="X38"/>
  <c r="X39" l="1"/>
</calcChain>
</file>

<file path=xl/sharedStrings.xml><?xml version="1.0" encoding="utf-8"?>
<sst xmlns="http://schemas.openxmlformats.org/spreadsheetml/2006/main" count="67" uniqueCount="53">
  <si>
    <t>Equipment life</t>
  </si>
  <si>
    <t>Operating hours per year</t>
  </si>
  <si>
    <t>hours</t>
  </si>
  <si>
    <t>Labour Cost</t>
  </si>
  <si>
    <t>$/hr</t>
  </si>
  <si>
    <t>Power</t>
  </si>
  <si>
    <t>$/kw</t>
  </si>
  <si>
    <t>Unit length</t>
  </si>
  <si>
    <t>m</t>
  </si>
  <si>
    <t>Maintenance Cost</t>
  </si>
  <si>
    <t>$/hr/unit length</t>
  </si>
  <si>
    <t>Conveyor Calculations</t>
  </si>
  <si>
    <t>Conveyor Costs</t>
  </si>
  <si>
    <t>Conveyor</t>
  </si>
  <si>
    <t>Number</t>
  </si>
  <si>
    <t>Average Conveyor Capacity</t>
  </si>
  <si>
    <t>Design Conveyor Capacity</t>
  </si>
  <si>
    <t>Conveyor Speed</t>
  </si>
  <si>
    <t>Insitu Density</t>
  </si>
  <si>
    <t>Belt Width</t>
  </si>
  <si>
    <t>Belt Weight per metre</t>
  </si>
  <si>
    <t>Conveyor Length</t>
  </si>
  <si>
    <t>Conveyor Grade</t>
  </si>
  <si>
    <t>Idler Resistance</t>
  </si>
  <si>
    <t>Transfer Drop</t>
  </si>
  <si>
    <t>Installed Power</t>
  </si>
  <si>
    <t>Consumed Power</t>
  </si>
  <si>
    <t>Capital</t>
  </si>
  <si>
    <t>Lease</t>
  </si>
  <si>
    <t>Maintenance</t>
  </si>
  <si>
    <t>Manning</t>
  </si>
  <si>
    <t>Parts</t>
  </si>
  <si>
    <t>Operating Manning</t>
  </si>
  <si>
    <t>Total Costs</t>
  </si>
  <si>
    <t>tphr</t>
  </si>
  <si>
    <t>m/s</t>
  </si>
  <si>
    <t>t/m^3</t>
  </si>
  <si>
    <t>kg/m</t>
  </si>
  <si>
    <t>kw</t>
  </si>
  <si>
    <t>$M</t>
  </si>
  <si>
    <t>$/t</t>
  </si>
  <si>
    <t>Semi-Mobile Crusher CG-850</t>
  </si>
  <si>
    <t>Semi-Mobile Crusher</t>
  </si>
  <si>
    <t>150m Bridge</t>
  </si>
  <si>
    <t>150m Ramp</t>
  </si>
  <si>
    <t>300m Ramp</t>
  </si>
  <si>
    <t>600m Ramp</t>
  </si>
  <si>
    <t>1000m Fixed</t>
  </si>
  <si>
    <t>1000m Trackshiftable</t>
  </si>
  <si>
    <t>Spreader</t>
  </si>
  <si>
    <t>Other (power)</t>
  </si>
  <si>
    <t>Substations (5 MW)</t>
  </si>
  <si>
    <t>Personel</t>
  </si>
</sst>
</file>

<file path=xl/styles.xml><?xml version="1.0" encoding="utf-8"?>
<styleSheet xmlns="http://schemas.openxmlformats.org/spreadsheetml/2006/main">
  <numFmts count="14">
    <numFmt numFmtId="164" formatCode="_(* #,##0.00_);_(* \(#,##0.00\);_(* &quot;-&quot;??_);_(@_)"/>
    <numFmt numFmtId="165" formatCode="_(* #,##0_);_(* \(#,##0\);_(* &quot;-&quot;??_);_(@_)"/>
    <numFmt numFmtId="166" formatCode="0.0"/>
    <numFmt numFmtId="167" formatCode="#,##0.000"/>
    <numFmt numFmtId="168" formatCode="#,##0.0"/>
    <numFmt numFmtId="169" formatCode="_(&quot;$&quot;* #,##0.00_);_(&quot;$&quot;* \(#,##0.00\);_(&quot;$&quot;* &quot;-&quot;??_);_(@_)"/>
    <numFmt numFmtId="170" formatCode="m/d/yy\ h:mm"/>
    <numFmt numFmtId="171" formatCode="_-* #,##0.00\ [$€-1]_-;\-* #,##0.00\ [$€-1]_-;_-* &quot;-&quot;??\ [$€-1]_-"/>
    <numFmt numFmtId="172" formatCode="General_)"/>
    <numFmt numFmtId="173" formatCode="0.000;\(0.000\);0.000"/>
    <numFmt numFmtId="174" formatCode="&quot;Ch$&quot;#,##0.00_);\(&quot;Ch$&quot;#,##0.00\)"/>
    <numFmt numFmtId="175" formatCode="&quot;Ch$&quot;#,##0_);\(&quot;Ch$&quot;#,##0\)"/>
    <numFmt numFmtId="176" formatCode="0.0000%"/>
    <numFmt numFmtId="177" formatCode="m/d/yy\ h:mm:ss"/>
  </numFmts>
  <fonts count="3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0"/>
      <color indexed="24"/>
      <name val="Arial"/>
      <family val="2"/>
    </font>
    <font>
      <sz val="9"/>
      <name val="Arial"/>
      <family val="2"/>
    </font>
    <font>
      <sz val="14"/>
      <name val="Arial"/>
      <family val="2"/>
    </font>
    <font>
      <sz val="6"/>
      <name val="Arial"/>
      <family val="2"/>
    </font>
    <font>
      <sz val="6"/>
      <name val="Times New Roman"/>
      <family val="1"/>
    </font>
    <font>
      <sz val="12"/>
      <name val="Times New Roman"/>
      <family val="1"/>
    </font>
    <font>
      <sz val="5"/>
      <name val="Times New Roman"/>
      <family val="1"/>
    </font>
    <font>
      <b/>
      <sz val="10"/>
      <name val="Courier New"/>
      <family val="3"/>
    </font>
    <font>
      <sz val="9"/>
      <color indexed="9"/>
      <name val="Helv"/>
    </font>
    <font>
      <sz val="10"/>
      <name val="Courier"/>
      <family val="3"/>
    </font>
    <font>
      <sz val="8"/>
      <name val="Helv"/>
    </font>
    <font>
      <sz val="10"/>
      <name val="Helv"/>
    </font>
    <font>
      <b/>
      <i/>
      <sz val="10"/>
      <color indexed="8"/>
      <name val="Arial"/>
      <family val="2"/>
    </font>
    <font>
      <b/>
      <sz val="10"/>
      <color indexed="9"/>
      <name val="Arial"/>
      <family val="2"/>
    </font>
    <font>
      <b/>
      <sz val="11"/>
      <color indexed="21"/>
      <name val="Arial"/>
      <family val="2"/>
    </font>
    <font>
      <b/>
      <sz val="22"/>
      <color indexed="21"/>
      <name val="Times New Roman"/>
      <family val="1"/>
    </font>
    <font>
      <i/>
      <sz val="10"/>
      <name val="Arial"/>
      <family val="2"/>
    </font>
    <font>
      <b/>
      <sz val="9"/>
      <name val="Arial"/>
      <family val="2"/>
    </font>
    <font>
      <sz val="18"/>
      <name val="Arial"/>
      <family val="2"/>
    </font>
    <font>
      <sz val="10"/>
      <name val="MS Sans Serif"/>
      <family val="2"/>
    </font>
    <font>
      <sz val="9"/>
      <name val="Helvetica-Black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9"/>
      </patternFill>
    </fill>
  </fills>
  <borders count="7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thick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520">
    <xf numFmtId="0" fontId="0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6" fillId="0" borderId="0"/>
    <xf numFmtId="0" fontId="2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3" fontId="10" fillId="0" borderId="0" applyFont="0" applyFill="0" applyBorder="0" applyAlignment="0" applyProtection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71" fontId="11" fillId="0" borderId="0" applyFont="0" applyFill="0" applyBorder="0" applyAlignment="0" applyProtection="0"/>
    <xf numFmtId="3" fontId="2" fillId="0" borderId="0" applyFill="0" applyBorder="0" applyAlignment="0" applyProtection="0"/>
    <xf numFmtId="3" fontId="12" fillId="0" borderId="0" applyFill="0" applyBorder="0" applyAlignment="0" applyProtection="0"/>
    <xf numFmtId="3" fontId="13" fillId="0" borderId="0" applyFill="0" applyBorder="0" applyAlignment="0" applyProtection="0"/>
    <xf numFmtId="3" fontId="14" fillId="0" borderId="0" applyFill="0" applyBorder="0" applyAlignment="0" applyProtection="0"/>
    <xf numFmtId="3" fontId="14" fillId="0" borderId="0" applyFill="0" applyBorder="0" applyAlignment="0" applyProtection="0"/>
    <xf numFmtId="3" fontId="15" fillId="0" borderId="0" applyFill="0" applyBorder="0" applyAlignment="0" applyProtection="0"/>
    <xf numFmtId="3" fontId="16" fillId="0" borderId="0" applyFill="0" applyBorder="0" applyAlignment="0" applyProtection="0"/>
    <xf numFmtId="0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2" fontId="10" fillId="0" borderId="0" applyFont="0" applyFill="0" applyBorder="0" applyAlignment="0" applyProtection="0"/>
    <xf numFmtId="0" fontId="17" fillId="0" borderId="28" applyNumberFormat="0">
      <alignment horizontal="right"/>
    </xf>
    <xf numFmtId="164" fontId="2" fillId="0" borderId="0" applyFont="0" applyFill="0" applyBorder="0" applyAlignment="0" applyProtection="0"/>
    <xf numFmtId="172" fontId="18" fillId="0" borderId="0" applyFont="0" applyProtection="0">
      <protection hidden="1"/>
    </xf>
    <xf numFmtId="173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1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6" fillId="0" borderId="0"/>
    <xf numFmtId="172" fontId="1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1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0" fontId="6" fillId="5" borderId="55" applyNumberFormat="0" applyFont="0" applyAlignment="0" applyProtection="0"/>
    <xf numFmtId="40" fontId="5" fillId="6" borderId="0">
      <alignment horizontal="right"/>
    </xf>
    <xf numFmtId="0" fontId="22" fillId="7" borderId="0">
      <alignment horizontal="center"/>
    </xf>
    <xf numFmtId="0" fontId="23" fillId="8" borderId="56"/>
    <xf numFmtId="0" fontId="24" fillId="0" borderId="0" applyBorder="0">
      <alignment horizontal="centerContinuous"/>
    </xf>
    <xf numFmtId="0" fontId="25" fillId="0" borderId="0" applyBorder="0">
      <alignment horizontal="centerContinuous"/>
    </xf>
    <xf numFmtId="10" fontId="2" fillId="0" borderId="0" applyFill="0" applyBorder="0" applyAlignment="0" applyProtection="0"/>
    <xf numFmtId="168" fontId="2" fillId="0" borderId="0" applyFill="0" applyBorder="0" applyAlignment="0" applyProtection="0"/>
    <xf numFmtId="3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0" fontId="2" fillId="0" borderId="57" applyNumberFormat="0" applyFont="0" applyFill="0" applyAlignment="0" applyProtection="0"/>
    <xf numFmtId="0" fontId="2" fillId="0" borderId="58" applyNumberFormat="0" applyFont="0" applyFill="0" applyAlignment="0" applyProtection="0"/>
    <xf numFmtId="0" fontId="2" fillId="0" borderId="59" applyNumberFormat="0" applyFont="0" applyFill="0" applyAlignment="0" applyProtection="0"/>
    <xf numFmtId="0" fontId="2" fillId="0" borderId="60" applyNumberFormat="0" applyFont="0" applyFill="0" applyAlignment="0" applyProtection="0"/>
    <xf numFmtId="0" fontId="2" fillId="0" borderId="61" applyNumberFormat="0" applyFont="0" applyFill="0" applyAlignment="0" applyProtection="0"/>
    <xf numFmtId="0" fontId="2" fillId="9" borderId="0" applyNumberFormat="0" applyFont="0" applyBorder="0" applyAlignment="0" applyProtection="0"/>
    <xf numFmtId="0" fontId="2" fillId="0" borderId="62" applyNumberFormat="0" applyFont="0" applyFill="0" applyAlignment="0" applyProtection="0"/>
    <xf numFmtId="0" fontId="2" fillId="0" borderId="63" applyNumberFormat="0" applyFont="0" applyFill="0" applyAlignment="0" applyProtection="0"/>
    <xf numFmtId="46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2" fillId="0" borderId="64" applyNumberFormat="0" applyFont="0" applyFill="0" applyAlignment="0" applyProtection="0"/>
    <xf numFmtId="0" fontId="2" fillId="0" borderId="65" applyNumberFormat="0" applyFont="0" applyFill="0" applyAlignment="0" applyProtection="0"/>
    <xf numFmtId="0" fontId="2" fillId="0" borderId="55" applyNumberFormat="0" applyFont="0" applyFill="0" applyAlignment="0" applyProtection="0"/>
    <xf numFmtId="0" fontId="2" fillId="0" borderId="66" applyNumberFormat="0" applyFont="0" applyFill="0" applyAlignment="0" applyProtection="0"/>
    <xf numFmtId="0" fontId="2" fillId="0" borderId="55" applyNumberFormat="0" applyFont="0" applyFill="0" applyAlignment="0" applyProtection="0"/>
    <xf numFmtId="0" fontId="2" fillId="0" borderId="0" applyNumberFormat="0" applyFont="0" applyFill="0" applyBorder="0" applyProtection="0">
      <alignment horizontal="center"/>
    </xf>
    <xf numFmtId="0" fontId="12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Protection="0">
      <alignment horizontal="left"/>
    </xf>
    <xf numFmtId="0" fontId="2" fillId="9" borderId="0" applyNumberFormat="0" applyFont="0" applyBorder="0" applyAlignment="0" applyProtection="0"/>
    <xf numFmtId="0" fontId="2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67" applyNumberFormat="0" applyFont="0" applyFill="0" applyAlignment="0" applyProtection="0"/>
    <xf numFmtId="0" fontId="2" fillId="0" borderId="68" applyNumberFormat="0" applyFont="0" applyFill="0" applyAlignment="0" applyProtection="0"/>
    <xf numFmtId="177" fontId="2" fillId="0" borderId="0" applyFont="0" applyFill="0" applyBorder="0" applyAlignment="0" applyProtection="0"/>
    <xf numFmtId="0" fontId="2" fillId="0" borderId="69" applyNumberFormat="0" applyFont="0" applyFill="0" applyAlignment="0" applyProtection="0"/>
    <xf numFmtId="0" fontId="2" fillId="0" borderId="70" applyNumberFormat="0" applyFont="0" applyFill="0" applyAlignment="0" applyProtection="0"/>
    <xf numFmtId="0" fontId="2" fillId="0" borderId="71" applyNumberFormat="0" applyFont="0" applyFill="0" applyAlignment="0" applyProtection="0"/>
    <xf numFmtId="0" fontId="2" fillId="0" borderId="72" applyNumberFormat="0" applyFont="0" applyFill="0" applyAlignment="0" applyProtection="0"/>
    <xf numFmtId="0" fontId="2" fillId="0" borderId="73" applyNumberFormat="0" applyFont="0" applyFill="0" applyAlignment="0" applyProtection="0"/>
    <xf numFmtId="40" fontId="29" fillId="0" borderId="0" applyFont="0" applyFill="0" applyBorder="0" applyAlignment="0" applyProtection="0"/>
    <xf numFmtId="0" fontId="1" fillId="0" borderId="0"/>
    <xf numFmtId="0" fontId="30" fillId="0" borderId="0" applyFill="0" applyBorder="0" applyProtection="0">
      <alignment horizontal="left"/>
    </xf>
  </cellStyleXfs>
  <cellXfs count="160">
    <xf numFmtId="0" fontId="0" fillId="0" borderId="0" xfId="0"/>
    <xf numFmtId="0" fontId="2" fillId="0" borderId="0" xfId="0" applyFont="1"/>
    <xf numFmtId="3" fontId="0" fillId="0" borderId="0" xfId="0" applyNumberFormat="1"/>
    <xf numFmtId="165" fontId="2" fillId="0" borderId="0" xfId="1" applyNumberFormat="1" applyFont="1"/>
    <xf numFmtId="165" fontId="0" fillId="0" borderId="0" xfId="1" applyNumberFormat="1" applyFont="1"/>
    <xf numFmtId="165" fontId="0" fillId="0" borderId="0" xfId="1" applyNumberFormat="1" applyFont="1" applyBorder="1"/>
    <xf numFmtId="4" fontId="0" fillId="0" borderId="0" xfId="0" applyNumberForma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 vertical="center" textRotation="90"/>
    </xf>
    <xf numFmtId="0" fontId="2" fillId="0" borderId="5" xfId="0" applyFont="1" applyBorder="1" applyAlignment="1">
      <alignment horizontal="center" vertical="center" textRotation="90"/>
    </xf>
    <xf numFmtId="0" fontId="2" fillId="0" borderId="6" xfId="0" applyFont="1" applyBorder="1" applyAlignment="1">
      <alignment horizontal="center" vertical="center" textRotation="90"/>
    </xf>
    <xf numFmtId="0" fontId="2" fillId="0" borderId="5" xfId="0" applyFont="1" applyFill="1" applyBorder="1" applyAlignment="1">
      <alignment horizontal="center" vertical="center" textRotation="90"/>
    </xf>
    <xf numFmtId="165" fontId="2" fillId="0" borderId="7" xfId="1" applyNumberFormat="1" applyFont="1" applyBorder="1" applyAlignment="1">
      <alignment horizontal="center" vertical="center" textRotation="90"/>
    </xf>
    <xf numFmtId="165" fontId="3" fillId="0" borderId="8" xfId="1" applyNumberFormat="1" applyFont="1" applyFill="1" applyBorder="1" applyAlignment="1">
      <alignment horizontal="center" vertical="center" textRotation="90"/>
    </xf>
    <xf numFmtId="165" fontId="3" fillId="0" borderId="9" xfId="1" applyNumberFormat="1" applyFont="1" applyFill="1" applyBorder="1" applyAlignment="1">
      <alignment horizontal="center" vertical="center" textRotation="90"/>
    </xf>
    <xf numFmtId="165" fontId="3" fillId="0" borderId="1" xfId="1" applyNumberFormat="1" applyFont="1" applyFill="1" applyBorder="1" applyAlignment="1">
      <alignment horizontal="center" vertical="center" textRotation="90"/>
    </xf>
    <xf numFmtId="165" fontId="3" fillId="0" borderId="10" xfId="1" applyNumberFormat="1" applyFont="1" applyFill="1" applyBorder="1" applyAlignment="1">
      <alignment horizontal="center" vertical="center" textRotation="90"/>
    </xf>
    <xf numFmtId="165" fontId="3" fillId="0" borderId="2" xfId="1" applyNumberFormat="1" applyFont="1" applyFill="1" applyBorder="1" applyAlignment="1">
      <alignment horizontal="center" vertical="center" textRotation="90"/>
    </xf>
    <xf numFmtId="165" fontId="3" fillId="0" borderId="11" xfId="1" applyNumberFormat="1" applyFont="1" applyFill="1" applyBorder="1" applyAlignment="1">
      <alignment horizontal="center" vertical="center" textRotation="90"/>
    </xf>
    <xf numFmtId="165" fontId="2" fillId="0" borderId="12" xfId="1" applyNumberFormat="1" applyFont="1" applyFill="1" applyBorder="1" applyAlignment="1">
      <alignment horizontal="center" vertical="center" textRotation="90"/>
    </xf>
    <xf numFmtId="165" fontId="2" fillId="0" borderId="10" xfId="1" applyNumberFormat="1" applyFont="1" applyFill="1" applyBorder="1" applyAlignment="1">
      <alignment horizontal="center" vertical="center" textRotation="90"/>
    </xf>
    <xf numFmtId="165" fontId="3" fillId="0" borderId="13" xfId="1" applyNumberFormat="1" applyFont="1" applyFill="1" applyBorder="1" applyAlignment="1">
      <alignment horizontal="center" vertical="center" textRotation="90"/>
    </xf>
    <xf numFmtId="2" fontId="2" fillId="0" borderId="5" xfId="0" applyNumberFormat="1" applyFont="1" applyBorder="1" applyAlignment="1">
      <alignment horizontal="center"/>
    </xf>
    <xf numFmtId="165" fontId="3" fillId="0" borderId="4" xfId="1" applyNumberFormat="1" applyFont="1" applyFill="1" applyBorder="1" applyAlignment="1">
      <alignment horizontal="center" vertical="center" textRotation="90"/>
    </xf>
    <xf numFmtId="2" fontId="0" fillId="0" borderId="14" xfId="0" applyNumberFormat="1" applyBorder="1" applyAlignment="1">
      <alignment horizontal="center"/>
    </xf>
    <xf numFmtId="9" fontId="3" fillId="2" borderId="15" xfId="2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/>
    </xf>
    <xf numFmtId="1" fontId="3" fillId="2" borderId="16" xfId="0" applyNumberFormat="1" applyFont="1" applyFill="1" applyBorder="1" applyAlignment="1">
      <alignment horizontal="center"/>
    </xf>
    <xf numFmtId="9" fontId="3" fillId="2" borderId="17" xfId="2" applyFont="1" applyFill="1" applyBorder="1" applyAlignment="1">
      <alignment horizontal="center"/>
    </xf>
    <xf numFmtId="9" fontId="3" fillId="2" borderId="7" xfId="2" applyFont="1" applyFill="1" applyBorder="1" applyAlignment="1">
      <alignment horizontal="center"/>
    </xf>
    <xf numFmtId="9" fontId="3" fillId="2" borderId="8" xfId="2" applyFont="1" applyFill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165" fontId="2" fillId="0" borderId="22" xfId="1" applyNumberFormat="1" applyFont="1" applyBorder="1" applyAlignment="1">
      <alignment horizontal="center"/>
    </xf>
    <xf numFmtId="165" fontId="2" fillId="0" borderId="23" xfId="1" applyNumberFormat="1" applyFont="1" applyBorder="1" applyAlignment="1">
      <alignment horizontal="center"/>
    </xf>
    <xf numFmtId="165" fontId="2" fillId="0" borderId="0" xfId="1" applyNumberFormat="1" applyFont="1" applyBorder="1" applyAlignment="1">
      <alignment horizontal="center"/>
    </xf>
    <xf numFmtId="0" fontId="0" fillId="0" borderId="24" xfId="0" applyFont="1" applyFill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0" fontId="0" fillId="0" borderId="25" xfId="0" applyFont="1" applyFill="1" applyBorder="1" applyAlignment="1">
      <alignment horizontal="center"/>
    </xf>
    <xf numFmtId="0" fontId="0" fillId="0" borderId="19" xfId="0" applyFont="1" applyFill="1" applyBorder="1" applyAlignment="1">
      <alignment horizontal="center"/>
    </xf>
    <xf numFmtId="0" fontId="0" fillId="0" borderId="26" xfId="0" applyFont="1" applyFill="1" applyBorder="1" applyAlignment="1">
      <alignment horizontal="center"/>
    </xf>
    <xf numFmtId="0" fontId="0" fillId="0" borderId="23" xfId="0" applyFont="1" applyFill="1" applyBorder="1" applyAlignment="1">
      <alignment horizontal="center"/>
    </xf>
    <xf numFmtId="0" fontId="2" fillId="0" borderId="26" xfId="0" applyFont="1" applyFill="1" applyBorder="1" applyAlignment="1">
      <alignment horizontal="center"/>
    </xf>
    <xf numFmtId="0" fontId="3" fillId="0" borderId="27" xfId="0" applyFont="1" applyBorder="1"/>
    <xf numFmtId="0" fontId="3" fillId="0" borderId="28" xfId="0" applyFont="1" applyBorder="1"/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2" fontId="3" fillId="0" borderId="28" xfId="0" applyNumberFormat="1" applyFont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3" fillId="0" borderId="30" xfId="0" applyFont="1" applyFill="1" applyBorder="1" applyAlignment="1">
      <alignment horizontal="center"/>
    </xf>
    <xf numFmtId="3" fontId="3" fillId="0" borderId="31" xfId="1" quotePrefix="1" applyNumberFormat="1" applyFont="1" applyBorder="1" applyAlignment="1">
      <alignment horizontal="center"/>
    </xf>
    <xf numFmtId="3" fontId="3" fillId="0" borderId="32" xfId="1" quotePrefix="1" applyNumberFormat="1" applyFont="1" applyBorder="1" applyAlignment="1">
      <alignment horizontal="center"/>
    </xf>
    <xf numFmtId="165" fontId="3" fillId="0" borderId="0" xfId="1" applyNumberFormat="1" applyFont="1" applyBorder="1" applyAlignment="1">
      <alignment horizontal="center"/>
    </xf>
    <xf numFmtId="166" fontId="3" fillId="0" borderId="33" xfId="0" applyNumberFormat="1" applyFont="1" applyFill="1" applyBorder="1" applyAlignment="1">
      <alignment horizontal="center"/>
    </xf>
    <xf numFmtId="3" fontId="3" fillId="0" borderId="31" xfId="0" applyNumberFormat="1" applyFont="1" applyFill="1" applyBorder="1" applyAlignment="1">
      <alignment horizontal="center"/>
    </xf>
    <xf numFmtId="3" fontId="3" fillId="0" borderId="34" xfId="0" applyNumberFormat="1" applyFont="1" applyFill="1" applyBorder="1" applyAlignment="1">
      <alignment horizontal="center"/>
    </xf>
    <xf numFmtId="0" fontId="3" fillId="2" borderId="35" xfId="0" applyFont="1" applyFill="1" applyBorder="1" applyAlignment="1">
      <alignment horizontal="center"/>
    </xf>
    <xf numFmtId="0" fontId="2" fillId="0" borderId="36" xfId="0" applyFont="1" applyFill="1" applyBorder="1" applyAlignment="1">
      <alignment horizontal="center"/>
    </xf>
    <xf numFmtId="0" fontId="2" fillId="0" borderId="37" xfId="0" applyFont="1" applyFill="1" applyBorder="1" applyAlignment="1">
      <alignment horizontal="center"/>
    </xf>
    <xf numFmtId="0" fontId="2" fillId="0" borderId="38" xfId="0" applyFont="1" applyFill="1" applyBorder="1" applyAlignment="1">
      <alignment horizontal="center"/>
    </xf>
    <xf numFmtId="3" fontId="3" fillId="0" borderId="32" xfId="0" applyNumberFormat="1" applyFont="1" applyFill="1" applyBorder="1" applyAlignment="1">
      <alignment horizontal="center"/>
    </xf>
    <xf numFmtId="167" fontId="3" fillId="0" borderId="39" xfId="0" applyNumberFormat="1" applyFont="1" applyFill="1" applyBorder="1" applyAlignment="1">
      <alignment horizontal="center"/>
    </xf>
    <xf numFmtId="0" fontId="2" fillId="0" borderId="27" xfId="0" applyFont="1" applyBorder="1"/>
    <xf numFmtId="0" fontId="2" fillId="0" borderId="28" xfId="0" applyFont="1" applyBorder="1"/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2" fillId="0" borderId="28" xfId="0" applyFont="1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3" fontId="2" fillId="2" borderId="31" xfId="1" quotePrefix="1" applyNumberFormat="1" applyFont="1" applyFill="1" applyBorder="1" applyAlignment="1">
      <alignment horizontal="center"/>
    </xf>
    <xf numFmtId="3" fontId="3" fillId="2" borderId="32" xfId="1" quotePrefix="1" applyNumberFormat="1" applyFont="1" applyFill="1" applyBorder="1" applyAlignment="1">
      <alignment horizontal="center"/>
    </xf>
    <xf numFmtId="166" fontId="3" fillId="2" borderId="33" xfId="0" applyNumberFormat="1" applyFont="1" applyFill="1" applyBorder="1" applyAlignment="1">
      <alignment horizontal="center"/>
    </xf>
    <xf numFmtId="3" fontId="2" fillId="0" borderId="31" xfId="0" applyNumberFormat="1" applyFont="1" applyFill="1" applyBorder="1" applyAlignment="1">
      <alignment horizontal="center"/>
    </xf>
    <xf numFmtId="3" fontId="2" fillId="0" borderId="34" xfId="0" applyNumberFormat="1" applyFont="1" applyFill="1" applyBorder="1" applyAlignment="1">
      <alignment horizontal="center"/>
    </xf>
    <xf numFmtId="3" fontId="2" fillId="0" borderId="32" xfId="0" applyNumberFormat="1" applyFont="1" applyFill="1" applyBorder="1" applyAlignment="1">
      <alignment horizontal="center"/>
    </xf>
    <xf numFmtId="167" fontId="2" fillId="0" borderId="39" xfId="0" applyNumberFormat="1" applyFont="1" applyFill="1" applyBorder="1" applyAlignment="1">
      <alignment horizontal="center"/>
    </xf>
    <xf numFmtId="3" fontId="3" fillId="3" borderId="28" xfId="1" applyNumberFormat="1" applyFont="1" applyFill="1" applyBorder="1" applyAlignment="1">
      <alignment horizontal="center"/>
    </xf>
    <xf numFmtId="3" fontId="3" fillId="3" borderId="29" xfId="1" applyNumberFormat="1" applyFont="1" applyFill="1" applyBorder="1" applyAlignment="1">
      <alignment horizontal="center"/>
    </xf>
    <xf numFmtId="168" fontId="3" fillId="0" borderId="28" xfId="1" applyNumberFormat="1" applyFont="1" applyFill="1" applyBorder="1" applyAlignment="1">
      <alignment horizontal="center"/>
    </xf>
    <xf numFmtId="3" fontId="4" fillId="0" borderId="28" xfId="1" applyNumberFormat="1" applyFont="1" applyFill="1" applyBorder="1" applyAlignment="1">
      <alignment horizontal="center"/>
    </xf>
    <xf numFmtId="9" fontId="3" fillId="3" borderId="28" xfId="2" applyFont="1" applyFill="1" applyBorder="1" applyAlignment="1">
      <alignment horizontal="center"/>
    </xf>
    <xf numFmtId="9" fontId="3" fillId="0" borderId="28" xfId="2" applyFont="1" applyFill="1" applyBorder="1" applyAlignment="1">
      <alignment horizontal="center"/>
    </xf>
    <xf numFmtId="168" fontId="3" fillId="0" borderId="30" xfId="1" applyNumberFormat="1" applyFont="1" applyFill="1" applyBorder="1" applyAlignment="1">
      <alignment horizontal="center"/>
    </xf>
    <xf numFmtId="3" fontId="3" fillId="0" borderId="0" xfId="1" quotePrefix="1" applyNumberFormat="1" applyFont="1" applyBorder="1" applyAlignment="1">
      <alignment horizontal="center"/>
    </xf>
    <xf numFmtId="168" fontId="3" fillId="2" borderId="40" xfId="0" applyNumberFormat="1" applyFont="1" applyFill="1" applyBorder="1" applyAlignment="1">
      <alignment horizontal="center"/>
    </xf>
    <xf numFmtId="3" fontId="3" fillId="2" borderId="40" xfId="0" applyNumberFormat="1" applyFont="1" applyFill="1" applyBorder="1" applyAlignment="1">
      <alignment horizontal="center"/>
    </xf>
    <xf numFmtId="0" fontId="3" fillId="0" borderId="0" xfId="0" applyFont="1"/>
    <xf numFmtId="0" fontId="0" fillId="0" borderId="27" xfId="0" applyBorder="1"/>
    <xf numFmtId="0" fontId="0" fillId="0" borderId="28" xfId="0" applyBorder="1"/>
    <xf numFmtId="3" fontId="2" fillId="3" borderId="28" xfId="1" applyNumberFormat="1" applyFont="1" applyFill="1" applyBorder="1" applyAlignment="1">
      <alignment horizontal="center"/>
    </xf>
    <xf numFmtId="3" fontId="2" fillId="3" borderId="29" xfId="1" applyNumberFormat="1" applyFont="1" applyFill="1" applyBorder="1" applyAlignment="1">
      <alignment horizontal="center"/>
    </xf>
    <xf numFmtId="168" fontId="2" fillId="0" borderId="28" xfId="1" applyNumberFormat="1" applyFont="1" applyFill="1" applyBorder="1" applyAlignment="1">
      <alignment horizontal="center"/>
    </xf>
    <xf numFmtId="168" fontId="1" fillId="0" borderId="28" xfId="1" applyNumberFormat="1" applyFont="1" applyFill="1" applyBorder="1" applyAlignment="1">
      <alignment horizontal="center"/>
    </xf>
    <xf numFmtId="3" fontId="5" fillId="0" borderId="28" xfId="1" applyNumberFormat="1" applyFont="1" applyFill="1" applyBorder="1" applyAlignment="1">
      <alignment horizontal="center"/>
    </xf>
    <xf numFmtId="9" fontId="2" fillId="3" borderId="28" xfId="2" applyFont="1" applyFill="1" applyBorder="1" applyAlignment="1">
      <alignment horizontal="center"/>
    </xf>
    <xf numFmtId="9" fontId="1" fillId="0" borderId="28" xfId="2" applyFont="1" applyFill="1" applyBorder="1" applyAlignment="1">
      <alignment horizontal="center"/>
    </xf>
    <xf numFmtId="168" fontId="1" fillId="0" borderId="30" xfId="1" applyNumberFormat="1" applyFont="1" applyFill="1" applyBorder="1" applyAlignment="1">
      <alignment horizontal="center"/>
    </xf>
    <xf numFmtId="3" fontId="2" fillId="0" borderId="31" xfId="1" quotePrefix="1" applyNumberFormat="1" applyFont="1" applyBorder="1" applyAlignment="1">
      <alignment horizontal="center"/>
    </xf>
    <xf numFmtId="3" fontId="2" fillId="0" borderId="32" xfId="1" quotePrefix="1" applyNumberFormat="1" applyFont="1" applyBorder="1" applyAlignment="1">
      <alignment horizontal="center"/>
    </xf>
    <xf numFmtId="3" fontId="3" fillId="0" borderId="41" xfId="0" applyNumberFormat="1" applyFont="1" applyFill="1" applyBorder="1" applyAlignment="1">
      <alignment horizontal="center"/>
    </xf>
    <xf numFmtId="167" fontId="3" fillId="0" borderId="42" xfId="0" applyNumberFormat="1" applyFont="1" applyFill="1" applyBorder="1" applyAlignment="1">
      <alignment horizontal="center"/>
    </xf>
    <xf numFmtId="3" fontId="3" fillId="2" borderId="33" xfId="0" applyNumberFormat="1" applyFont="1" applyFill="1" applyBorder="1" applyAlignment="1">
      <alignment horizontal="center"/>
    </xf>
    <xf numFmtId="0" fontId="2" fillId="0" borderId="43" xfId="0" applyFont="1" applyBorder="1"/>
    <xf numFmtId="0" fontId="3" fillId="0" borderId="43" xfId="0" applyFont="1" applyBorder="1"/>
    <xf numFmtId="0" fontId="3" fillId="0" borderId="44" xfId="0" applyFont="1" applyBorder="1"/>
    <xf numFmtId="3" fontId="2" fillId="3" borderId="45" xfId="1" applyNumberFormat="1" applyFont="1" applyFill="1" applyBorder="1" applyAlignment="1">
      <alignment horizontal="center"/>
    </xf>
    <xf numFmtId="168" fontId="2" fillId="0" borderId="44" xfId="1" applyNumberFormat="1" applyFont="1" applyFill="1" applyBorder="1" applyAlignment="1">
      <alignment horizontal="center"/>
    </xf>
    <xf numFmtId="168" fontId="1" fillId="0" borderId="44" xfId="1" applyNumberFormat="1" applyFont="1" applyFill="1" applyBorder="1" applyAlignment="1">
      <alignment horizontal="center"/>
    </xf>
    <xf numFmtId="3" fontId="5" fillId="0" borderId="44" xfId="1" applyNumberFormat="1" applyFont="1" applyFill="1" applyBorder="1" applyAlignment="1">
      <alignment horizontal="center"/>
    </xf>
    <xf numFmtId="0" fontId="3" fillId="0" borderId="44" xfId="0" applyFont="1" applyBorder="1" applyAlignment="1">
      <alignment horizontal="center"/>
    </xf>
    <xf numFmtId="9" fontId="1" fillId="0" borderId="44" xfId="2" applyFont="1" applyFill="1" applyBorder="1" applyAlignment="1">
      <alignment horizontal="center"/>
    </xf>
    <xf numFmtId="168" fontId="1" fillId="0" borderId="46" xfId="1" applyNumberFormat="1" applyFont="1" applyFill="1" applyBorder="1" applyAlignment="1">
      <alignment horizontal="center"/>
    </xf>
    <xf numFmtId="3" fontId="2" fillId="2" borderId="47" xfId="1" quotePrefix="1" applyNumberFormat="1" applyFont="1" applyFill="1" applyBorder="1" applyAlignment="1">
      <alignment horizontal="center"/>
    </xf>
    <xf numFmtId="3" fontId="3" fillId="2" borderId="48" xfId="1" quotePrefix="1" applyNumberFormat="1" applyFont="1" applyFill="1" applyBorder="1" applyAlignment="1">
      <alignment horizontal="center"/>
    </xf>
    <xf numFmtId="166" fontId="3" fillId="4" borderId="14" xfId="0" applyNumberFormat="1" applyFont="1" applyFill="1" applyBorder="1" applyAlignment="1">
      <alignment horizontal="center"/>
    </xf>
    <xf numFmtId="3" fontId="2" fillId="4" borderId="31" xfId="0" applyNumberFormat="1" applyFont="1" applyFill="1" applyBorder="1" applyAlignment="1">
      <alignment horizontal="center"/>
    </xf>
    <xf numFmtId="0" fontId="3" fillId="0" borderId="49" xfId="0" applyFont="1" applyBorder="1"/>
    <xf numFmtId="0" fontId="3" fillId="0" borderId="50" xfId="0" applyFont="1" applyBorder="1"/>
    <xf numFmtId="3" fontId="3" fillId="3" borderId="50" xfId="1" applyNumberFormat="1" applyFont="1" applyFill="1" applyBorder="1" applyAlignment="1">
      <alignment horizontal="center"/>
    </xf>
    <xf numFmtId="0" fontId="3" fillId="0" borderId="51" xfId="0" applyFont="1" applyBorder="1" applyAlignment="1">
      <alignment horizontal="center"/>
    </xf>
    <xf numFmtId="0" fontId="3" fillId="0" borderId="50" xfId="0" applyFont="1" applyBorder="1" applyAlignment="1">
      <alignment horizontal="center"/>
    </xf>
    <xf numFmtId="0" fontId="3" fillId="0" borderId="50" xfId="0" applyFont="1" applyFill="1" applyBorder="1" applyAlignment="1">
      <alignment horizontal="center"/>
    </xf>
    <xf numFmtId="0" fontId="3" fillId="0" borderId="52" xfId="0" applyFont="1" applyFill="1" applyBorder="1" applyAlignment="1">
      <alignment horizontal="center"/>
    </xf>
    <xf numFmtId="3" fontId="2" fillId="4" borderId="47" xfId="1" quotePrefix="1" applyNumberFormat="1" applyFont="1" applyFill="1" applyBorder="1" applyAlignment="1">
      <alignment horizontal="center"/>
    </xf>
    <xf numFmtId="3" fontId="3" fillId="4" borderId="48" xfId="1" quotePrefix="1" applyNumberFormat="1" applyFont="1" applyFill="1" applyBorder="1" applyAlignment="1">
      <alignment horizontal="center"/>
    </xf>
    <xf numFmtId="168" fontId="3" fillId="2" borderId="53" xfId="0" applyNumberFormat="1" applyFont="1" applyFill="1" applyBorder="1" applyAlignment="1">
      <alignment horizontal="center"/>
    </xf>
    <xf numFmtId="3" fontId="3" fillId="4" borderId="34" xfId="0" applyNumberFormat="1" applyFont="1" applyFill="1" applyBorder="1" applyAlignment="1">
      <alignment horizontal="center"/>
    </xf>
    <xf numFmtId="3" fontId="3" fillId="2" borderId="49" xfId="0" applyNumberFormat="1" applyFont="1" applyFill="1" applyBorder="1" applyAlignment="1">
      <alignment horizontal="center"/>
    </xf>
    <xf numFmtId="0" fontId="0" fillId="0" borderId="0" xfId="0" applyFill="1" applyBorder="1"/>
    <xf numFmtId="3" fontId="2" fillId="0" borderId="0" xfId="1" applyNumberFormat="1" applyFont="1" applyFill="1" applyBorder="1"/>
    <xf numFmtId="3" fontId="1" fillId="0" borderId="0" xfId="1" applyNumberFormat="1" applyFont="1" applyFill="1" applyBorder="1"/>
    <xf numFmtId="3" fontId="5" fillId="0" borderId="0" xfId="1" applyNumberFormat="1" applyFont="1" applyFill="1" applyBorder="1"/>
    <xf numFmtId="3" fontId="2" fillId="0" borderId="0" xfId="2" applyNumberFormat="1" applyFont="1" applyFill="1" applyBorder="1"/>
    <xf numFmtId="3" fontId="1" fillId="0" borderId="0" xfId="2" applyNumberFormat="1" applyFont="1" applyFill="1" applyBorder="1"/>
    <xf numFmtId="3" fontId="3" fillId="0" borderId="13" xfId="1" quotePrefix="1" applyNumberFormat="1" applyFont="1" applyFill="1" applyBorder="1" applyAlignment="1">
      <alignment horizontal="center"/>
    </xf>
    <xf numFmtId="3" fontId="3" fillId="0" borderId="0" xfId="1" quotePrefix="1" applyNumberFormat="1" applyFont="1" applyFill="1" applyBorder="1" applyAlignment="1">
      <alignment horizontal="center"/>
    </xf>
    <xf numFmtId="3" fontId="3" fillId="0" borderId="11" xfId="1" quotePrefix="1" applyNumberFormat="1" applyFont="1" applyFill="1" applyBorder="1" applyAlignment="1">
      <alignment horizontal="center"/>
    </xf>
    <xf numFmtId="3" fontId="3" fillId="0" borderId="3" xfId="1" quotePrefix="1" applyNumberFormat="1" applyFont="1" applyFill="1" applyBorder="1" applyAlignment="1">
      <alignment horizontal="center"/>
    </xf>
    <xf numFmtId="3" fontId="3" fillId="0" borderId="1" xfId="1" quotePrefix="1" applyNumberFormat="1" applyFont="1" applyFill="1" applyBorder="1" applyAlignment="1">
      <alignment horizontal="center"/>
    </xf>
    <xf numFmtId="3" fontId="3" fillId="0" borderId="54" xfId="1" quotePrefix="1" applyNumberFormat="1" applyFont="1" applyFill="1" applyBorder="1" applyAlignment="1">
      <alignment horizontal="center"/>
    </xf>
    <xf numFmtId="3" fontId="3" fillId="0" borderId="10" xfId="1" quotePrefix="1" applyNumberFormat="1" applyFont="1" applyFill="1" applyBorder="1" applyAlignment="1">
      <alignment horizontal="center"/>
    </xf>
    <xf numFmtId="3" fontId="3" fillId="0" borderId="2" xfId="1" quotePrefix="1" applyNumberFormat="1" applyFont="1" applyFill="1" applyBorder="1" applyAlignment="1">
      <alignment horizontal="center"/>
    </xf>
    <xf numFmtId="167" fontId="3" fillId="0" borderId="13" xfId="1" quotePrefix="1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3" applyFont="1" applyBorder="1" applyAlignment="1">
      <alignment horizontal="left" indent="1"/>
    </xf>
    <xf numFmtId="0" fontId="5" fillId="0" borderId="0" xfId="4" applyFont="1" applyFill="1" applyAlignment="1">
      <alignment horizontal="left"/>
    </xf>
    <xf numFmtId="9" fontId="7" fillId="0" borderId="0" xfId="2" applyFont="1" applyFill="1"/>
    <xf numFmtId="0" fontId="2" fillId="0" borderId="0" xfId="4" applyFont="1"/>
    <xf numFmtId="164" fontId="2" fillId="0" borderId="0" xfId="1" applyFont="1"/>
    <xf numFmtId="0" fontId="2" fillId="0" borderId="0" xfId="0" applyFont="1" applyAlignment="1">
      <alignment horizontal="left" indent="1"/>
    </xf>
  </cellXfs>
  <cellStyles count="520">
    <cellStyle name=" 1" xfId="5"/>
    <cellStyle name="Cabecera 1" xfId="6"/>
    <cellStyle name="Cabecera 2" xfId="7"/>
    <cellStyle name="Comma" xfId="1" builtinId="3"/>
    <cellStyle name="Comma 10" xfId="8"/>
    <cellStyle name="Comma 100" xfId="9"/>
    <cellStyle name="Comma 101" xfId="10"/>
    <cellStyle name="Comma 102" xfId="11"/>
    <cellStyle name="Comma 103" xfId="12"/>
    <cellStyle name="Comma 104" xfId="13"/>
    <cellStyle name="Comma 105" xfId="14"/>
    <cellStyle name="Comma 106" xfId="15"/>
    <cellStyle name="Comma 107" xfId="16"/>
    <cellStyle name="Comma 108" xfId="17"/>
    <cellStyle name="Comma 109" xfId="18"/>
    <cellStyle name="Comma 11" xfId="19"/>
    <cellStyle name="Comma 110" xfId="20"/>
    <cellStyle name="Comma 111" xfId="21"/>
    <cellStyle name="Comma 112" xfId="22"/>
    <cellStyle name="Comma 113" xfId="23"/>
    <cellStyle name="Comma 114" xfId="24"/>
    <cellStyle name="Comma 115" xfId="25"/>
    <cellStyle name="Comma 116" xfId="26"/>
    <cellStyle name="Comma 12" xfId="27"/>
    <cellStyle name="Comma 13" xfId="28"/>
    <cellStyle name="Comma 14" xfId="29"/>
    <cellStyle name="Comma 15" xfId="30"/>
    <cellStyle name="Comma 16" xfId="31"/>
    <cellStyle name="Comma 17" xfId="32"/>
    <cellStyle name="Comma 18" xfId="33"/>
    <cellStyle name="Comma 19" xfId="34"/>
    <cellStyle name="Comma 2" xfId="35"/>
    <cellStyle name="Comma 20" xfId="36"/>
    <cellStyle name="Comma 21" xfId="37"/>
    <cellStyle name="Comma 22" xfId="38"/>
    <cellStyle name="Comma 23" xfId="39"/>
    <cellStyle name="Comma 24" xfId="40"/>
    <cellStyle name="Comma 25" xfId="41"/>
    <cellStyle name="Comma 26" xfId="42"/>
    <cellStyle name="Comma 27" xfId="43"/>
    <cellStyle name="Comma 28" xfId="44"/>
    <cellStyle name="Comma 29" xfId="45"/>
    <cellStyle name="Comma 30" xfId="46"/>
    <cellStyle name="Comma 31" xfId="47"/>
    <cellStyle name="Comma 32" xfId="48"/>
    <cellStyle name="Comma 33" xfId="49"/>
    <cellStyle name="Comma 34" xfId="50"/>
    <cellStyle name="Comma 35" xfId="51"/>
    <cellStyle name="Comma 36" xfId="52"/>
    <cellStyle name="Comma 39" xfId="53"/>
    <cellStyle name="Comma 4" xfId="54"/>
    <cellStyle name="Comma 41" xfId="55"/>
    <cellStyle name="Comma 42" xfId="56"/>
    <cellStyle name="Comma 43" xfId="57"/>
    <cellStyle name="Comma 44" xfId="58"/>
    <cellStyle name="Comma 45" xfId="59"/>
    <cellStyle name="Comma 46" xfId="60"/>
    <cellStyle name="Comma 47" xfId="61"/>
    <cellStyle name="Comma 48" xfId="62"/>
    <cellStyle name="Comma 49" xfId="63"/>
    <cellStyle name="Comma 5" xfId="64"/>
    <cellStyle name="Comma 50" xfId="65"/>
    <cellStyle name="Comma 51" xfId="66"/>
    <cellStyle name="Comma 52" xfId="67"/>
    <cellStyle name="Comma 53" xfId="68"/>
    <cellStyle name="Comma 54" xfId="69"/>
    <cellStyle name="Comma 55" xfId="70"/>
    <cellStyle name="Comma 56" xfId="71"/>
    <cellStyle name="Comma 57" xfId="72"/>
    <cellStyle name="Comma 58" xfId="73"/>
    <cellStyle name="Comma 59" xfId="74"/>
    <cellStyle name="Comma 6" xfId="75"/>
    <cellStyle name="Comma 60" xfId="76"/>
    <cellStyle name="Comma 61" xfId="77"/>
    <cellStyle name="Comma 62" xfId="78"/>
    <cellStyle name="Comma 63" xfId="79"/>
    <cellStyle name="Comma 64" xfId="80"/>
    <cellStyle name="Comma 65" xfId="81"/>
    <cellStyle name="Comma 66" xfId="82"/>
    <cellStyle name="Comma 67" xfId="83"/>
    <cellStyle name="Comma 68" xfId="84"/>
    <cellStyle name="Comma 69" xfId="85"/>
    <cellStyle name="Comma 7" xfId="86"/>
    <cellStyle name="Comma 70" xfId="87"/>
    <cellStyle name="Comma 71" xfId="88"/>
    <cellStyle name="Comma 72" xfId="89"/>
    <cellStyle name="Comma 73" xfId="90"/>
    <cellStyle name="Comma 74" xfId="91"/>
    <cellStyle name="Comma 75" xfId="92"/>
    <cellStyle name="Comma 76" xfId="93"/>
    <cellStyle name="Comma 77" xfId="94"/>
    <cellStyle name="Comma 78" xfId="95"/>
    <cellStyle name="Comma 79" xfId="96"/>
    <cellStyle name="Comma 8" xfId="97"/>
    <cellStyle name="Comma 80" xfId="98"/>
    <cellStyle name="Comma 81" xfId="99"/>
    <cellStyle name="Comma 82" xfId="100"/>
    <cellStyle name="Comma 83" xfId="101"/>
    <cellStyle name="Comma 84" xfId="102"/>
    <cellStyle name="Comma 85" xfId="103"/>
    <cellStyle name="Comma 86" xfId="104"/>
    <cellStyle name="Comma 87" xfId="105"/>
    <cellStyle name="Comma 88" xfId="106"/>
    <cellStyle name="Comma 89" xfId="107"/>
    <cellStyle name="Comma 9" xfId="108"/>
    <cellStyle name="Comma 90" xfId="109"/>
    <cellStyle name="Comma 91" xfId="110"/>
    <cellStyle name="Comma 92" xfId="111"/>
    <cellStyle name="Comma 93" xfId="112"/>
    <cellStyle name="Comma 94" xfId="113"/>
    <cellStyle name="Comma 95" xfId="114"/>
    <cellStyle name="Comma 96" xfId="115"/>
    <cellStyle name="Comma 97" xfId="116"/>
    <cellStyle name="Comma 98" xfId="117"/>
    <cellStyle name="Comma 99" xfId="118"/>
    <cellStyle name="Comma0" xfId="119"/>
    <cellStyle name="Currency 2" xfId="120"/>
    <cellStyle name="Currency0" xfId="121"/>
    <cellStyle name="Date" xfId="122"/>
    <cellStyle name="Encabezado 1" xfId="123"/>
    <cellStyle name="Encabezado 2" xfId="124"/>
    <cellStyle name="Euro" xfId="125"/>
    <cellStyle name="F2" xfId="126"/>
    <cellStyle name="F3" xfId="127"/>
    <cellStyle name="F4" xfId="128"/>
    <cellStyle name="F5" xfId="129"/>
    <cellStyle name="F6" xfId="130"/>
    <cellStyle name="F7" xfId="131"/>
    <cellStyle name="F8" xfId="132"/>
    <cellStyle name="Fecha" xfId="133"/>
    <cellStyle name="Fijo" xfId="134"/>
    <cellStyle name="Fixed" xfId="135"/>
    <cellStyle name="GEMS_REPORT_SUBTOTAL1" xfId="136"/>
    <cellStyle name="Millares_Libro2" xfId="137"/>
    <cellStyle name="MODELO-1" xfId="138"/>
    <cellStyle name="Moneda0" xfId="139"/>
    <cellStyle name="Monetario" xfId="140"/>
    <cellStyle name="Monetario0" xfId="141"/>
    <cellStyle name="No-definido" xfId="142"/>
    <cellStyle name="Normal" xfId="0" builtinId="0"/>
    <cellStyle name="Normal - Estilo1" xfId="143"/>
    <cellStyle name="Normal - Estilo2" xfId="144"/>
    <cellStyle name="Normal - Estilo3" xfId="145"/>
    <cellStyle name="Normal - Estilo4" xfId="146"/>
    <cellStyle name="Normal - Estilo5" xfId="147"/>
    <cellStyle name="Normal - Estilo6" xfId="148"/>
    <cellStyle name="Normal - Estilo7" xfId="149"/>
    <cellStyle name="Normal - Estilo8" xfId="150"/>
    <cellStyle name="Normal - Modelo1" xfId="151"/>
    <cellStyle name="Normal - Modelo2" xfId="152"/>
    <cellStyle name="Normal - Modelo3" xfId="153"/>
    <cellStyle name="Normal - Modelo4" xfId="154"/>
    <cellStyle name="Normal - Modelo5" xfId="155"/>
    <cellStyle name="Normal - Modelo6" xfId="156"/>
    <cellStyle name="Normal - Modelo7" xfId="157"/>
    <cellStyle name="Normal - Modelo8" xfId="158"/>
    <cellStyle name="Normal 10" xfId="159"/>
    <cellStyle name="Normal 100" xfId="160"/>
    <cellStyle name="Normal 101" xfId="161"/>
    <cellStyle name="Normal 102" xfId="162"/>
    <cellStyle name="Normal 103" xfId="163"/>
    <cellStyle name="Normal 104" xfId="164"/>
    <cellStyle name="Normal 105" xfId="165"/>
    <cellStyle name="Normal 108" xfId="166"/>
    <cellStyle name="Normal 109" xfId="167"/>
    <cellStyle name="Normal 11" xfId="168"/>
    <cellStyle name="Normal 110" xfId="169"/>
    <cellStyle name="Normal 111" xfId="170"/>
    <cellStyle name="Normal 112" xfId="171"/>
    <cellStyle name="Normal 113" xfId="172"/>
    <cellStyle name="Normal 114" xfId="173"/>
    <cellStyle name="Normal 115" xfId="174"/>
    <cellStyle name="Normal 116" xfId="175"/>
    <cellStyle name="Normal 118" xfId="176"/>
    <cellStyle name="Normal 119" xfId="177"/>
    <cellStyle name="Normal 12" xfId="178"/>
    <cellStyle name="Normal 120" xfId="179"/>
    <cellStyle name="Normal 121" xfId="180"/>
    <cellStyle name="Normal 122" xfId="181"/>
    <cellStyle name="Normal 123" xfId="182"/>
    <cellStyle name="Normal 124" xfId="183"/>
    <cellStyle name="Normal 125" xfId="184"/>
    <cellStyle name="Normal 126" xfId="185"/>
    <cellStyle name="Normal 127" xfId="186"/>
    <cellStyle name="Normal 129" xfId="187"/>
    <cellStyle name="Normal 13" xfId="188"/>
    <cellStyle name="Normal 130" xfId="189"/>
    <cellStyle name="Normal 131" xfId="190"/>
    <cellStyle name="Normal 132" xfId="191"/>
    <cellStyle name="Normal 133" xfId="192"/>
    <cellStyle name="Normal 134" xfId="193"/>
    <cellStyle name="Normal 135" xfId="194"/>
    <cellStyle name="Normal 136" xfId="195"/>
    <cellStyle name="Normal 137" xfId="196"/>
    <cellStyle name="Normal 138" xfId="197"/>
    <cellStyle name="Normal 14" xfId="198"/>
    <cellStyle name="Normal 140" xfId="199"/>
    <cellStyle name="Normal 141" xfId="200"/>
    <cellStyle name="Normal 142" xfId="201"/>
    <cellStyle name="Normal 143" xfId="202"/>
    <cellStyle name="Normal 144" xfId="203"/>
    <cellStyle name="Normal 145" xfId="204"/>
    <cellStyle name="Normal 146" xfId="205"/>
    <cellStyle name="Normal 147" xfId="206"/>
    <cellStyle name="Normal 148" xfId="207"/>
    <cellStyle name="Normal 149" xfId="208"/>
    <cellStyle name="Normal 15" xfId="209"/>
    <cellStyle name="Normal 150" xfId="210"/>
    <cellStyle name="Normal 151" xfId="211"/>
    <cellStyle name="Normal 152" xfId="212"/>
    <cellStyle name="Normal 153" xfId="213"/>
    <cellStyle name="Normal 154" xfId="214"/>
    <cellStyle name="Normal 155" xfId="215"/>
    <cellStyle name="Normal 156" xfId="216"/>
    <cellStyle name="Normal 157" xfId="217"/>
    <cellStyle name="Normal 158" xfId="218"/>
    <cellStyle name="Normal 159" xfId="219"/>
    <cellStyle name="Normal 160" xfId="220"/>
    <cellStyle name="Normal 162" xfId="221"/>
    <cellStyle name="Normal 167" xfId="222"/>
    <cellStyle name="Normal 168" xfId="223"/>
    <cellStyle name="Normal 170" xfId="224"/>
    <cellStyle name="Normal 18" xfId="225"/>
    <cellStyle name="Normal 19" xfId="226"/>
    <cellStyle name="Normal 2" xfId="227"/>
    <cellStyle name="Normal 20" xfId="228"/>
    <cellStyle name="Normal 22" xfId="229"/>
    <cellStyle name="Normal 221" xfId="230"/>
    <cellStyle name="Normal 23" xfId="231"/>
    <cellStyle name="Normal 24" xfId="232"/>
    <cellStyle name="Normal 25" xfId="233"/>
    <cellStyle name="Normal 26" xfId="234"/>
    <cellStyle name="Normal 27" xfId="235"/>
    <cellStyle name="Normal 28" xfId="236"/>
    <cellStyle name="Normal 29" xfId="237"/>
    <cellStyle name="Normal 30" xfId="238"/>
    <cellStyle name="Normal 31" xfId="239"/>
    <cellStyle name="Normal 33" xfId="240"/>
    <cellStyle name="Normal 34" xfId="241"/>
    <cellStyle name="Normal 35" xfId="242"/>
    <cellStyle name="Normal 36" xfId="243"/>
    <cellStyle name="Normal 37" xfId="244"/>
    <cellStyle name="Normal 38" xfId="245"/>
    <cellStyle name="Normal 39" xfId="246"/>
    <cellStyle name="Normal 4" xfId="247"/>
    <cellStyle name="Normal 40" xfId="248"/>
    <cellStyle name="Normal 41" xfId="249"/>
    <cellStyle name="Normal 42" xfId="250"/>
    <cellStyle name="Normal 44" xfId="251"/>
    <cellStyle name="Normal 45" xfId="252"/>
    <cellStyle name="Normal 46" xfId="253"/>
    <cellStyle name="Normal 47" xfId="254"/>
    <cellStyle name="Normal 48" xfId="255"/>
    <cellStyle name="Normal 49" xfId="256"/>
    <cellStyle name="Normal 5" xfId="257"/>
    <cellStyle name="Normal 50" xfId="258"/>
    <cellStyle name="Normal 51" xfId="259"/>
    <cellStyle name="Normal 52" xfId="260"/>
    <cellStyle name="Normal 53" xfId="261"/>
    <cellStyle name="Normal 54" xfId="262"/>
    <cellStyle name="Normal 55" xfId="263"/>
    <cellStyle name="Normal 56" xfId="264"/>
    <cellStyle name="Normal 57" xfId="265"/>
    <cellStyle name="Normal 58" xfId="266"/>
    <cellStyle name="Normal 59" xfId="267"/>
    <cellStyle name="Normal 6" xfId="268"/>
    <cellStyle name="Normal 60" xfId="269"/>
    <cellStyle name="Normal 61" xfId="270"/>
    <cellStyle name="Normal 62" xfId="271"/>
    <cellStyle name="Normal 63" xfId="272"/>
    <cellStyle name="Normal 64" xfId="273"/>
    <cellStyle name="Normal 65" xfId="274"/>
    <cellStyle name="Normal 66" xfId="275"/>
    <cellStyle name="Normal 67" xfId="276"/>
    <cellStyle name="Normal 69" xfId="277"/>
    <cellStyle name="Normal 7" xfId="278"/>
    <cellStyle name="Normal 70" xfId="279"/>
    <cellStyle name="Normal 71" xfId="280"/>
    <cellStyle name="Normal 72" xfId="281"/>
    <cellStyle name="Normal 73" xfId="282"/>
    <cellStyle name="Normal 74" xfId="283"/>
    <cellStyle name="Normal 75" xfId="284"/>
    <cellStyle name="Normal 76" xfId="285"/>
    <cellStyle name="Normal 77" xfId="286"/>
    <cellStyle name="Normal 78" xfId="287"/>
    <cellStyle name="Normal 79" xfId="288"/>
    <cellStyle name="Normal 81" xfId="289"/>
    <cellStyle name="Normal 82" xfId="290"/>
    <cellStyle name="Normal 83" xfId="291"/>
    <cellStyle name="Normal 84" xfId="292"/>
    <cellStyle name="Normal 85" xfId="293"/>
    <cellStyle name="Normal 86" xfId="294"/>
    <cellStyle name="Normal 87" xfId="295"/>
    <cellStyle name="Normal 88" xfId="296"/>
    <cellStyle name="Normal 89" xfId="297"/>
    <cellStyle name="Normal 9" xfId="298"/>
    <cellStyle name="Normal 90" xfId="299"/>
    <cellStyle name="Normal 91" xfId="300"/>
    <cellStyle name="Normal 92" xfId="301"/>
    <cellStyle name="Normal 93" xfId="302"/>
    <cellStyle name="Normal 94" xfId="303"/>
    <cellStyle name="Normal 95" xfId="304"/>
    <cellStyle name="Normal 96" xfId="305"/>
    <cellStyle name="Normal 97" xfId="306"/>
    <cellStyle name="Normal 98" xfId="307"/>
    <cellStyle name="Normal 99" xfId="308"/>
    <cellStyle name="Normal_080930_Sched_IPCC_Case1" xfId="3"/>
    <cellStyle name="Normal_evo_schedule" xfId="4"/>
    <cellStyle name="Note 10" xfId="309"/>
    <cellStyle name="Note 100" xfId="310"/>
    <cellStyle name="Note 101" xfId="311"/>
    <cellStyle name="Note 102" xfId="312"/>
    <cellStyle name="Note 103" xfId="313"/>
    <cellStyle name="Note 104" xfId="314"/>
    <cellStyle name="Note 105" xfId="315"/>
    <cellStyle name="Note 106" xfId="316"/>
    <cellStyle name="Note 107" xfId="317"/>
    <cellStyle name="Note 108" xfId="318"/>
    <cellStyle name="Note 109" xfId="319"/>
    <cellStyle name="Note 11" xfId="320"/>
    <cellStyle name="Note 110" xfId="321"/>
    <cellStyle name="Note 111" xfId="322"/>
    <cellStyle name="Note 112" xfId="323"/>
    <cellStyle name="Note 113" xfId="324"/>
    <cellStyle name="Note 114" xfId="325"/>
    <cellStyle name="Note 115" xfId="326"/>
    <cellStyle name="Note 116" xfId="327"/>
    <cellStyle name="Note 117" xfId="328"/>
    <cellStyle name="Note 118" xfId="329"/>
    <cellStyle name="Note 119" xfId="330"/>
    <cellStyle name="Note 12" xfId="331"/>
    <cellStyle name="Note 120" xfId="332"/>
    <cellStyle name="Note 121" xfId="333"/>
    <cellStyle name="Note 122" xfId="334"/>
    <cellStyle name="Note 123" xfId="335"/>
    <cellStyle name="Note 124" xfId="336"/>
    <cellStyle name="Note 125" xfId="337"/>
    <cellStyle name="Note 126" xfId="338"/>
    <cellStyle name="Note 127" xfId="339"/>
    <cellStyle name="Note 128" xfId="340"/>
    <cellStyle name="Note 129" xfId="341"/>
    <cellStyle name="Note 13" xfId="342"/>
    <cellStyle name="Note 130" xfId="343"/>
    <cellStyle name="Note 131" xfId="344"/>
    <cellStyle name="Note 132" xfId="345"/>
    <cellStyle name="Note 133" xfId="346"/>
    <cellStyle name="Note 134" xfId="347"/>
    <cellStyle name="Note 135" xfId="348"/>
    <cellStyle name="Note 136" xfId="349"/>
    <cellStyle name="Note 137" xfId="350"/>
    <cellStyle name="Note 138" xfId="351"/>
    <cellStyle name="Note 139" xfId="352"/>
    <cellStyle name="Note 14" xfId="353"/>
    <cellStyle name="Note 140" xfId="354"/>
    <cellStyle name="Note 141" xfId="355"/>
    <cellStyle name="Note 142" xfId="356"/>
    <cellStyle name="Note 143" xfId="357"/>
    <cellStyle name="Note 144" xfId="358"/>
    <cellStyle name="Note 145" xfId="359"/>
    <cellStyle name="Note 146" xfId="360"/>
    <cellStyle name="Note 147" xfId="361"/>
    <cellStyle name="Note 148" xfId="362"/>
    <cellStyle name="Note 149" xfId="363"/>
    <cellStyle name="Note 15" xfId="364"/>
    <cellStyle name="Note 150" xfId="365"/>
    <cellStyle name="Note 151" xfId="366"/>
    <cellStyle name="Note 152" xfId="367"/>
    <cellStyle name="Note 153" xfId="368"/>
    <cellStyle name="Note 154" xfId="369"/>
    <cellStyle name="Note 155" xfId="370"/>
    <cellStyle name="Note 156" xfId="371"/>
    <cellStyle name="Note 157" xfId="372"/>
    <cellStyle name="Note 158" xfId="373"/>
    <cellStyle name="Note 159" xfId="374"/>
    <cellStyle name="Note 16" xfId="375"/>
    <cellStyle name="Note 160" xfId="376"/>
    <cellStyle name="Note 161" xfId="377"/>
    <cellStyle name="Note 162" xfId="378"/>
    <cellStyle name="Note 163" xfId="379"/>
    <cellStyle name="Note 164" xfId="380"/>
    <cellStyle name="Note 165" xfId="381"/>
    <cellStyle name="Note 166" xfId="382"/>
    <cellStyle name="Note 167" xfId="383"/>
    <cellStyle name="Note 168" xfId="384"/>
    <cellStyle name="Note 169" xfId="385"/>
    <cellStyle name="Note 17" xfId="386"/>
    <cellStyle name="Note 170" xfId="387"/>
    <cellStyle name="Note 18" xfId="388"/>
    <cellStyle name="Note 19" xfId="389"/>
    <cellStyle name="Note 2" xfId="390"/>
    <cellStyle name="Note 20" xfId="391"/>
    <cellStyle name="Note 21" xfId="392"/>
    <cellStyle name="Note 22" xfId="393"/>
    <cellStyle name="Note 23" xfId="394"/>
    <cellStyle name="Note 24" xfId="395"/>
    <cellStyle name="Note 25" xfId="396"/>
    <cellStyle name="Note 26" xfId="397"/>
    <cellStyle name="Note 27" xfId="398"/>
    <cellStyle name="Note 28" xfId="399"/>
    <cellStyle name="Note 29" xfId="400"/>
    <cellStyle name="Note 3" xfId="401"/>
    <cellStyle name="Note 30" xfId="402"/>
    <cellStyle name="Note 31" xfId="403"/>
    <cellStyle name="Note 32" xfId="404"/>
    <cellStyle name="Note 33" xfId="405"/>
    <cellStyle name="Note 34" xfId="406"/>
    <cellStyle name="Note 35" xfId="407"/>
    <cellStyle name="Note 36" xfId="408"/>
    <cellStyle name="Note 37" xfId="409"/>
    <cellStyle name="Note 38" xfId="410"/>
    <cellStyle name="Note 39" xfId="411"/>
    <cellStyle name="Note 4" xfId="412"/>
    <cellStyle name="Note 40" xfId="413"/>
    <cellStyle name="Note 41" xfId="414"/>
    <cellStyle name="Note 42" xfId="415"/>
    <cellStyle name="Note 43" xfId="416"/>
    <cellStyle name="Note 44" xfId="417"/>
    <cellStyle name="Note 45" xfId="418"/>
    <cellStyle name="Note 46" xfId="419"/>
    <cellStyle name="Note 47" xfId="420"/>
    <cellStyle name="Note 48" xfId="421"/>
    <cellStyle name="Note 49" xfId="422"/>
    <cellStyle name="Note 5" xfId="423"/>
    <cellStyle name="Note 50" xfId="424"/>
    <cellStyle name="Note 51" xfId="425"/>
    <cellStyle name="Note 52" xfId="426"/>
    <cellStyle name="Note 53" xfId="427"/>
    <cellStyle name="Note 54" xfId="428"/>
    <cellStyle name="Note 55" xfId="429"/>
    <cellStyle name="Note 56" xfId="430"/>
    <cellStyle name="Note 57" xfId="431"/>
    <cellStyle name="Note 58" xfId="432"/>
    <cellStyle name="Note 59" xfId="433"/>
    <cellStyle name="Note 6" xfId="434"/>
    <cellStyle name="Note 60" xfId="435"/>
    <cellStyle name="Note 61" xfId="436"/>
    <cellStyle name="Note 62" xfId="437"/>
    <cellStyle name="Note 63" xfId="438"/>
    <cellStyle name="Note 64" xfId="439"/>
    <cellStyle name="Note 65" xfId="440"/>
    <cellStyle name="Note 66" xfId="441"/>
    <cellStyle name="Note 67" xfId="442"/>
    <cellStyle name="Note 68" xfId="443"/>
    <cellStyle name="Note 69" xfId="444"/>
    <cellStyle name="Note 7" xfId="445"/>
    <cellStyle name="Note 70" xfId="446"/>
    <cellStyle name="Note 71" xfId="447"/>
    <cellStyle name="Note 72" xfId="448"/>
    <cellStyle name="Note 73" xfId="449"/>
    <cellStyle name="Note 74" xfId="450"/>
    <cellStyle name="Note 75" xfId="451"/>
    <cellStyle name="Note 76" xfId="452"/>
    <cellStyle name="Note 77" xfId="453"/>
    <cellStyle name="Note 78" xfId="454"/>
    <cellStyle name="Note 79" xfId="455"/>
    <cellStyle name="Note 8" xfId="456"/>
    <cellStyle name="Note 80" xfId="457"/>
    <cellStyle name="Note 81" xfId="458"/>
    <cellStyle name="Note 82" xfId="459"/>
    <cellStyle name="Note 83" xfId="460"/>
    <cellStyle name="Note 84" xfId="461"/>
    <cellStyle name="Note 85" xfId="462"/>
    <cellStyle name="Note 86" xfId="463"/>
    <cellStyle name="Note 87" xfId="464"/>
    <cellStyle name="Note 88" xfId="465"/>
    <cellStyle name="Note 89" xfId="466"/>
    <cellStyle name="Note 9" xfId="467"/>
    <cellStyle name="Note 90" xfId="468"/>
    <cellStyle name="Note 91" xfId="469"/>
    <cellStyle name="Note 92" xfId="470"/>
    <cellStyle name="Note 93" xfId="471"/>
    <cellStyle name="Note 94" xfId="472"/>
    <cellStyle name="Note 95" xfId="473"/>
    <cellStyle name="Note 96" xfId="474"/>
    <cellStyle name="Note 97" xfId="475"/>
    <cellStyle name="Note 98" xfId="476"/>
    <cellStyle name="Note 99" xfId="477"/>
    <cellStyle name="Output Amounts" xfId="478"/>
    <cellStyle name="Output Column Headings" xfId="479"/>
    <cellStyle name="Output Line Items" xfId="480"/>
    <cellStyle name="Output Report Heading" xfId="481"/>
    <cellStyle name="Output Report Title" xfId="482"/>
    <cellStyle name="Percent" xfId="2" builtinId="5"/>
    <cellStyle name="Porcentaje" xfId="483"/>
    <cellStyle name="Punto" xfId="484"/>
    <cellStyle name="Punto0" xfId="485"/>
    <cellStyle name="RISKbigPercent" xfId="486"/>
    <cellStyle name="RISKblandrEdge" xfId="487"/>
    <cellStyle name="RISKblCorner" xfId="488"/>
    <cellStyle name="RISKbottomEdge" xfId="489"/>
    <cellStyle name="RISKbrCorner" xfId="490"/>
    <cellStyle name="RISKdarkBoxed" xfId="491"/>
    <cellStyle name="RISKdarkShade" xfId="492"/>
    <cellStyle name="RISKdbottomEdge" xfId="493"/>
    <cellStyle name="RISKdrightEdge" xfId="494"/>
    <cellStyle name="RISKdurationTime" xfId="495"/>
    <cellStyle name="RISKinNumber" xfId="496"/>
    <cellStyle name="RISKlandrEdge" xfId="497"/>
    <cellStyle name="RISKleftEdge" xfId="498"/>
    <cellStyle name="RISKlightBoxed" xfId="499"/>
    <cellStyle name="RISKltandbEdge" xfId="500"/>
    <cellStyle name="RISKnormBoxed" xfId="501"/>
    <cellStyle name="RISKnormCenter" xfId="502"/>
    <cellStyle name="RISKnormHeading" xfId="503"/>
    <cellStyle name="RISKnormItal" xfId="504"/>
    <cellStyle name="RISKnormLabel" xfId="505"/>
    <cellStyle name="RISKnormShade" xfId="506"/>
    <cellStyle name="RISKnormTitle" xfId="507"/>
    <cellStyle name="RISKoutNumber" xfId="508"/>
    <cellStyle name="RISKrightEdge" xfId="509"/>
    <cellStyle name="RISKrtandbEdge" xfId="510"/>
    <cellStyle name="RISKssTime" xfId="511"/>
    <cellStyle name="RISKtandbEdge" xfId="512"/>
    <cellStyle name="RISKtlandrEdge" xfId="513"/>
    <cellStyle name="RISKtlCorner" xfId="514"/>
    <cellStyle name="RISKtopEdge" xfId="515"/>
    <cellStyle name="RISKtrCorner" xfId="516"/>
    <cellStyle name="Separador de milhares_ORC0996" xfId="517"/>
    <cellStyle name="Style 1" xfId="518"/>
    <cellStyle name="Table Title" xfId="51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polo\Proyectos_JRI\Proyecto%20P055%20-%20Proyecto%20PARCM%20-%20Fase%20I%20%20Aumento%20de%20Tiempo%20de%20flotaci&#243;n%20en%20Plantas%20Concentradoras\Electricidad%20e%20Instrumentaci&#243;n\Versiones%20en%20Trabajo\Documentos\excel\memorias\P055-LIS-EL-101-%20Potenci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ocuments%20and%20Settings/doturnb/My%20Documents/IPCC/Sites/Spinifex%20Ridge%20Australia/Work/Documents/Lignor%20active%20Files/Joist%20Plant/Joist%20production%20cost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nowden\Projects\ConveyorCalc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nowden\Projects\AntaminaFS\081014CutBacks\Optimisatio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idor\Proyectos\Proyecto%20P060%20-%20Aumento%20Cap.%20Minco%20Tte\Area%20Concentrador\Procesos\Versiones%20en%20Trabajo\Documentos\Alternativa%202\Flotacion%20Colectiva%20%20%20%20ICACM-CO-310-A2-FS-0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nowden\Projects\0806_GoldCorp_Penasquito\03_Work\03_AC\Schedule\softwares_project\Comet\MMC%20Models\2008\OBC_14\V3\Comet%20Latest%20GUI%20Case%2014_V3_PD_New_Repor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Documents%20and%20Settings/doturnb/My%20Documents/IPCC/Sites/Spinifex%20Ridge%20Australia/Work/Azure%20Projects/Coogee%20Resources/Modelling/New%20company%20model/Coogee%20Resources%20model%20template-20060212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sumen"/>
      <sheetName val="Esc 1"/>
      <sheetName val="Base"/>
      <sheetName val="Energía Esc 1"/>
      <sheetName val="Energía base"/>
      <sheetName val="Datos"/>
      <sheetName val="#¡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-JOISTS "/>
      <sheetName val="Glue cost"/>
      <sheetName val="Joist materials "/>
      <sheetName val="#REF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veyorCalcs"/>
      <sheetName val="Ancillary Costs"/>
      <sheetName val="Rahco"/>
    </sheetNames>
    <sheetDataSet>
      <sheetData sheetId="0"/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Optimisation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Balance Finos"/>
      <sheetName val="Flotación"/>
      <sheetName val="Flotación Primaria"/>
      <sheetName val="Flotación Primaria 13 (S1)"/>
      <sheetName val="Flotación Primaria 7-12 (S2)"/>
      <sheetName val="Flotación Primaria 1-6 (S3)"/>
      <sheetName val="Flotación Primaria 14-15 (S4)"/>
      <sheetName val="Resumen Flot.1ª"/>
      <sheetName val="Flotación Limpieza"/>
      <sheetName val="Flotación Barrido"/>
      <sheetName val="REMOLIENDA"/>
      <sheetName val="SF"/>
      <sheetName val="ciclones Nuevos"/>
      <sheetName val="Resumen"/>
      <sheetName val="Flotación (Check)"/>
      <sheetName val="Balance Finos Equipos"/>
      <sheetName val="DimenI"/>
      <sheetName val="DimenI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Project"/>
      <sheetName val="Periods"/>
      <sheetName val="Attributes"/>
      <sheetName val="Phases"/>
      <sheetName val="CashFlow"/>
      <sheetName val="LP"/>
      <sheetName val="Sequence_backup"/>
      <sheetName val="Sequence"/>
      <sheetName val="Phase Summary"/>
      <sheetName val="Formats Period"/>
      <sheetName val="Formats Detail"/>
      <sheetName val="Settings"/>
      <sheetName val="Chart1"/>
      <sheetName val="Macro"/>
      <sheetName val="Cases"/>
      <sheetName val="MP_OutPut"/>
      <sheetName val="Cover_Page"/>
      <sheetName val="Graphs"/>
      <sheetName val="Period Schedule"/>
      <sheetName val="Increment Schedule"/>
      <sheetName val="LP Solutions"/>
      <sheetName val="Constraints"/>
      <sheetName val="Reserves"/>
      <sheetName val="Phase Summary_TE"/>
      <sheetName val="Phase Summary_R"/>
      <sheetName val="Phase Timing"/>
      <sheetName val="CaveDraw"/>
      <sheetName val="CaveSection"/>
      <sheetName val="CaveSummary"/>
      <sheetName val="M Inputs"/>
      <sheetName val="M Info"/>
      <sheetName val="Hidden M"/>
      <sheetName val="Hidden GUI"/>
      <sheetName val="Hidden Lists"/>
      <sheetName val="Hidden Data"/>
      <sheetName val="Hidden Wizard"/>
      <sheetName val="Hidden Import"/>
      <sheetName val="Language"/>
      <sheetName val="List"/>
      <sheetName val="Control_PH"/>
      <sheetName val="PhaseSmltHr_72.7m"/>
      <sheetName val="PhaseMillHr_72.7m"/>
      <sheetName val="PhaseMillHr_72.7m_PD"/>
      <sheetName val="101_Millhr"/>
      <sheetName val="101_Millhr_PD"/>
      <sheetName val="101_Millhr_VNP_PD"/>
      <sheetName val="501_Millhr_VNP_PD"/>
      <sheetName val="DES_501_Millhr_VNP_PD"/>
      <sheetName val="101_Millh_V"/>
      <sheetName val="201_Millhr_V"/>
      <sheetName val="Blasor_R072_SmltHr"/>
      <sheetName val="Blasor_R1_Smlthr"/>
      <sheetName val="New Things To "/>
      <sheetName val="Name"/>
      <sheetName val="Productivity and Movement"/>
      <sheetName val="Mill"/>
      <sheetName val="Capex"/>
      <sheetName val="Mine Equipment"/>
      <sheetName val="CaseCosts"/>
      <sheetName val="CUS"/>
      <sheetName val="VSTS_ValidationWS_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>
        <row r="1">
          <cell r="A1" t="str">
            <v>value doesn't matter</v>
          </cell>
          <cell r="B1" t="str">
            <v>value doesn't matter</v>
          </cell>
          <cell r="C1" t="str">
            <v>value doesn't matter</v>
          </cell>
          <cell r="D1" t="str">
            <v>value doesn't matter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To do"/>
      <sheetName val="Common Assumptions"/>
      <sheetName val="Valuation"/>
      <sheetName val="Production"/>
      <sheetName val="Consolidated Annual"/>
      <sheetName val="Annual Project Summary"/>
      <sheetName val="Annual Corporate"/>
      <sheetName val="Consolidated Monthly"/>
      <sheetName val="Corporate"/>
      <sheetName val="Tax"/>
      <sheetName val="Monthly Project Summary"/>
      <sheetName val="Start Projects"/>
      <sheetName val="Jabiru and Challis"/>
      <sheetName val="Tenacious"/>
      <sheetName val="Montara"/>
      <sheetName val="Methanol"/>
      <sheetName val="Financing"/>
      <sheetName val="End Projects"/>
      <sheetName val="JV CV Abandonment"/>
      <sheetName val="JV and CV Insurance Costs"/>
      <sheetName val="JVCV Historicals"/>
      <sheetName val="Montara Opex"/>
      <sheetName val="Montara Exploration"/>
      <sheetName val="Montara Capex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43"/>
  <sheetViews>
    <sheetView tabSelected="1" zoomScale="80" zoomScaleNormal="80" workbookViewId="0">
      <selection activeCell="B37" sqref="B37"/>
    </sheetView>
  </sheetViews>
  <sheetFormatPr defaultRowHeight="12.75"/>
  <cols>
    <col min="1" max="1" width="30.28515625" bestFit="1" customWidth="1"/>
    <col min="2" max="2" width="4.140625" bestFit="1" customWidth="1"/>
    <col min="3" max="3" width="8.140625" bestFit="1" customWidth="1"/>
    <col min="4" max="4" width="7.140625" bestFit="1" customWidth="1"/>
    <col min="5" max="5" width="5" bestFit="1" customWidth="1"/>
    <col min="6" max="6" width="5.7109375" bestFit="1" customWidth="1"/>
    <col min="7" max="7" width="4.140625" bestFit="1" customWidth="1"/>
    <col min="8" max="8" width="5.140625" bestFit="1" customWidth="1"/>
    <col min="9" max="9" width="6" bestFit="1" customWidth="1"/>
    <col min="10" max="10" width="5.140625" bestFit="1" customWidth="1"/>
    <col min="11" max="11" width="7" customWidth="1"/>
    <col min="12" max="12" width="4.140625" bestFit="1" customWidth="1"/>
    <col min="13" max="13" width="7.140625" style="3" bestFit="1" customWidth="1"/>
    <col min="14" max="14" width="7.140625" style="4" bestFit="1" customWidth="1"/>
    <col min="15" max="15" width="9.28515625" style="5" customWidth="1"/>
    <col min="16" max="16" width="5" bestFit="1" customWidth="1"/>
    <col min="17" max="18" width="6" bestFit="1" customWidth="1"/>
    <col min="19" max="22" width="6" customWidth="1"/>
    <col min="23" max="23" width="7.140625" bestFit="1" customWidth="1"/>
    <col min="24" max="24" width="6" bestFit="1" customWidth="1"/>
  </cols>
  <sheetData>
    <row r="1" spans="1:24">
      <c r="A1" s="1" t="s">
        <v>0</v>
      </c>
      <c r="C1" s="2">
        <v>100000</v>
      </c>
    </row>
    <row r="2" spans="1:24">
      <c r="A2" s="1" t="s">
        <v>1</v>
      </c>
      <c r="C2" s="2">
        <v>6000</v>
      </c>
      <c r="D2" s="1" t="s">
        <v>2</v>
      </c>
    </row>
    <row r="3" spans="1:24">
      <c r="A3" s="1" t="s">
        <v>3</v>
      </c>
      <c r="C3" s="2">
        <v>50</v>
      </c>
      <c r="D3" s="1" t="s">
        <v>4</v>
      </c>
    </row>
    <row r="4" spans="1:24">
      <c r="A4" s="1" t="s">
        <v>5</v>
      </c>
      <c r="C4" s="6">
        <v>0.1</v>
      </c>
      <c r="D4" s="1" t="s">
        <v>6</v>
      </c>
    </row>
    <row r="5" spans="1:24">
      <c r="A5" s="1" t="s">
        <v>7</v>
      </c>
      <c r="C5" s="2">
        <v>1000</v>
      </c>
      <c r="D5" s="1" t="s">
        <v>8</v>
      </c>
    </row>
    <row r="6" spans="1:24">
      <c r="A6" s="1" t="s">
        <v>9</v>
      </c>
      <c r="C6" s="2">
        <v>50</v>
      </c>
      <c r="D6" s="1" t="s">
        <v>10</v>
      </c>
    </row>
    <row r="7" spans="1:24" ht="13.5" thickBot="1"/>
    <row r="8" spans="1:24" ht="13.5" thickBot="1">
      <c r="A8" s="7" t="s">
        <v>11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9"/>
      <c r="O8" s="10"/>
      <c r="P8" s="7" t="s">
        <v>12</v>
      </c>
      <c r="Q8" s="8"/>
      <c r="R8" s="8"/>
      <c r="S8" s="8"/>
      <c r="T8" s="8"/>
      <c r="U8" s="8"/>
      <c r="V8" s="8"/>
      <c r="W8" s="8"/>
      <c r="X8" s="9"/>
    </row>
    <row r="9" spans="1:24" ht="141.75" customHeight="1" thickBot="1">
      <c r="A9" s="11" t="s">
        <v>13</v>
      </c>
      <c r="B9" s="12" t="s">
        <v>14</v>
      </c>
      <c r="C9" s="12" t="s">
        <v>15</v>
      </c>
      <c r="D9" s="13" t="s">
        <v>16</v>
      </c>
      <c r="E9" s="12" t="s">
        <v>17</v>
      </c>
      <c r="F9" s="14" t="s">
        <v>18</v>
      </c>
      <c r="G9" s="14" t="s">
        <v>19</v>
      </c>
      <c r="H9" s="12" t="s">
        <v>20</v>
      </c>
      <c r="I9" s="12" t="s">
        <v>21</v>
      </c>
      <c r="J9" s="12" t="s">
        <v>22</v>
      </c>
      <c r="K9" s="14" t="s">
        <v>23</v>
      </c>
      <c r="L9" s="14" t="s">
        <v>24</v>
      </c>
      <c r="M9" s="15" t="s">
        <v>25</v>
      </c>
      <c r="N9" s="16" t="s">
        <v>26</v>
      </c>
      <c r="O9" s="17"/>
      <c r="P9" s="18" t="s">
        <v>27</v>
      </c>
      <c r="Q9" s="19" t="s">
        <v>28</v>
      </c>
      <c r="R9" s="20" t="s">
        <v>5</v>
      </c>
      <c r="S9" s="21" t="s">
        <v>29</v>
      </c>
      <c r="T9" s="22" t="s">
        <v>30</v>
      </c>
      <c r="U9" s="23" t="s">
        <v>31</v>
      </c>
      <c r="V9" s="24" t="s">
        <v>32</v>
      </c>
      <c r="W9" s="20" t="s">
        <v>33</v>
      </c>
      <c r="X9" s="24" t="s">
        <v>33</v>
      </c>
    </row>
    <row r="10" spans="1:24" ht="21" customHeight="1" thickBot="1">
      <c r="A10" s="11"/>
      <c r="B10" s="25"/>
      <c r="C10" s="12"/>
      <c r="D10" s="13"/>
      <c r="E10" s="12"/>
      <c r="F10" s="14"/>
      <c r="G10" s="14"/>
      <c r="H10" s="12"/>
      <c r="I10" s="12"/>
      <c r="J10" s="12"/>
      <c r="K10" s="14"/>
      <c r="L10" s="14"/>
      <c r="M10" s="15"/>
      <c r="N10" s="26"/>
      <c r="O10" s="17"/>
      <c r="P10" s="27"/>
      <c r="Q10" s="28">
        <v>0.1</v>
      </c>
      <c r="R10" s="29">
        <f>C4</f>
        <v>0.1</v>
      </c>
      <c r="S10" s="30">
        <f>C6</f>
        <v>50</v>
      </c>
      <c r="T10" s="31">
        <v>0.25</v>
      </c>
      <c r="U10" s="32">
        <v>0.75</v>
      </c>
      <c r="V10" s="33">
        <v>0.25</v>
      </c>
      <c r="W10" s="34"/>
      <c r="X10" s="35"/>
    </row>
    <row r="11" spans="1:24">
      <c r="A11" s="36"/>
      <c r="B11" s="37"/>
      <c r="C11" s="38" t="s">
        <v>34</v>
      </c>
      <c r="D11" s="39" t="s">
        <v>34</v>
      </c>
      <c r="E11" s="38" t="s">
        <v>35</v>
      </c>
      <c r="F11" s="40" t="s">
        <v>36</v>
      </c>
      <c r="G11" s="41" t="s">
        <v>8</v>
      </c>
      <c r="H11" s="38" t="s">
        <v>37</v>
      </c>
      <c r="I11" s="38" t="s">
        <v>8</v>
      </c>
      <c r="J11" s="38"/>
      <c r="K11" s="40"/>
      <c r="L11" s="42" t="s">
        <v>8</v>
      </c>
      <c r="M11" s="43" t="s">
        <v>38</v>
      </c>
      <c r="N11" s="44" t="s">
        <v>38</v>
      </c>
      <c r="O11" s="45"/>
      <c r="P11" s="46" t="s">
        <v>39</v>
      </c>
      <c r="Q11" s="47" t="s">
        <v>4</v>
      </c>
      <c r="R11" s="48" t="s">
        <v>4</v>
      </c>
      <c r="S11" s="46" t="s">
        <v>4</v>
      </c>
      <c r="T11" s="49" t="s">
        <v>4</v>
      </c>
      <c r="U11" s="47" t="s">
        <v>4</v>
      </c>
      <c r="V11" s="50"/>
      <c r="W11" s="51" t="s">
        <v>4</v>
      </c>
      <c r="X11" s="52" t="s">
        <v>40</v>
      </c>
    </row>
    <row r="12" spans="1:24">
      <c r="A12" s="53" t="s">
        <v>41</v>
      </c>
      <c r="B12" s="54">
        <v>2</v>
      </c>
      <c r="C12" s="55">
        <v>9600</v>
      </c>
      <c r="D12" s="56">
        <v>10400</v>
      </c>
      <c r="E12" s="57"/>
      <c r="F12" s="55"/>
      <c r="G12" s="58"/>
      <c r="H12" s="55"/>
      <c r="I12" s="55"/>
      <c r="J12" s="55"/>
      <c r="K12" s="55"/>
      <c r="L12" s="59"/>
      <c r="M12" s="60">
        <v>2200</v>
      </c>
      <c r="N12" s="61">
        <f>80%*M12</f>
        <v>1760</v>
      </c>
      <c r="O12" s="62"/>
      <c r="P12" s="63">
        <v>30</v>
      </c>
      <c r="Q12" s="64">
        <f>PMT(Q$10,$C$1/$C$2,-P12)*1000000/$C$2</f>
        <v>628.32313639403378</v>
      </c>
      <c r="R12" s="65">
        <f t="shared" ref="R12:R36" si="0">N12*$R$10</f>
        <v>176</v>
      </c>
      <c r="S12" s="66">
        <v>500</v>
      </c>
      <c r="T12" s="67">
        <f>$S12*T$10</f>
        <v>125</v>
      </c>
      <c r="U12" s="68">
        <f>$S12*U$10</f>
        <v>375</v>
      </c>
      <c r="V12" s="69">
        <f>$S12*V$10</f>
        <v>125</v>
      </c>
      <c r="W12" s="70">
        <f>R12+S12+V12</f>
        <v>801</v>
      </c>
      <c r="X12" s="71">
        <f t="shared" ref="X12:X37" si="1">W12/C12</f>
        <v>8.3437499999999998E-2</v>
      </c>
    </row>
    <row r="13" spans="1:24">
      <c r="A13" s="72" t="s">
        <v>42</v>
      </c>
      <c r="B13" s="73">
        <v>0</v>
      </c>
      <c r="C13" s="74">
        <v>4600</v>
      </c>
      <c r="D13" s="75">
        <v>5200</v>
      </c>
      <c r="E13" s="74"/>
      <c r="F13" s="76"/>
      <c r="G13" s="77"/>
      <c r="H13" s="74"/>
      <c r="I13" s="74"/>
      <c r="J13" s="74"/>
      <c r="K13" s="76"/>
      <c r="L13" s="78"/>
      <c r="M13" s="79"/>
      <c r="N13" s="80"/>
      <c r="O13" s="45"/>
      <c r="P13" s="81"/>
      <c r="Q13" s="82">
        <f t="shared" ref="Q13:Q37" si="2">PMT(Q$10,$C$1/$C$2,-P13)*1000000/$C$2</f>
        <v>0</v>
      </c>
      <c r="R13" s="83">
        <f t="shared" si="0"/>
        <v>0</v>
      </c>
      <c r="S13" s="66"/>
      <c r="T13" s="67">
        <f t="shared" ref="T13:V37" si="3">$S13*T$10</f>
        <v>0</v>
      </c>
      <c r="U13" s="68">
        <f t="shared" si="3"/>
        <v>0</v>
      </c>
      <c r="V13" s="69">
        <f t="shared" si="3"/>
        <v>0</v>
      </c>
      <c r="W13" s="84">
        <f t="shared" ref="W13:W35" si="4">R13+S13+V13</f>
        <v>0</v>
      </c>
      <c r="X13" s="85">
        <f t="shared" si="1"/>
        <v>0</v>
      </c>
    </row>
    <row r="14" spans="1:24">
      <c r="A14" s="72" t="s">
        <v>42</v>
      </c>
      <c r="B14" s="73">
        <v>0</v>
      </c>
      <c r="C14" s="74">
        <v>2300</v>
      </c>
      <c r="D14" s="75">
        <v>2700</v>
      </c>
      <c r="E14" s="74"/>
      <c r="F14" s="76"/>
      <c r="G14" s="77"/>
      <c r="H14" s="74"/>
      <c r="I14" s="74"/>
      <c r="J14" s="74"/>
      <c r="K14" s="76"/>
      <c r="L14" s="78"/>
      <c r="M14" s="79"/>
      <c r="N14" s="80"/>
      <c r="O14" s="45"/>
      <c r="P14" s="81"/>
      <c r="Q14" s="82">
        <f t="shared" si="2"/>
        <v>0</v>
      </c>
      <c r="R14" s="83">
        <f t="shared" si="0"/>
        <v>0</v>
      </c>
      <c r="S14" s="66"/>
      <c r="T14" s="67">
        <f t="shared" si="3"/>
        <v>0</v>
      </c>
      <c r="U14" s="68">
        <f t="shared" si="3"/>
        <v>0</v>
      </c>
      <c r="V14" s="69">
        <f t="shared" si="3"/>
        <v>0</v>
      </c>
      <c r="W14" s="84">
        <f t="shared" si="4"/>
        <v>0</v>
      </c>
      <c r="X14" s="85">
        <f t="shared" si="1"/>
        <v>0</v>
      </c>
    </row>
    <row r="15" spans="1:24" s="96" customFormat="1">
      <c r="A15" s="53" t="s">
        <v>43</v>
      </c>
      <c r="B15" s="54">
        <v>5</v>
      </c>
      <c r="C15" s="86">
        <f>2*9600</f>
        <v>19200</v>
      </c>
      <c r="D15" s="87">
        <f>-INT(-C15/1000)*1000*110%</f>
        <v>22000</v>
      </c>
      <c r="E15" s="88">
        <v>5.5</v>
      </c>
      <c r="F15" s="88">
        <v>2.8</v>
      </c>
      <c r="G15" s="88">
        <f t="shared" ref="G15:G32" si="5">(11*D15/3600*130%/F15/E15)^0.5</f>
        <v>2.3821425596725265</v>
      </c>
      <c r="H15" s="89">
        <f t="shared" ref="H15:H32" si="6">G15*60</f>
        <v>142.9285535803516</v>
      </c>
      <c r="I15" s="86">
        <v>150</v>
      </c>
      <c r="J15" s="90">
        <v>0.1</v>
      </c>
      <c r="K15" s="91">
        <v>0.03</v>
      </c>
      <c r="L15" s="92">
        <v>3</v>
      </c>
      <c r="M15" s="60">
        <f>INT((H15*2*I15*(1+J15^2)^0.5*K15*E15+D15/E15/3.6*I15*(1+J15^2)^0.5*K15*E15+(L15+I15*J15)*D15/3.6)*9.81/90%/87.7%/100000+0.5)*100</f>
        <v>1800</v>
      </c>
      <c r="N15" s="61">
        <f>INT((H15*2*I15*(1+J15^2)^0.5*K15*E15+C15/E15/3.6*I15*(1+J15^2)^0.5*K15*E15+(L15+I15*J15)*C15/3.6)*9.81/90%/87.7%/100000+0.5)*100</f>
        <v>1600</v>
      </c>
      <c r="O15" s="93"/>
      <c r="P15" s="94">
        <f>(1.4+0.015*I15)*D15/22000</f>
        <v>3.65</v>
      </c>
      <c r="Q15" s="64">
        <f t="shared" si="2"/>
        <v>76.445981594607431</v>
      </c>
      <c r="R15" s="65">
        <f t="shared" si="0"/>
        <v>160</v>
      </c>
      <c r="S15" s="95">
        <f>-INT(-I15/$C$5)*S$10</f>
        <v>50</v>
      </c>
      <c r="T15" s="67">
        <f t="shared" si="3"/>
        <v>12.5</v>
      </c>
      <c r="U15" s="68">
        <f t="shared" si="3"/>
        <v>37.5</v>
      </c>
      <c r="V15" s="69">
        <f t="shared" si="3"/>
        <v>12.5</v>
      </c>
      <c r="W15" s="70">
        <f t="shared" si="4"/>
        <v>222.5</v>
      </c>
      <c r="X15" s="71">
        <f t="shared" si="1"/>
        <v>1.1588541666666667E-2</v>
      </c>
    </row>
    <row r="16" spans="1:24">
      <c r="A16" s="97"/>
      <c r="B16" s="98">
        <v>0</v>
      </c>
      <c r="C16" s="99">
        <v>9600</v>
      </c>
      <c r="D16" s="100">
        <v>10400</v>
      </c>
      <c r="E16" s="101">
        <v>5.5</v>
      </c>
      <c r="F16" s="102">
        <v>2.8</v>
      </c>
      <c r="G16" s="101">
        <f t="shared" si="5"/>
        <v>1.6378460497066514</v>
      </c>
      <c r="H16" s="103">
        <f t="shared" si="6"/>
        <v>98.270762982399077</v>
      </c>
      <c r="I16" s="99">
        <v>150</v>
      </c>
      <c r="J16" s="104">
        <v>0.1</v>
      </c>
      <c r="K16" s="105">
        <v>0.03</v>
      </c>
      <c r="L16" s="106">
        <v>3</v>
      </c>
      <c r="M16" s="107">
        <f t="shared" ref="M16:M32" si="7">INT((H16*2*I16*(1+J16^2)^0.5*K16*E16+D16/E16/3.6*I16*(1+J16^2)^0.5*K16*E16+(L16+I16*J16)*D16/3.6)*9.81/90%/87.7%/100000+0.5)*100</f>
        <v>900</v>
      </c>
      <c r="N16" s="108">
        <f t="shared" ref="N16:N32" si="8">INT((H16*2*I16*(1+J16^2)^0.5*K16*E16+C16/E16/3.6*I16*(1+J16^2)^0.5*K16*E16+(L16+I16*J16)*C16/3.6)*9.81/90%/87.7%/100000+0.5)*100</f>
        <v>800</v>
      </c>
      <c r="O16" s="93"/>
      <c r="P16" s="81"/>
      <c r="Q16" s="82">
        <f t="shared" si="2"/>
        <v>0</v>
      </c>
      <c r="R16" s="83">
        <f t="shared" si="0"/>
        <v>80</v>
      </c>
      <c r="S16" s="66"/>
      <c r="T16" s="67">
        <f t="shared" si="3"/>
        <v>0</v>
      </c>
      <c r="U16" s="68">
        <f t="shared" si="3"/>
        <v>0</v>
      </c>
      <c r="V16" s="69">
        <f t="shared" si="3"/>
        <v>0</v>
      </c>
      <c r="W16" s="84">
        <f t="shared" si="4"/>
        <v>80</v>
      </c>
      <c r="X16" s="85">
        <f t="shared" si="1"/>
        <v>8.3333333333333332E-3</v>
      </c>
    </row>
    <row r="17" spans="1:24">
      <c r="A17" s="97"/>
      <c r="B17" s="98">
        <v>0</v>
      </c>
      <c r="C17" s="99">
        <v>4600</v>
      </c>
      <c r="D17" s="100">
        <v>5200</v>
      </c>
      <c r="E17" s="101">
        <v>5.5</v>
      </c>
      <c r="F17" s="102">
        <v>2.8</v>
      </c>
      <c r="G17" s="101">
        <f t="shared" si="5"/>
        <v>1.1581320482871724</v>
      </c>
      <c r="H17" s="103">
        <f t="shared" si="6"/>
        <v>69.487922897230348</v>
      </c>
      <c r="I17" s="99">
        <v>150</v>
      </c>
      <c r="J17" s="104">
        <v>0.1</v>
      </c>
      <c r="K17" s="105">
        <v>0.03</v>
      </c>
      <c r="L17" s="106">
        <v>3</v>
      </c>
      <c r="M17" s="107">
        <f t="shared" si="7"/>
        <v>400</v>
      </c>
      <c r="N17" s="108">
        <f t="shared" si="8"/>
        <v>400</v>
      </c>
      <c r="O17" s="93"/>
      <c r="P17" s="81"/>
      <c r="Q17" s="82">
        <f t="shared" si="2"/>
        <v>0</v>
      </c>
      <c r="R17" s="83">
        <f t="shared" si="0"/>
        <v>40</v>
      </c>
      <c r="S17" s="66"/>
      <c r="T17" s="67">
        <f t="shared" si="3"/>
        <v>0</v>
      </c>
      <c r="U17" s="68">
        <f t="shared" si="3"/>
        <v>0</v>
      </c>
      <c r="V17" s="69">
        <f t="shared" si="3"/>
        <v>0</v>
      </c>
      <c r="W17" s="84">
        <f t="shared" si="4"/>
        <v>40</v>
      </c>
      <c r="X17" s="85">
        <f t="shared" si="1"/>
        <v>8.6956521739130436E-3</v>
      </c>
    </row>
    <row r="18" spans="1:24" s="96" customFormat="1">
      <c r="A18" s="53" t="s">
        <v>44</v>
      </c>
      <c r="B18" s="54">
        <v>2</v>
      </c>
      <c r="C18" s="86">
        <f>2*9600</f>
        <v>19200</v>
      </c>
      <c r="D18" s="87">
        <f>-INT(-C18/1000)*1000*110%</f>
        <v>22000</v>
      </c>
      <c r="E18" s="88">
        <v>5.5</v>
      </c>
      <c r="F18" s="88">
        <v>2.8</v>
      </c>
      <c r="G18" s="88">
        <f t="shared" si="5"/>
        <v>2.3821425596725265</v>
      </c>
      <c r="H18" s="89">
        <f t="shared" si="6"/>
        <v>142.9285535803516</v>
      </c>
      <c r="I18" s="86">
        <v>150</v>
      </c>
      <c r="J18" s="90">
        <v>0.1</v>
      </c>
      <c r="K18" s="91">
        <v>0.03</v>
      </c>
      <c r="L18" s="92">
        <v>3</v>
      </c>
      <c r="M18" s="60">
        <f t="shared" si="7"/>
        <v>1800</v>
      </c>
      <c r="N18" s="61">
        <f t="shared" si="8"/>
        <v>1600</v>
      </c>
      <c r="O18" s="93"/>
      <c r="P18" s="94">
        <f>(1.1+0.015*I18)*D18/22000</f>
        <v>3.35</v>
      </c>
      <c r="Q18" s="64">
        <f t="shared" si="2"/>
        <v>70.1627502306671</v>
      </c>
      <c r="R18" s="65">
        <f t="shared" si="0"/>
        <v>160</v>
      </c>
      <c r="S18" s="95">
        <f>-INT(-I18/$C$5)*S$10</f>
        <v>50</v>
      </c>
      <c r="T18" s="67">
        <f t="shared" si="3"/>
        <v>12.5</v>
      </c>
      <c r="U18" s="68">
        <f t="shared" si="3"/>
        <v>37.5</v>
      </c>
      <c r="V18" s="69">
        <f t="shared" si="3"/>
        <v>12.5</v>
      </c>
      <c r="W18" s="70">
        <f t="shared" si="4"/>
        <v>222.5</v>
      </c>
      <c r="X18" s="71">
        <f t="shared" si="1"/>
        <v>1.1588541666666667E-2</v>
      </c>
    </row>
    <row r="19" spans="1:24">
      <c r="A19" s="97"/>
      <c r="B19" s="98">
        <v>0</v>
      </c>
      <c r="C19" s="99">
        <v>9600</v>
      </c>
      <c r="D19" s="100">
        <v>10400</v>
      </c>
      <c r="E19" s="101">
        <v>5.5</v>
      </c>
      <c r="F19" s="102">
        <v>2.8</v>
      </c>
      <c r="G19" s="101">
        <f t="shared" si="5"/>
        <v>1.6378460497066514</v>
      </c>
      <c r="H19" s="103">
        <f t="shared" si="6"/>
        <v>98.270762982399077</v>
      </c>
      <c r="I19" s="99">
        <v>150</v>
      </c>
      <c r="J19" s="104">
        <v>0.1</v>
      </c>
      <c r="K19" s="105">
        <v>0.03</v>
      </c>
      <c r="L19" s="106">
        <v>3</v>
      </c>
      <c r="M19" s="107">
        <f t="shared" si="7"/>
        <v>900</v>
      </c>
      <c r="N19" s="108">
        <f t="shared" si="8"/>
        <v>800</v>
      </c>
      <c r="O19" s="93"/>
      <c r="P19" s="81"/>
      <c r="Q19" s="82">
        <f t="shared" si="2"/>
        <v>0</v>
      </c>
      <c r="R19" s="83">
        <f t="shared" si="0"/>
        <v>80</v>
      </c>
      <c r="S19" s="66"/>
      <c r="T19" s="67">
        <f t="shared" si="3"/>
        <v>0</v>
      </c>
      <c r="U19" s="68">
        <f t="shared" si="3"/>
        <v>0</v>
      </c>
      <c r="V19" s="69">
        <f t="shared" si="3"/>
        <v>0</v>
      </c>
      <c r="W19" s="84">
        <f t="shared" si="4"/>
        <v>80</v>
      </c>
      <c r="X19" s="85">
        <f t="shared" si="1"/>
        <v>8.3333333333333332E-3</v>
      </c>
    </row>
    <row r="20" spans="1:24">
      <c r="A20" s="97"/>
      <c r="B20" s="98">
        <v>0</v>
      </c>
      <c r="C20" s="99">
        <v>4600</v>
      </c>
      <c r="D20" s="100">
        <v>5200</v>
      </c>
      <c r="E20" s="101">
        <v>5.5</v>
      </c>
      <c r="F20" s="102">
        <v>2.8</v>
      </c>
      <c r="G20" s="101">
        <f t="shared" si="5"/>
        <v>1.1581320482871724</v>
      </c>
      <c r="H20" s="103">
        <f t="shared" si="6"/>
        <v>69.487922897230348</v>
      </c>
      <c r="I20" s="99">
        <v>150</v>
      </c>
      <c r="J20" s="104">
        <v>0.1</v>
      </c>
      <c r="K20" s="105">
        <v>0.03</v>
      </c>
      <c r="L20" s="106">
        <v>3</v>
      </c>
      <c r="M20" s="107">
        <f t="shared" si="7"/>
        <v>400</v>
      </c>
      <c r="N20" s="108">
        <f t="shared" si="8"/>
        <v>400</v>
      </c>
      <c r="O20" s="93"/>
      <c r="P20" s="81"/>
      <c r="Q20" s="82">
        <f t="shared" si="2"/>
        <v>0</v>
      </c>
      <c r="R20" s="83">
        <f t="shared" si="0"/>
        <v>40</v>
      </c>
      <c r="S20" s="66"/>
      <c r="T20" s="67">
        <f t="shared" si="3"/>
        <v>0</v>
      </c>
      <c r="U20" s="68">
        <f t="shared" si="3"/>
        <v>0</v>
      </c>
      <c r="V20" s="69">
        <f t="shared" si="3"/>
        <v>0</v>
      </c>
      <c r="W20" s="84">
        <f t="shared" si="4"/>
        <v>40</v>
      </c>
      <c r="X20" s="85">
        <f t="shared" si="1"/>
        <v>8.6956521739130436E-3</v>
      </c>
    </row>
    <row r="21" spans="1:24" s="96" customFormat="1">
      <c r="A21" s="53" t="s">
        <v>45</v>
      </c>
      <c r="B21" s="54">
        <v>2</v>
      </c>
      <c r="C21" s="86">
        <f>2*9600</f>
        <v>19200</v>
      </c>
      <c r="D21" s="87">
        <f>-INT(-C21/1000)*1000*110%</f>
        <v>22000</v>
      </c>
      <c r="E21" s="88">
        <v>5.5</v>
      </c>
      <c r="F21" s="88">
        <v>2.8</v>
      </c>
      <c r="G21" s="88">
        <f t="shared" si="5"/>
        <v>2.3821425596725265</v>
      </c>
      <c r="H21" s="89">
        <f t="shared" si="6"/>
        <v>142.9285535803516</v>
      </c>
      <c r="I21" s="86">
        <v>300</v>
      </c>
      <c r="J21" s="90">
        <v>0.1</v>
      </c>
      <c r="K21" s="91">
        <v>0.03</v>
      </c>
      <c r="L21" s="92">
        <v>3</v>
      </c>
      <c r="M21" s="60">
        <f t="shared" si="7"/>
        <v>3400</v>
      </c>
      <c r="N21" s="61">
        <f t="shared" si="8"/>
        <v>3000</v>
      </c>
      <c r="O21" s="93"/>
      <c r="P21" s="94">
        <f>(1.1+0.015*I21)*D21/22000</f>
        <v>5.6</v>
      </c>
      <c r="Q21" s="64">
        <f t="shared" si="2"/>
        <v>117.28698546021961</v>
      </c>
      <c r="R21" s="65">
        <f t="shared" si="0"/>
        <v>300</v>
      </c>
      <c r="S21" s="95">
        <f>-INT(-I21/$C$5)*S$10</f>
        <v>50</v>
      </c>
      <c r="T21" s="67">
        <f t="shared" si="3"/>
        <v>12.5</v>
      </c>
      <c r="U21" s="68">
        <f t="shared" si="3"/>
        <v>37.5</v>
      </c>
      <c r="V21" s="69">
        <f t="shared" si="3"/>
        <v>12.5</v>
      </c>
      <c r="W21" s="70">
        <f t="shared" si="4"/>
        <v>362.5</v>
      </c>
      <c r="X21" s="71">
        <f t="shared" si="1"/>
        <v>1.8880208333333332E-2</v>
      </c>
    </row>
    <row r="22" spans="1:24">
      <c r="A22" s="97"/>
      <c r="B22" s="98">
        <v>0</v>
      </c>
      <c r="C22" s="99">
        <v>9600</v>
      </c>
      <c r="D22" s="100">
        <v>10400</v>
      </c>
      <c r="E22" s="101">
        <v>5.5</v>
      </c>
      <c r="F22" s="102">
        <v>2.8</v>
      </c>
      <c r="G22" s="101">
        <f t="shared" si="5"/>
        <v>1.6378460497066514</v>
      </c>
      <c r="H22" s="103">
        <f t="shared" si="6"/>
        <v>98.270762982399077</v>
      </c>
      <c r="I22" s="99">
        <v>150</v>
      </c>
      <c r="J22" s="104">
        <v>0.1</v>
      </c>
      <c r="K22" s="105">
        <v>0.03</v>
      </c>
      <c r="L22" s="106">
        <v>3</v>
      </c>
      <c r="M22" s="107">
        <f t="shared" si="7"/>
        <v>900</v>
      </c>
      <c r="N22" s="108">
        <f t="shared" si="8"/>
        <v>800</v>
      </c>
      <c r="O22" s="93"/>
      <c r="P22" s="81"/>
      <c r="Q22" s="82">
        <f t="shared" si="2"/>
        <v>0</v>
      </c>
      <c r="R22" s="83">
        <f t="shared" si="0"/>
        <v>80</v>
      </c>
      <c r="S22" s="66"/>
      <c r="T22" s="67">
        <f t="shared" si="3"/>
        <v>0</v>
      </c>
      <c r="U22" s="68">
        <f t="shared" si="3"/>
        <v>0</v>
      </c>
      <c r="V22" s="69">
        <f t="shared" si="3"/>
        <v>0</v>
      </c>
      <c r="W22" s="84">
        <f t="shared" si="4"/>
        <v>80</v>
      </c>
      <c r="X22" s="85">
        <f t="shared" si="1"/>
        <v>8.3333333333333332E-3</v>
      </c>
    </row>
    <row r="23" spans="1:24">
      <c r="A23" s="97"/>
      <c r="B23" s="98">
        <v>0</v>
      </c>
      <c r="C23" s="99">
        <v>4600</v>
      </c>
      <c r="D23" s="100">
        <v>5200</v>
      </c>
      <c r="E23" s="101">
        <v>5.5</v>
      </c>
      <c r="F23" s="102">
        <v>2.8</v>
      </c>
      <c r="G23" s="101">
        <f t="shared" si="5"/>
        <v>1.1581320482871724</v>
      </c>
      <c r="H23" s="103">
        <f t="shared" si="6"/>
        <v>69.487922897230348</v>
      </c>
      <c r="I23" s="99">
        <v>150</v>
      </c>
      <c r="J23" s="104">
        <v>0.1</v>
      </c>
      <c r="K23" s="105">
        <v>0.03</v>
      </c>
      <c r="L23" s="106">
        <v>3</v>
      </c>
      <c r="M23" s="107">
        <f t="shared" si="7"/>
        <v>400</v>
      </c>
      <c r="N23" s="108">
        <f t="shared" si="8"/>
        <v>400</v>
      </c>
      <c r="O23" s="93"/>
      <c r="P23" s="81"/>
      <c r="Q23" s="82">
        <f t="shared" si="2"/>
        <v>0</v>
      </c>
      <c r="R23" s="83">
        <f t="shared" si="0"/>
        <v>40</v>
      </c>
      <c r="S23" s="66"/>
      <c r="T23" s="67">
        <f t="shared" si="3"/>
        <v>0</v>
      </c>
      <c r="U23" s="68">
        <f t="shared" si="3"/>
        <v>0</v>
      </c>
      <c r="V23" s="69">
        <f t="shared" si="3"/>
        <v>0</v>
      </c>
      <c r="W23" s="84">
        <f t="shared" si="4"/>
        <v>40</v>
      </c>
      <c r="X23" s="85">
        <f t="shared" si="1"/>
        <v>8.6956521739130436E-3</v>
      </c>
    </row>
    <row r="24" spans="1:24" s="96" customFormat="1">
      <c r="A24" s="53" t="s">
        <v>46</v>
      </c>
      <c r="B24" s="54">
        <v>5</v>
      </c>
      <c r="C24" s="86">
        <f>2*9600</f>
        <v>19200</v>
      </c>
      <c r="D24" s="87">
        <f>-INT(-C24/1000)*1000*110%</f>
        <v>22000</v>
      </c>
      <c r="E24" s="88">
        <v>5.5</v>
      </c>
      <c r="F24" s="88">
        <v>2.8</v>
      </c>
      <c r="G24" s="88">
        <f t="shared" si="5"/>
        <v>2.3821425596725265</v>
      </c>
      <c r="H24" s="89">
        <f t="shared" si="6"/>
        <v>142.9285535803516</v>
      </c>
      <c r="I24" s="86">
        <v>600</v>
      </c>
      <c r="J24" s="90">
        <v>0.1</v>
      </c>
      <c r="K24" s="91">
        <v>0.03</v>
      </c>
      <c r="L24" s="92">
        <v>3</v>
      </c>
      <c r="M24" s="60">
        <f t="shared" si="7"/>
        <v>6500</v>
      </c>
      <c r="N24" s="61">
        <f t="shared" si="8"/>
        <v>5700</v>
      </c>
      <c r="O24" s="93"/>
      <c r="P24" s="94">
        <f>(1.1+0.015*I24)*D24/22000</f>
        <v>10.1</v>
      </c>
      <c r="Q24" s="64">
        <f t="shared" si="2"/>
        <v>211.53545591932465</v>
      </c>
      <c r="R24" s="65">
        <f t="shared" si="0"/>
        <v>570</v>
      </c>
      <c r="S24" s="95">
        <f>-INT(-I24/$C$5)*S$10</f>
        <v>50</v>
      </c>
      <c r="T24" s="67">
        <f t="shared" si="3"/>
        <v>12.5</v>
      </c>
      <c r="U24" s="68">
        <f t="shared" si="3"/>
        <v>37.5</v>
      </c>
      <c r="V24" s="69">
        <f t="shared" si="3"/>
        <v>12.5</v>
      </c>
      <c r="W24" s="70">
        <f t="shared" si="4"/>
        <v>632.5</v>
      </c>
      <c r="X24" s="71">
        <f t="shared" si="1"/>
        <v>3.2942708333333334E-2</v>
      </c>
    </row>
    <row r="25" spans="1:24">
      <c r="A25" s="97"/>
      <c r="B25" s="98">
        <v>0</v>
      </c>
      <c r="C25" s="99">
        <v>9600</v>
      </c>
      <c r="D25" s="100">
        <v>10400</v>
      </c>
      <c r="E25" s="101">
        <v>5.5</v>
      </c>
      <c r="F25" s="102">
        <v>2.8</v>
      </c>
      <c r="G25" s="101">
        <f t="shared" si="5"/>
        <v>1.6378460497066514</v>
      </c>
      <c r="H25" s="103">
        <f t="shared" si="6"/>
        <v>98.270762982399077</v>
      </c>
      <c r="I25" s="99">
        <v>150</v>
      </c>
      <c r="J25" s="104">
        <v>0.1</v>
      </c>
      <c r="K25" s="105">
        <v>0.03</v>
      </c>
      <c r="L25" s="106">
        <v>3</v>
      </c>
      <c r="M25" s="107">
        <f t="shared" si="7"/>
        <v>900</v>
      </c>
      <c r="N25" s="108">
        <f t="shared" si="8"/>
        <v>800</v>
      </c>
      <c r="O25" s="93"/>
      <c r="P25" s="81"/>
      <c r="Q25" s="82">
        <f t="shared" si="2"/>
        <v>0</v>
      </c>
      <c r="R25" s="83">
        <f t="shared" si="0"/>
        <v>80</v>
      </c>
      <c r="S25" s="66"/>
      <c r="T25" s="67">
        <f t="shared" si="3"/>
        <v>0</v>
      </c>
      <c r="U25" s="68">
        <f t="shared" si="3"/>
        <v>0</v>
      </c>
      <c r="V25" s="69">
        <f t="shared" si="3"/>
        <v>0</v>
      </c>
      <c r="W25" s="84">
        <f t="shared" si="4"/>
        <v>80</v>
      </c>
      <c r="X25" s="85">
        <f t="shared" si="1"/>
        <v>8.3333333333333332E-3</v>
      </c>
    </row>
    <row r="26" spans="1:24">
      <c r="A26" s="97"/>
      <c r="B26" s="98">
        <v>0</v>
      </c>
      <c r="C26" s="99">
        <v>4600</v>
      </c>
      <c r="D26" s="100">
        <v>5200</v>
      </c>
      <c r="E26" s="101">
        <v>5.5</v>
      </c>
      <c r="F26" s="102">
        <v>2.8</v>
      </c>
      <c r="G26" s="101">
        <f t="shared" si="5"/>
        <v>1.1581320482871724</v>
      </c>
      <c r="H26" s="103">
        <f t="shared" si="6"/>
        <v>69.487922897230348</v>
      </c>
      <c r="I26" s="99">
        <v>150</v>
      </c>
      <c r="J26" s="104">
        <v>0.1</v>
      </c>
      <c r="K26" s="105">
        <v>0.03</v>
      </c>
      <c r="L26" s="106">
        <v>3</v>
      </c>
      <c r="M26" s="107">
        <f t="shared" si="7"/>
        <v>400</v>
      </c>
      <c r="N26" s="108">
        <f t="shared" si="8"/>
        <v>400</v>
      </c>
      <c r="O26" s="93"/>
      <c r="P26" s="81"/>
      <c r="Q26" s="82">
        <f t="shared" si="2"/>
        <v>0</v>
      </c>
      <c r="R26" s="83">
        <f t="shared" si="0"/>
        <v>40</v>
      </c>
      <c r="S26" s="66"/>
      <c r="T26" s="67">
        <f t="shared" si="3"/>
        <v>0</v>
      </c>
      <c r="U26" s="68">
        <f t="shared" si="3"/>
        <v>0</v>
      </c>
      <c r="V26" s="69">
        <f t="shared" si="3"/>
        <v>0</v>
      </c>
      <c r="W26" s="84">
        <f t="shared" si="4"/>
        <v>40</v>
      </c>
      <c r="X26" s="85">
        <f t="shared" si="1"/>
        <v>8.6956521739130436E-3</v>
      </c>
    </row>
    <row r="27" spans="1:24" s="96" customFormat="1">
      <c r="A27" s="53" t="s">
        <v>47</v>
      </c>
      <c r="B27" s="54">
        <v>7</v>
      </c>
      <c r="C27" s="86">
        <f>2*9600</f>
        <v>19200</v>
      </c>
      <c r="D27" s="87">
        <f>-INT(-C27/1000)*1000*110%</f>
        <v>22000</v>
      </c>
      <c r="E27" s="88">
        <v>5.5</v>
      </c>
      <c r="F27" s="88">
        <v>2.8</v>
      </c>
      <c r="G27" s="88">
        <f t="shared" si="5"/>
        <v>2.3821425596725265</v>
      </c>
      <c r="H27" s="89">
        <f t="shared" si="6"/>
        <v>142.9285535803516</v>
      </c>
      <c r="I27" s="86">
        <v>1000</v>
      </c>
      <c r="J27" s="90">
        <v>0</v>
      </c>
      <c r="K27" s="91">
        <v>0.03</v>
      </c>
      <c r="L27" s="92">
        <v>3</v>
      </c>
      <c r="M27" s="60">
        <f t="shared" si="7"/>
        <v>3100</v>
      </c>
      <c r="N27" s="61">
        <f t="shared" si="8"/>
        <v>2800</v>
      </c>
      <c r="O27" s="93"/>
      <c r="P27" s="94">
        <f>(0.1+0.0096*I27)*D27/22000</f>
        <v>9.6999999999999993</v>
      </c>
      <c r="Q27" s="64">
        <f t="shared" si="2"/>
        <v>203.15781410073754</v>
      </c>
      <c r="R27" s="65">
        <f t="shared" si="0"/>
        <v>280</v>
      </c>
      <c r="S27" s="95">
        <f>-INT(-I27/$C$5)*S$10</f>
        <v>50</v>
      </c>
      <c r="T27" s="67">
        <f t="shared" si="3"/>
        <v>12.5</v>
      </c>
      <c r="U27" s="68">
        <f t="shared" si="3"/>
        <v>37.5</v>
      </c>
      <c r="V27" s="69">
        <f t="shared" si="3"/>
        <v>12.5</v>
      </c>
      <c r="W27" s="70">
        <f t="shared" si="4"/>
        <v>342.5</v>
      </c>
      <c r="X27" s="71">
        <f t="shared" si="1"/>
        <v>1.7838541666666666E-2</v>
      </c>
    </row>
    <row r="28" spans="1:24">
      <c r="A28" s="72"/>
      <c r="B28" s="98">
        <v>0</v>
      </c>
      <c r="C28" s="99">
        <v>9600</v>
      </c>
      <c r="D28" s="100">
        <v>10400</v>
      </c>
      <c r="E28" s="101">
        <v>5.5</v>
      </c>
      <c r="F28" s="102">
        <v>2.8</v>
      </c>
      <c r="G28" s="101">
        <f t="shared" si="5"/>
        <v>1.6378460497066514</v>
      </c>
      <c r="H28" s="103">
        <f t="shared" si="6"/>
        <v>98.270762982399077</v>
      </c>
      <c r="I28" s="99">
        <v>150</v>
      </c>
      <c r="J28" s="104">
        <v>0</v>
      </c>
      <c r="K28" s="105">
        <v>0.03</v>
      </c>
      <c r="L28" s="106">
        <v>3</v>
      </c>
      <c r="M28" s="107">
        <f t="shared" si="7"/>
        <v>300</v>
      </c>
      <c r="N28" s="108">
        <f t="shared" si="8"/>
        <v>300</v>
      </c>
      <c r="O28" s="93"/>
      <c r="P28" s="81"/>
      <c r="Q28" s="82">
        <f t="shared" si="2"/>
        <v>0</v>
      </c>
      <c r="R28" s="83">
        <f t="shared" si="0"/>
        <v>30</v>
      </c>
      <c r="S28" s="66"/>
      <c r="T28" s="67">
        <f t="shared" si="3"/>
        <v>0</v>
      </c>
      <c r="U28" s="68">
        <f t="shared" si="3"/>
        <v>0</v>
      </c>
      <c r="V28" s="69">
        <f t="shared" si="3"/>
        <v>0</v>
      </c>
      <c r="W28" s="84">
        <f t="shared" si="4"/>
        <v>30</v>
      </c>
      <c r="X28" s="85">
        <f t="shared" si="1"/>
        <v>3.1250000000000002E-3</v>
      </c>
    </row>
    <row r="29" spans="1:24">
      <c r="A29" s="72"/>
      <c r="B29" s="98">
        <v>0</v>
      </c>
      <c r="C29" s="99">
        <v>4600</v>
      </c>
      <c r="D29" s="100">
        <v>5200</v>
      </c>
      <c r="E29" s="101">
        <v>5.5</v>
      </c>
      <c r="F29" s="102">
        <v>2.8</v>
      </c>
      <c r="G29" s="101">
        <f t="shared" si="5"/>
        <v>1.1581320482871724</v>
      </c>
      <c r="H29" s="103">
        <f t="shared" si="6"/>
        <v>69.487922897230348</v>
      </c>
      <c r="I29" s="99">
        <v>150</v>
      </c>
      <c r="J29" s="104">
        <v>0</v>
      </c>
      <c r="K29" s="105">
        <v>0.03</v>
      </c>
      <c r="L29" s="106">
        <v>3</v>
      </c>
      <c r="M29" s="107">
        <f t="shared" si="7"/>
        <v>200</v>
      </c>
      <c r="N29" s="108">
        <f t="shared" si="8"/>
        <v>200</v>
      </c>
      <c r="O29" s="93"/>
      <c r="P29" s="81"/>
      <c r="Q29" s="82">
        <f t="shared" si="2"/>
        <v>0</v>
      </c>
      <c r="R29" s="83">
        <f t="shared" si="0"/>
        <v>20</v>
      </c>
      <c r="S29" s="66"/>
      <c r="T29" s="67">
        <f t="shared" si="3"/>
        <v>0</v>
      </c>
      <c r="U29" s="68">
        <f t="shared" si="3"/>
        <v>0</v>
      </c>
      <c r="V29" s="69">
        <f t="shared" si="3"/>
        <v>0</v>
      </c>
      <c r="W29" s="84">
        <f t="shared" si="4"/>
        <v>20</v>
      </c>
      <c r="X29" s="85">
        <f t="shared" si="1"/>
        <v>4.3478260869565218E-3</v>
      </c>
    </row>
    <row r="30" spans="1:24" s="96" customFormat="1">
      <c r="A30" s="53" t="s">
        <v>48</v>
      </c>
      <c r="B30" s="54">
        <v>1</v>
      </c>
      <c r="C30" s="86">
        <f>2*9600</f>
        <v>19200</v>
      </c>
      <c r="D30" s="87">
        <f>-INT(-C30/1000)*1000*110%</f>
        <v>22000</v>
      </c>
      <c r="E30" s="88">
        <v>5.5</v>
      </c>
      <c r="F30" s="88">
        <v>2.8</v>
      </c>
      <c r="G30" s="88">
        <f t="shared" si="5"/>
        <v>2.3821425596725265</v>
      </c>
      <c r="H30" s="89">
        <f t="shared" si="6"/>
        <v>142.9285535803516</v>
      </c>
      <c r="I30" s="86">
        <v>1000</v>
      </c>
      <c r="J30" s="90">
        <v>0</v>
      </c>
      <c r="K30" s="91">
        <v>0.03</v>
      </c>
      <c r="L30" s="92">
        <v>3</v>
      </c>
      <c r="M30" s="60">
        <f t="shared" si="7"/>
        <v>3100</v>
      </c>
      <c r="N30" s="61">
        <f t="shared" si="8"/>
        <v>2800</v>
      </c>
      <c r="O30" s="93"/>
      <c r="P30" s="94">
        <f>(0.1+0.0133*I30)*D30/22000</f>
        <v>13.399999999999997</v>
      </c>
      <c r="Q30" s="64">
        <f t="shared" si="2"/>
        <v>280.65100092266835</v>
      </c>
      <c r="R30" s="109">
        <f t="shared" si="0"/>
        <v>280</v>
      </c>
      <c r="S30" s="95">
        <f>-INT(-I30/$C$5)*S$10</f>
        <v>50</v>
      </c>
      <c r="T30" s="67">
        <f t="shared" si="3"/>
        <v>12.5</v>
      </c>
      <c r="U30" s="68">
        <f t="shared" si="3"/>
        <v>37.5</v>
      </c>
      <c r="V30" s="69">
        <f t="shared" si="3"/>
        <v>12.5</v>
      </c>
      <c r="W30" s="70">
        <f t="shared" si="4"/>
        <v>342.5</v>
      </c>
      <c r="X30" s="110">
        <f t="shared" si="1"/>
        <v>1.7838541666666666E-2</v>
      </c>
    </row>
    <row r="31" spans="1:24">
      <c r="A31" s="72"/>
      <c r="B31" s="98">
        <v>0</v>
      </c>
      <c r="C31" s="99">
        <v>9600</v>
      </c>
      <c r="D31" s="100">
        <v>10400</v>
      </c>
      <c r="E31" s="101">
        <v>5.5</v>
      </c>
      <c r="F31" s="102">
        <v>2.8</v>
      </c>
      <c r="G31" s="101">
        <f t="shared" si="5"/>
        <v>1.6378460497066514</v>
      </c>
      <c r="H31" s="103">
        <f t="shared" si="6"/>
        <v>98.270762982399077</v>
      </c>
      <c r="I31" s="99">
        <v>150</v>
      </c>
      <c r="J31" s="104">
        <v>0</v>
      </c>
      <c r="K31" s="105">
        <v>0.03</v>
      </c>
      <c r="L31" s="106">
        <v>3</v>
      </c>
      <c r="M31" s="107">
        <f t="shared" si="7"/>
        <v>300</v>
      </c>
      <c r="N31" s="108">
        <f t="shared" si="8"/>
        <v>300</v>
      </c>
      <c r="O31" s="93"/>
      <c r="P31" s="81"/>
      <c r="Q31" s="82">
        <f t="shared" si="2"/>
        <v>0</v>
      </c>
      <c r="R31" s="83">
        <f t="shared" si="0"/>
        <v>30</v>
      </c>
      <c r="S31" s="66"/>
      <c r="T31" s="67">
        <f t="shared" si="3"/>
        <v>0</v>
      </c>
      <c r="U31" s="68">
        <f t="shared" si="3"/>
        <v>0</v>
      </c>
      <c r="V31" s="69">
        <f t="shared" si="3"/>
        <v>0</v>
      </c>
      <c r="W31" s="84">
        <f t="shared" si="4"/>
        <v>30</v>
      </c>
      <c r="X31" s="85">
        <f t="shared" si="1"/>
        <v>3.1250000000000002E-3</v>
      </c>
    </row>
    <row r="32" spans="1:24">
      <c r="A32" s="72"/>
      <c r="B32" s="98">
        <v>0</v>
      </c>
      <c r="C32" s="99">
        <v>4600</v>
      </c>
      <c r="D32" s="100">
        <v>5200</v>
      </c>
      <c r="E32" s="101">
        <v>5.5</v>
      </c>
      <c r="F32" s="102">
        <v>2.8</v>
      </c>
      <c r="G32" s="101">
        <f t="shared" si="5"/>
        <v>1.1581320482871724</v>
      </c>
      <c r="H32" s="103">
        <f t="shared" si="6"/>
        <v>69.487922897230348</v>
      </c>
      <c r="I32" s="99">
        <v>150</v>
      </c>
      <c r="J32" s="104">
        <v>0</v>
      </c>
      <c r="K32" s="105">
        <v>0.03</v>
      </c>
      <c r="L32" s="106">
        <v>3</v>
      </c>
      <c r="M32" s="107">
        <f t="shared" si="7"/>
        <v>200</v>
      </c>
      <c r="N32" s="108">
        <f t="shared" si="8"/>
        <v>200</v>
      </c>
      <c r="O32" s="93"/>
      <c r="P32" s="81"/>
      <c r="Q32" s="82">
        <f t="shared" si="2"/>
        <v>0</v>
      </c>
      <c r="R32" s="83">
        <f t="shared" si="0"/>
        <v>20</v>
      </c>
      <c r="S32" s="66"/>
      <c r="T32" s="67">
        <f t="shared" si="3"/>
        <v>0</v>
      </c>
      <c r="U32" s="68">
        <f t="shared" si="3"/>
        <v>0</v>
      </c>
      <c r="V32" s="69">
        <f t="shared" si="3"/>
        <v>0</v>
      </c>
      <c r="W32" s="84">
        <f t="shared" si="4"/>
        <v>20</v>
      </c>
      <c r="X32" s="85">
        <f t="shared" si="1"/>
        <v>4.3478260869565218E-3</v>
      </c>
    </row>
    <row r="33" spans="1:24" s="96" customFormat="1">
      <c r="A33" s="53" t="s">
        <v>49</v>
      </c>
      <c r="B33" s="54">
        <v>1</v>
      </c>
      <c r="C33" s="86">
        <f>2*9600</f>
        <v>19200</v>
      </c>
      <c r="D33" s="87">
        <f>-INT(-C33/1000)*1000*110%</f>
        <v>22000</v>
      </c>
      <c r="E33" s="55"/>
      <c r="F33" s="55"/>
      <c r="G33" s="58"/>
      <c r="H33" s="55"/>
      <c r="I33" s="55"/>
      <c r="J33" s="55"/>
      <c r="K33" s="55"/>
      <c r="L33" s="59"/>
      <c r="M33" s="60">
        <v>2000</v>
      </c>
      <c r="N33" s="61">
        <f>80%*M33</f>
        <v>1600</v>
      </c>
      <c r="O33" s="93"/>
      <c r="P33" s="94">
        <v>17</v>
      </c>
      <c r="Q33" s="64">
        <f t="shared" si="2"/>
        <v>356.04977728995237</v>
      </c>
      <c r="R33" s="109">
        <f t="shared" si="0"/>
        <v>160</v>
      </c>
      <c r="S33" s="111">
        <v>130</v>
      </c>
      <c r="T33" s="67">
        <f t="shared" si="3"/>
        <v>32.5</v>
      </c>
      <c r="U33" s="68">
        <f t="shared" si="3"/>
        <v>97.5</v>
      </c>
      <c r="V33" s="69">
        <f t="shared" si="3"/>
        <v>32.5</v>
      </c>
      <c r="W33" s="70">
        <f t="shared" si="4"/>
        <v>322.5</v>
      </c>
      <c r="X33" s="110">
        <f t="shared" si="1"/>
        <v>1.6796874999999999E-2</v>
      </c>
    </row>
    <row r="34" spans="1:24">
      <c r="A34" s="112"/>
      <c r="B34" s="98">
        <v>0</v>
      </c>
      <c r="C34" s="99">
        <v>9600</v>
      </c>
      <c r="D34" s="100">
        <v>10400</v>
      </c>
      <c r="E34" s="101"/>
      <c r="F34" s="102"/>
      <c r="G34" s="101"/>
      <c r="H34" s="103"/>
      <c r="I34" s="55"/>
      <c r="J34" s="55"/>
      <c r="K34" s="105"/>
      <c r="L34" s="106"/>
      <c r="M34" s="79"/>
      <c r="N34" s="80"/>
      <c r="O34" s="93"/>
      <c r="P34" s="81"/>
      <c r="Q34" s="82">
        <f t="shared" si="2"/>
        <v>0</v>
      </c>
      <c r="R34" s="83">
        <f t="shared" si="0"/>
        <v>0</v>
      </c>
      <c r="S34" s="66"/>
      <c r="T34" s="67">
        <f t="shared" si="3"/>
        <v>0</v>
      </c>
      <c r="U34" s="68">
        <f t="shared" si="3"/>
        <v>0</v>
      </c>
      <c r="V34" s="69">
        <f t="shared" si="3"/>
        <v>0</v>
      </c>
      <c r="W34" s="84">
        <f t="shared" si="4"/>
        <v>0</v>
      </c>
      <c r="X34" s="85">
        <f t="shared" si="1"/>
        <v>0</v>
      </c>
    </row>
    <row r="35" spans="1:24">
      <c r="A35" s="112"/>
      <c r="B35" s="98">
        <v>0</v>
      </c>
      <c r="C35" s="99">
        <v>4600</v>
      </c>
      <c r="D35" s="100">
        <v>5200</v>
      </c>
      <c r="E35" s="101"/>
      <c r="F35" s="102"/>
      <c r="G35" s="101"/>
      <c r="H35" s="103"/>
      <c r="I35" s="55"/>
      <c r="J35" s="55"/>
      <c r="K35" s="105"/>
      <c r="L35" s="106"/>
      <c r="M35" s="79"/>
      <c r="N35" s="80"/>
      <c r="O35" s="93"/>
      <c r="P35" s="81"/>
      <c r="Q35" s="82">
        <f t="shared" si="2"/>
        <v>0</v>
      </c>
      <c r="R35" s="83">
        <f t="shared" si="0"/>
        <v>0</v>
      </c>
      <c r="S35" s="66"/>
      <c r="T35" s="67">
        <f t="shared" si="3"/>
        <v>0</v>
      </c>
      <c r="U35" s="68">
        <f t="shared" si="3"/>
        <v>0</v>
      </c>
      <c r="V35" s="69">
        <f t="shared" si="3"/>
        <v>0</v>
      </c>
      <c r="W35" s="84">
        <f t="shared" si="4"/>
        <v>0</v>
      </c>
      <c r="X35" s="85">
        <f t="shared" si="1"/>
        <v>0</v>
      </c>
    </row>
    <row r="36" spans="1:24">
      <c r="A36" s="113" t="s">
        <v>50</v>
      </c>
      <c r="B36" s="114">
        <v>1</v>
      </c>
      <c r="C36" s="86">
        <f>2*9600</f>
        <v>19200</v>
      </c>
      <c r="D36" s="115"/>
      <c r="E36" s="116"/>
      <c r="F36" s="117"/>
      <c r="G36" s="116"/>
      <c r="H36" s="118"/>
      <c r="I36" s="119"/>
      <c r="J36" s="119"/>
      <c r="K36" s="120"/>
      <c r="L36" s="121"/>
      <c r="M36" s="122"/>
      <c r="N36" s="123"/>
      <c r="O36" s="93"/>
      <c r="P36" s="124"/>
      <c r="Q36" s="125"/>
      <c r="R36" s="83">
        <f t="shared" si="0"/>
        <v>0</v>
      </c>
      <c r="S36" s="66"/>
      <c r="T36" s="67">
        <f t="shared" si="3"/>
        <v>0</v>
      </c>
      <c r="U36" s="68">
        <f t="shared" si="3"/>
        <v>0</v>
      </c>
      <c r="V36" s="69">
        <f t="shared" si="3"/>
        <v>0</v>
      </c>
      <c r="W36" s="84">
        <f>R36+S36+V36</f>
        <v>0</v>
      </c>
      <c r="X36" s="85">
        <f t="shared" si="1"/>
        <v>0</v>
      </c>
    </row>
    <row r="37" spans="1:24" s="96" customFormat="1" ht="13.5" thickBot="1">
      <c r="A37" s="126" t="s">
        <v>51</v>
      </c>
      <c r="B37" s="127">
        <f>-INT(-M38/5000)</f>
        <v>17</v>
      </c>
      <c r="C37" s="128">
        <f>2*9600</f>
        <v>19200</v>
      </c>
      <c r="D37" s="129"/>
      <c r="E37" s="130"/>
      <c r="F37" s="130"/>
      <c r="G37" s="131"/>
      <c r="H37" s="130"/>
      <c r="I37" s="130"/>
      <c r="J37" s="130"/>
      <c r="K37" s="130"/>
      <c r="L37" s="132"/>
      <c r="M37" s="133"/>
      <c r="N37" s="134"/>
      <c r="O37" s="93"/>
      <c r="P37" s="135">
        <v>1.3</v>
      </c>
      <c r="Q37" s="64">
        <f t="shared" si="2"/>
        <v>27.227335910408122</v>
      </c>
      <c r="R37" s="136"/>
      <c r="S37" s="137">
        <f>O37*$R$10</f>
        <v>0</v>
      </c>
      <c r="T37" s="67">
        <f t="shared" si="3"/>
        <v>0</v>
      </c>
      <c r="U37" s="68">
        <f t="shared" si="3"/>
        <v>0</v>
      </c>
      <c r="V37" s="69">
        <f t="shared" si="3"/>
        <v>0</v>
      </c>
      <c r="W37" s="84">
        <f>R37+S37+V37</f>
        <v>0</v>
      </c>
      <c r="X37" s="85">
        <f t="shared" si="1"/>
        <v>0</v>
      </c>
    </row>
    <row r="38" spans="1:24" ht="13.5" thickBot="1">
      <c r="A38" s="138"/>
      <c r="B38" s="138"/>
      <c r="C38" s="139"/>
      <c r="D38" s="139"/>
      <c r="E38" s="139"/>
      <c r="F38" s="140"/>
      <c r="G38" s="139"/>
      <c r="H38" s="141"/>
      <c r="I38" s="139"/>
      <c r="J38" s="142"/>
      <c r="K38" s="143"/>
      <c r="L38" s="140"/>
      <c r="M38" s="144">
        <f>SUMPRODUCT($B12:$B36,M12:M36)</f>
        <v>83100</v>
      </c>
      <c r="N38" s="144">
        <f>SUMPRODUCT($B12:$B36,N12:N36)</f>
        <v>73220</v>
      </c>
      <c r="O38" s="145"/>
      <c r="P38" s="146">
        <f t="shared" ref="P38:X38" si="9">SUMPRODUCT($B12:$B37,P12:P37)</f>
        <v>267.05</v>
      </c>
      <c r="Q38" s="147">
        <f t="shared" si="9"/>
        <v>5593.1231191342231</v>
      </c>
      <c r="R38" s="148">
        <f t="shared" si="9"/>
        <v>7322</v>
      </c>
      <c r="S38" s="146">
        <f t="shared" si="9"/>
        <v>2230</v>
      </c>
      <c r="T38" s="149">
        <f t="shared" si="9"/>
        <v>557.5</v>
      </c>
      <c r="U38" s="150">
        <f t="shared" si="9"/>
        <v>1672.5</v>
      </c>
      <c r="V38" s="144">
        <f t="shared" si="9"/>
        <v>557.5</v>
      </c>
      <c r="W38" s="151">
        <f t="shared" si="9"/>
        <v>10109.5</v>
      </c>
      <c r="X38" s="152">
        <f t="shared" si="9"/>
        <v>0.60997395833333334</v>
      </c>
    </row>
    <row r="39" spans="1:24">
      <c r="R39" s="96" t="s">
        <v>52</v>
      </c>
      <c r="T39" s="153">
        <f>-INT(-T38/$C$3)</f>
        <v>12</v>
      </c>
      <c r="V39" s="153">
        <f>-INT(-V38/$C$3)</f>
        <v>12</v>
      </c>
      <c r="X39" s="153">
        <f>T39+V39</f>
        <v>24</v>
      </c>
    </row>
    <row r="40" spans="1:24">
      <c r="A40" s="154"/>
      <c r="B40" s="154"/>
      <c r="C40" s="155"/>
      <c r="D40" s="156"/>
      <c r="E40" s="157"/>
      <c r="F40" s="158"/>
      <c r="G40" s="158"/>
      <c r="P40" s="1"/>
      <c r="Q40" s="1"/>
    </row>
    <row r="41" spans="1:24">
      <c r="A41" s="154"/>
      <c r="B41" s="154"/>
      <c r="C41" s="155"/>
      <c r="D41" s="156"/>
      <c r="E41" s="157"/>
      <c r="F41" s="158"/>
      <c r="G41" s="158"/>
      <c r="P41" s="159"/>
    </row>
    <row r="42" spans="1:24">
      <c r="P42" s="159"/>
    </row>
    <row r="43" spans="1:24">
      <c r="P43" s="159"/>
    </row>
  </sheetData>
  <mergeCells count="2">
    <mergeCell ref="A8:N8"/>
    <mergeCell ref="P8:X8"/>
  </mergeCells>
  <pageMargins left="0.74803149606299213" right="0.74803149606299213" top="0.98425196850393704" bottom="0.98425196850393704" header="0.51181102362204722" footer="0.51181102362204722"/>
  <pageSetup paperSize="9" scale="7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ConveyorCalcs</vt:lpstr>
    </vt:vector>
  </TitlesOfParts>
  <Company>SNOWDEN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Cooper</dc:creator>
  <cp:lastModifiedBy>Alan Cooper</cp:lastModifiedBy>
  <dcterms:created xsi:type="dcterms:W3CDTF">2010-09-09T12:08:45Z</dcterms:created>
  <dcterms:modified xsi:type="dcterms:W3CDTF">2010-09-09T12:10:16Z</dcterms:modified>
</cp:coreProperties>
</file>