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rod\Documents\ingenieria\9 cuatrimestre\factibilidad de proyectos de innovacion\"/>
    </mc:Choice>
  </mc:AlternateContent>
  <xr:revisionPtr revIDLastSave="0" documentId="13_ncr:1_{2162E2E5-C46B-41BE-B556-2D29DF890802}" xr6:coauthVersionLast="47" xr6:coauthVersionMax="47" xr10:uidLastSave="{00000000-0000-0000-0000-000000000000}"/>
  <bookViews>
    <workbookView xWindow="-120" yWindow="-120" windowWidth="29040" windowHeight="15720" activeTab="4" xr2:uid="{44BDDED3-D933-49F6-ADE0-44DD3D0B4160}"/>
  </bookViews>
  <sheets>
    <sheet name="Periodos de recuperacion" sheetId="1" r:id="rId1"/>
    <sheet name="PFSA" sheetId="2" r:id="rId2"/>
    <sheet name="Factor de ajuste (PFA)" sheetId="3" r:id="rId3"/>
    <sheet name="Estimación de Esfuerzo" sheetId="4" r:id="rId4"/>
    <sheet name="Presupuesto" sheetId="5" r:id="rId5"/>
  </sheets>
  <externalReferences>
    <externalReference r:id="rId6"/>
  </externalReferences>
  <definedNames>
    <definedName name="Alta">[1]!Tabla3518[Alta]</definedName>
    <definedName name="Baja">[1]!Tabla3518[Baja]</definedName>
    <definedName name="IMPACTO">[1]!Tabla11102128[[#All],[Columna2]]</definedName>
    <definedName name="Media">[1]!Tabla3518[Media]</definedName>
    <definedName name="Valoresimpacto">[1]!Tabla11102128[[#All],[Columna1]]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5" l="1"/>
  <c r="F15" i="4"/>
  <c r="F16" i="4" s="1"/>
  <c r="F11" i="4"/>
  <c r="C22" i="3"/>
  <c r="D18" i="3"/>
  <c r="C23" i="3" s="1"/>
  <c r="D20" i="2" a="1"/>
  <c r="D20" i="2" s="1"/>
  <c r="F20" i="2" s="1"/>
  <c r="D19" i="2" a="1"/>
  <c r="D19" i="2" s="1"/>
  <c r="F19" i="2" s="1"/>
  <c r="F18" i="2"/>
  <c r="F17" i="2"/>
  <c r="F16" i="2"/>
  <c r="F15" i="2"/>
  <c r="F14" i="2"/>
  <c r="F13" i="2"/>
  <c r="D13" i="2"/>
  <c r="D13" i="2" a="1"/>
  <c r="D12" i="2" a="1"/>
  <c r="D12" i="2" s="1"/>
  <c r="F12" i="2" s="1"/>
  <c r="D11" i="2" a="1"/>
  <c r="D11" i="2" s="1"/>
  <c r="F11" i="2" s="1"/>
  <c r="D10" i="2" a="1"/>
  <c r="D10" i="2" s="1"/>
  <c r="F10" i="2" s="1"/>
  <c r="D9" i="2" a="1"/>
  <c r="D9" i="2" s="1"/>
  <c r="F9" i="2" s="1"/>
  <c r="D8" i="2"/>
  <c r="F8" i="2" s="1"/>
  <c r="D8" i="2" a="1"/>
  <c r="D7" i="2" a="1"/>
  <c r="D7" i="2" s="1"/>
  <c r="F7" i="2" s="1"/>
  <c r="B23" i="1"/>
  <c r="E14" i="1"/>
  <c r="E15" i="1" s="1"/>
  <c r="E16" i="1" s="1"/>
  <c r="E17" i="1" s="1"/>
  <c r="E18" i="1" s="1"/>
  <c r="E19" i="1" s="1"/>
  <c r="B14" i="1"/>
  <c r="B15" i="1" s="1"/>
  <c r="B16" i="1" s="1"/>
  <c r="B17" i="1" s="1"/>
  <c r="B18" i="1" s="1"/>
  <c r="B19" i="1" s="1"/>
  <c r="B20" i="1" s="1"/>
  <c r="C25" i="3" l="1"/>
  <c r="F21" i="2"/>
  <c r="B24" i="1"/>
  <c r="B21" i="1"/>
  <c r="B25" i="1" l="1"/>
  <c r="B26" i="1" s="1"/>
  <c r="E20" i="1"/>
  <c r="D21" i="1"/>
  <c r="B27" i="1" l="1"/>
  <c r="E21" i="1"/>
  <c r="C10" i="5" l="1"/>
  <c r="C1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<sst xmlns="http://schemas.openxmlformats.org/spreadsheetml/2006/main" count="129" uniqueCount="99">
  <si>
    <t>Año</t>
  </si>
  <si>
    <t>No. Año</t>
  </si>
  <si>
    <t>Flujo de efectivo</t>
  </si>
  <si>
    <t>Flujo Acumulado</t>
  </si>
  <si>
    <t>Inversión Inicial</t>
  </si>
  <si>
    <t>Año inicio</t>
  </si>
  <si>
    <t>Solución</t>
  </si>
  <si>
    <t>Años en recuperar la inversión</t>
  </si>
  <si>
    <t>Años</t>
  </si>
  <si>
    <t>Meses</t>
  </si>
  <si>
    <t>Días</t>
  </si>
  <si>
    <t>Recuperación</t>
  </si>
  <si>
    <t>Estimación de Puntos de Función</t>
  </si>
  <si>
    <t>Aplicación para:</t>
  </si>
  <si>
    <t>Colegio</t>
  </si>
  <si>
    <t>Nivel de complejidad</t>
  </si>
  <si>
    <t>Media</t>
  </si>
  <si>
    <t xml:space="preserve">Registro de alumnos </t>
  </si>
  <si>
    <t>Tipo</t>
  </si>
  <si>
    <t>Cantidad</t>
  </si>
  <si>
    <t>Valor</t>
  </si>
  <si>
    <t>Total</t>
  </si>
  <si>
    <t>(EI) Entrada Externa</t>
  </si>
  <si>
    <t>(EQ) Consulta Externa</t>
  </si>
  <si>
    <t>(EO) Salida Externa</t>
  </si>
  <si>
    <t>(ILF) Archivo Lógico Interno</t>
  </si>
  <si>
    <t>Puntos de Función sin Ajustar (PFSA)</t>
  </si>
  <si>
    <t>Tabla IFPUG</t>
  </si>
  <si>
    <t>Tipo/Complejidad</t>
  </si>
  <si>
    <t>Baja</t>
  </si>
  <si>
    <t>Alta</t>
  </si>
  <si>
    <t>(EIF) Archivo de interfaz externo</t>
  </si>
  <si>
    <t>Registro de alumos</t>
  </si>
  <si>
    <t>Registro de docentes y administrativos</t>
  </si>
  <si>
    <t>Registro de materias</t>
  </si>
  <si>
    <t>Actualización de datos</t>
  </si>
  <si>
    <t>Eliminar datos</t>
  </si>
  <si>
    <t>Listado de datos</t>
  </si>
  <si>
    <t>Reportes de alumnos, docentes, materias</t>
  </si>
  <si>
    <t>Tablas de datos; 1 por cada elemento (alumnos, docentes, administrativo,
materia, grados, calificaciones) 6 tablas</t>
  </si>
  <si>
    <t>Reporte de alumnos inscritos</t>
  </si>
  <si>
    <t>Reporte de calificaciones</t>
  </si>
  <si>
    <t>Buscar datos</t>
  </si>
  <si>
    <t>Reporte de materias activas</t>
  </si>
  <si>
    <t>Factor de Ajuste</t>
  </si>
  <si>
    <t>Impacto</t>
  </si>
  <si>
    <t>Puntaje asignado</t>
  </si>
  <si>
    <t>Comunicación de datos</t>
  </si>
  <si>
    <t>Impacto Alto</t>
  </si>
  <si>
    <t>Procesamiento de datos distribuido</t>
  </si>
  <si>
    <t>Desempeño</t>
  </si>
  <si>
    <t>Mínimo impacto</t>
  </si>
  <si>
    <t>Configuración</t>
  </si>
  <si>
    <t>Tasa de transaccciones</t>
  </si>
  <si>
    <t>Impacto Superior al promedio</t>
  </si>
  <si>
    <t>Entrada de datos en línea</t>
  </si>
  <si>
    <t>Impacto Fuerte</t>
  </si>
  <si>
    <t>Eficiencia del usuario final</t>
  </si>
  <si>
    <t>Impacto Promedio</t>
  </si>
  <si>
    <t>Actualización en línea</t>
  </si>
  <si>
    <t>Procesamiento complejo</t>
  </si>
  <si>
    <t>Reusabilidad</t>
  </si>
  <si>
    <t>Facilidad de la instalación</t>
  </si>
  <si>
    <t>No existe</t>
  </si>
  <si>
    <t>Facilidad de la operación</t>
  </si>
  <si>
    <t>Sitios múltiples</t>
  </si>
  <si>
    <t>Facilidad de cambios</t>
  </si>
  <si>
    <t>PFA=PFSA * [0.065+ (0,01) * Factor de Ajuste)</t>
  </si>
  <si>
    <t>Donde:</t>
  </si>
  <si>
    <t>PFSA: Puntos de Función sin ajustar</t>
  </si>
  <si>
    <t>PFA: Puntos de función ajustado</t>
  </si>
  <si>
    <t>PFA= 75 * [ 0.65+ (0.01*32)]</t>
  </si>
  <si>
    <t>PFA=</t>
  </si>
  <si>
    <t>Estimación de esfuerzo</t>
  </si>
  <si>
    <t>H/H = PFA * Horas PF Promedio</t>
  </si>
  <si>
    <t>Lenguaje</t>
  </si>
  <si>
    <t>Horas PF promedio</t>
  </si>
  <si>
    <t>Linea de código</t>
  </si>
  <si>
    <t>H/H = 108*8</t>
  </si>
  <si>
    <t>Ensamblado</t>
  </si>
  <si>
    <r>
      <t xml:space="preserve">H/H                                                </t>
    </r>
    <r>
      <rPr>
        <sz val="11"/>
        <color rgb="FFFF0000"/>
        <rFont val="Calibri"/>
        <family val="2"/>
        <scheme val="minor"/>
      </rPr>
      <t>864</t>
    </r>
  </si>
  <si>
    <t>COBOL</t>
  </si>
  <si>
    <t>Lenguaje 4ta Generación</t>
  </si>
  <si>
    <t>Se trabajaran 5 h por día:</t>
  </si>
  <si>
    <t xml:space="preserve">864/5 = 172.8 días de trabajo </t>
  </si>
  <si>
    <t>Se trabajaran 20 días al mes:</t>
  </si>
  <si>
    <t>Requerimos aproximadamente 9 meses para finalizar el trabajo</t>
  </si>
  <si>
    <t>Con 4 programadores</t>
  </si>
  <si>
    <t>Dias</t>
  </si>
  <si>
    <t>Costo= (Desarrolladores * Duración meses * sueldos) + Otros costos</t>
  </si>
  <si>
    <t>Número de programadores</t>
  </si>
  <si>
    <t>Duración meses del proyecto</t>
  </si>
  <si>
    <t>Sueldo del programador</t>
  </si>
  <si>
    <t>Otros costos o costos extras</t>
  </si>
  <si>
    <t>Costo de desarrollo</t>
  </si>
  <si>
    <t>Costo total del Software (desarrollo+Otros costos)</t>
  </si>
  <si>
    <t>Periodo de Recuperación de la inversión</t>
  </si>
  <si>
    <t>Presupuesto</t>
  </si>
  <si>
    <t>TABLA DE IMPACTO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</si>
</sst>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&quot;$&quot;* #,##0.00_-;[Red]\-&quot;$&quot;* #,##0.00_-;_-&quot;$&quot;* &quot;-&quot;??_-;_-@_-"/>
    <numFmt numFmtId="167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 tint="4.9989318521683403E-2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1"/>
      <name val="Century Gothic"/>
      <family val="2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</cellStyleXfs>
  <cellXfs count="55">
    <xf numFmtId="0" fontId="0" fillId="0" borderId="0" xfId="0"/>
    <xf numFmtId="0" fontId="10" fillId="4" borderId="0" xfId="0" applyFont="1" applyFill="1"/>
    <xf numFmtId="0" fontId="0" fillId="0" borderId="0" xfId="0" applyAlignment="1">
      <alignment horizontal="center"/>
    </xf>
    <xf numFmtId="0" fontId="7" fillId="0" borderId="0" xfId="0" applyFont="1"/>
    <xf numFmtId="1" fontId="8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/>
    </xf>
    <xf numFmtId="164" fontId="8" fillId="0" borderId="0" xfId="0" applyNumberFormat="1" applyFont="1"/>
    <xf numFmtId="165" fontId="8" fillId="0" borderId="0" xfId="0" applyNumberFormat="1" applyFont="1"/>
    <xf numFmtId="1" fontId="9" fillId="0" borderId="0" xfId="0" applyNumberFormat="1" applyFont="1" applyAlignment="1">
      <alignment horizontal="center" vertical="center"/>
    </xf>
    <xf numFmtId="164" fontId="9" fillId="0" borderId="0" xfId="0" applyNumberFormat="1" applyFont="1"/>
    <xf numFmtId="165" fontId="9" fillId="0" borderId="0" xfId="0" applyNumberFormat="1" applyFont="1"/>
    <xf numFmtId="0" fontId="2" fillId="0" borderId="0" xfId="2" applyFill="1" applyBorder="1" applyAlignment="1">
      <alignment wrapText="1"/>
    </xf>
    <xf numFmtId="2" fontId="5" fillId="4" borderId="2" xfId="0" applyNumberFormat="1" applyFont="1" applyFill="1" applyBorder="1"/>
    <xf numFmtId="0" fontId="5" fillId="0" borderId="0" xfId="0" applyFont="1" applyAlignment="1">
      <alignment horizontal="left"/>
    </xf>
    <xf numFmtId="1" fontId="5" fillId="4" borderId="2" xfId="0" applyNumberFormat="1" applyFont="1" applyFill="1" applyBorder="1"/>
    <xf numFmtId="14" fontId="0" fillId="0" borderId="0" xfId="0" applyNumberFormat="1"/>
    <xf numFmtId="0" fontId="5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1" fontId="11" fillId="0" borderId="6" xfId="0" applyNumberFormat="1" applyFont="1" applyBorder="1"/>
    <xf numFmtId="164" fontId="8" fillId="5" borderId="2" xfId="0" applyNumberFormat="1" applyFont="1" applyFill="1" applyBorder="1" applyAlignment="1">
      <alignment horizontal="center"/>
    </xf>
    <xf numFmtId="0" fontId="13" fillId="3" borderId="0" xfId="4" applyFont="1" applyAlignment="1">
      <alignment horizontal="center"/>
    </xf>
    <xf numFmtId="0" fontId="5" fillId="4" borderId="0" xfId="0" applyFont="1" applyFill="1"/>
    <xf numFmtId="0" fontId="14" fillId="0" borderId="0" xfId="0" applyFont="1" applyAlignment="1">
      <alignment horizontal="right"/>
    </xf>
    <xf numFmtId="0" fontId="5" fillId="0" borderId="0" xfId="0" applyFont="1"/>
    <xf numFmtId="0" fontId="3" fillId="6" borderId="7" xfId="0" applyFont="1" applyFill="1" applyBorder="1"/>
    <xf numFmtId="0" fontId="3" fillId="6" borderId="8" xfId="0" applyFont="1" applyFill="1" applyBorder="1"/>
    <xf numFmtId="0" fontId="11" fillId="0" borderId="0" xfId="0" applyFont="1"/>
    <xf numFmtId="0" fontId="15" fillId="7" borderId="0" xfId="0" applyFont="1" applyFill="1"/>
    <xf numFmtId="0" fontId="0" fillId="0" borderId="0" xfId="0" applyAlignment="1">
      <alignment wrapText="1"/>
    </xf>
    <xf numFmtId="0" fontId="5" fillId="8" borderId="0" xfId="0" applyFont="1" applyFill="1"/>
    <xf numFmtId="0" fontId="16" fillId="0" borderId="2" xfId="0" applyFont="1" applyBorder="1"/>
    <xf numFmtId="0" fontId="5" fillId="9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4" fillId="0" borderId="0" xfId="0" applyFont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6" fillId="0" borderId="0" xfId="0" applyFont="1"/>
    <xf numFmtId="0" fontId="14" fillId="0" borderId="2" xfId="0" applyFont="1" applyBorder="1"/>
    <xf numFmtId="2" fontId="14" fillId="0" borderId="2" xfId="0" applyNumberFormat="1" applyFont="1" applyBorder="1"/>
    <xf numFmtId="164" fontId="14" fillId="0" borderId="2" xfId="0" applyNumberFormat="1" applyFont="1" applyBorder="1"/>
    <xf numFmtId="167" fontId="0" fillId="0" borderId="2" xfId="1" applyNumberFormat="1" applyFont="1" applyFill="1" applyBorder="1"/>
    <xf numFmtId="167" fontId="17" fillId="2" borderId="2" xfId="3" applyNumberFormat="1" applyFont="1" applyBorder="1"/>
    <xf numFmtId="0" fontId="0" fillId="14" borderId="2" xfId="0" applyFill="1" applyBorder="1" applyAlignment="1">
      <alignment vertical="center"/>
    </xf>
    <xf numFmtId="0" fontId="18" fillId="3" borderId="0" xfId="4" applyFont="1" applyAlignment="1">
      <alignment horizontal="center"/>
    </xf>
    <xf numFmtId="0" fontId="5" fillId="0" borderId="0" xfId="0" applyFont="1" applyAlignment="1">
      <alignment horizontal="center"/>
    </xf>
  </cellXfs>
  <cellStyles count="5">
    <cellStyle name="Énfasis2" xfId="3" builtinId="33"/>
    <cellStyle name="Énfasis5" xfId="4" builtinId="45"/>
    <cellStyle name="Millares" xfId="1" builtinId="3"/>
    <cellStyle name="Normal" xfId="0" builtinId="0"/>
    <cellStyle name="Título 2" xfId="2" builtinId="17"/>
  </cellStyles>
  <dxfs count="15"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entury Gothic"/>
        <family val="2"/>
        <scheme val="none"/>
      </font>
      <numFmt numFmtId="165" formatCode="_-&quot;$&quot;* #,##0.00_-;[Red]\-&quot;$&quot;* #,##0.00_-;_-&quot;$&quot;* &quot;-&quot;??_-;_-@_-"/>
    </dxf>
    <dxf>
      <font>
        <strike val="0"/>
        <outline val="0"/>
        <shadow val="0"/>
        <u val="none"/>
        <vertAlign val="baseline"/>
        <name val="Century Gothic"/>
        <family val="2"/>
        <scheme val="none"/>
      </font>
      <numFmt numFmtId="164" formatCode="_-&quot;$&quot;* #,##0.00_-;\-&quot;$&quot;* #,##0.00_-;_-&quot;$&quot;* &quot;-&quot;??_-;_-@_-"/>
    </dxf>
    <dxf>
      <numFmt numFmtId="0" formatCode="General"/>
    </dxf>
    <dxf>
      <font>
        <strike val="0"/>
        <outline val="0"/>
        <shadow val="0"/>
        <u val="none"/>
        <vertAlign val="baseline"/>
        <name val="Century Gothic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name val="Century Gothic"/>
        <family val="2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 tint="4.9989318521683403E-2"/>
        <name val="Century Gothic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rod\Documents\ingenieria\9%20cuatrimestre\factibilidad%20de%20proyectos%20de%20innovacion\anterior\Actividad%201%20-%20Formato%20de%20apoyo.xlsx" TargetMode="External"/><Relationship Id="rId1" Type="http://schemas.openxmlformats.org/officeDocument/2006/relationships/externalLinkPath" Target="anterior/Actividad%201%20-%20Formato%20de%20apoy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rtada"/>
      <sheetName val="índice"/>
      <sheetName val="Introducción"/>
      <sheetName val="Periodo de recuperación"/>
      <sheetName val="PFSA"/>
      <sheetName val="Factor de ajuste (PFA)"/>
      <sheetName val="Estimación de Esfuerzo"/>
      <sheetName val="Presupuesto"/>
      <sheetName val="Conclusión (1 cuartilla)"/>
    </sheetNames>
    <sheetDataSet>
      <sheetData sheetId="0" refreshError="1"/>
      <sheetData sheetId="1" refreshError="1"/>
      <sheetData sheetId="2" refreshError="1"/>
      <sheetData sheetId="3"/>
      <sheetData sheetId="4">
        <row r="21">
          <cell r="F21">
            <v>75</v>
          </cell>
        </row>
      </sheetData>
      <sheetData sheetId="5"/>
      <sheetData sheetId="6">
        <row r="4">
          <cell r="C4">
            <v>4</v>
          </cell>
        </row>
      </sheetData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F4EBAB-D862-407D-BE0A-626D22DDD19B}" name="Tabla15" displayName="Tabla15" ref="B13:E21" headerRowDxfId="14" dataDxfId="13" totalsRowDxfId="12">
  <autoFilter ref="B13:E21" xr:uid="{F6F4EBAB-D862-407D-BE0A-626D22DDD19B}"/>
  <tableColumns count="4">
    <tableColumn id="1" xr3:uid="{C24AF83C-E1C2-4118-8449-E417EAAC07AF}" name="Año" totalsRowLabel="Total" dataDxfId="10" totalsRowDxfId="11"/>
    <tableColumn id="2" xr3:uid="{0132D55F-9949-4099-A65E-3BD96BA7365A}" name="No. Año" dataDxfId="9"/>
    <tableColumn id="3" xr3:uid="{F2D0DE16-F8FF-4BAA-A8C5-CE93BD54D26D}" name="Flujo de efectivo" totalsRowFunction="countNums" dataDxfId="7" totalsRowDxfId="8"/>
    <tableColumn id="4" xr3:uid="{E6207DEA-F7ED-4301-BEDA-74EC23C60E69}" name="Flujo Acumulado" dataDxfId="6">
      <calculatedColumnFormula>Tabla15[[#This Row],[Flujo de efectivo]]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9BB847-800A-4B37-9240-4C0E8E9E2B4C}" name="Tabla3518" displayName="Tabla3518" ref="B24:E29" totalsRowShown="0">
  <autoFilter ref="B24:E29" xr:uid="{FC9BB847-800A-4B37-9240-4C0E8E9E2B4C}"/>
  <tableColumns count="4">
    <tableColumn id="1" xr3:uid="{5D4B1A29-9929-4457-B20C-8328AAB02CFD}" name="Tipo/Complejidad"/>
    <tableColumn id="2" xr3:uid="{F401FE02-6BE4-4C2D-B93F-1D89BE30F6B3}" name="Baja" dataDxfId="5"/>
    <tableColumn id="3" xr3:uid="{A791A084-AF6E-4EAF-8DCF-551D0004DAB0}" name="Media" dataDxfId="4"/>
    <tableColumn id="4" xr3:uid="{16D8F734-30D7-4584-9354-C817860399AD}" name="Alta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9E001C-2FAB-455A-A334-3605F2EFBD83}" name="Tabla23" displayName="Tabla23" ref="B6:F21" totalsRowShown="0" headerRowDxfId="2">
  <autoFilter ref="B6:F21" xr:uid="{149E001C-2FAB-455A-A334-3605F2EFBD83}"/>
  <tableColumns count="5">
    <tableColumn id="1" xr3:uid="{CEF054A3-169D-4998-AA05-6F32906F5331}" name="Registro de alumnos "/>
    <tableColumn id="2" xr3:uid="{212A0C75-A824-4FDE-9D9A-AE3FF3D43B4C}" name="Tipo"/>
    <tableColumn id="3" xr3:uid="{FAFF0AD6-2231-43CD-BBA1-8807708B1362}" name="Cantidad">
      <calculatedColumnFormula array="1">_xlfn.IFS($C$4="Baja",LOOKUP(C7,[1]!Tabla3518[Tipo/Complejidad],Baja), $C$4="Media",LOOKUP(C7,[1]!Tabla3518[Tipo/Complejidad],Media),$C$4="Alta",LOOKUP(C7,[1]!Tabla3518[Tipo/Complejidad],Alta))</calculatedColumnFormula>
    </tableColumn>
    <tableColumn id="4" xr3:uid="{8EA02D6E-501F-4D6F-8408-D2F4F6744436}" name="Valor"/>
    <tableColumn id="5" xr3:uid="{06241F83-DCDE-48C9-9397-67884EF16CBD}" name="Total">
      <calculatedColumnFormula>Tabla23[[#This Row],[Cantidad]]*Tabla23[[#This Row],[Valor]]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9E2B1F-44B5-4BA5-B2B6-096CB43C5B2A}" name="Tabla792027" displayName="Tabla792027" ref="B3:D18" totalsRowShown="0" headerRowDxfId="1">
  <autoFilter ref="B3:D18" xr:uid="{369E2B1F-44B5-4BA5-B2B6-096CB43C5B2A}"/>
  <tableColumns count="3">
    <tableColumn id="1" xr3:uid="{18FB2132-7321-4EEE-91C2-8A5DFD976FDE}" name="Factor de Ajuste"/>
    <tableColumn id="2" xr3:uid="{68B280CA-844E-4500-B001-8AE107163B81}" name="Impacto"/>
    <tableColumn id="3" xr3:uid="{81943339-006A-421C-833C-F45B6771F2F1}" name="Puntaje asignad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91E8CD-F054-48C9-9805-D5CAB1AF8693}" name="Tabla11102128" displayName="Tabla11102128" ref="F8:G13" headerRowCount="0" totalsRowShown="0">
  <tableColumns count="2">
    <tableColumn id="1" xr3:uid="{F7BF7FA6-B29D-4414-9BB3-F44F70CED8B7}" name="Columna1" dataDxfId="0"/>
    <tableColumn id="2" xr3:uid="{60AAC2AE-3020-4D25-BDC3-F765B8B57BAD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BAC7-A7A8-4B30-9679-F10D6F1C8F3A}">
  <dimension ref="A1:F27"/>
  <sheetViews>
    <sheetView workbookViewId="0">
      <selection activeCell="A28" sqref="A28"/>
    </sheetView>
  </sheetViews>
  <sheetFormatPr baseColWidth="10" defaultRowHeight="15" x14ac:dyDescent="0.25"/>
  <cols>
    <col min="1" max="1" width="17.42578125" customWidth="1"/>
    <col min="2" max="2" width="18.42578125" customWidth="1"/>
    <col min="3" max="3" width="13.140625" customWidth="1"/>
    <col min="4" max="4" width="25.85546875" customWidth="1"/>
    <col min="5" max="5" width="42.140625" customWidth="1"/>
    <col min="6" max="6" width="11.42578125" customWidth="1"/>
  </cols>
  <sheetData>
    <row r="1" spans="1:5" ht="20.25" x14ac:dyDescent="0.3">
      <c r="A1" s="53" t="s">
        <v>96</v>
      </c>
      <c r="B1" s="53"/>
      <c r="C1" s="53"/>
      <c r="D1" s="53"/>
      <c r="E1" s="53"/>
    </row>
    <row r="10" spans="1:5" x14ac:dyDescent="0.25">
      <c r="B10" s="1" t="s">
        <v>4</v>
      </c>
      <c r="C10" s="20">
        <v>700000</v>
      </c>
      <c r="D10" s="20"/>
    </row>
    <row r="11" spans="1:5" x14ac:dyDescent="0.25">
      <c r="B11" s="1" t="s">
        <v>5</v>
      </c>
      <c r="C11" s="19">
        <v>2017</v>
      </c>
    </row>
    <row r="13" spans="1:5" ht="15.75" x14ac:dyDescent="0.25">
      <c r="B13" s="3" t="s">
        <v>0</v>
      </c>
      <c r="C13" s="3" t="s">
        <v>1</v>
      </c>
      <c r="D13" s="3" t="s">
        <v>2</v>
      </c>
      <c r="E13" s="3" t="s">
        <v>3</v>
      </c>
    </row>
    <row r="14" spans="1:5" ht="16.5" x14ac:dyDescent="0.3">
      <c r="B14" s="4">
        <f>C11-1</f>
        <v>2016</v>
      </c>
      <c r="C14" s="5">
        <v>0</v>
      </c>
      <c r="D14" s="6">
        <v>-700000</v>
      </c>
      <c r="E14" s="7">
        <f>Tabla15[[#This Row],[Flujo de efectivo]]</f>
        <v>-700000</v>
      </c>
    </row>
    <row r="15" spans="1:5" ht="16.5" x14ac:dyDescent="0.3">
      <c r="B15" s="8">
        <f>B14+1</f>
        <v>2017</v>
      </c>
      <c r="C15" s="5">
        <v>1</v>
      </c>
      <c r="D15" s="9">
        <v>190000</v>
      </c>
      <c r="E15" s="10">
        <f>E14+Tabla15[[#This Row],[Flujo de efectivo]]</f>
        <v>-510000</v>
      </c>
    </row>
    <row r="16" spans="1:5" ht="16.5" x14ac:dyDescent="0.3">
      <c r="B16" s="8">
        <f t="shared" ref="B16:B21" si="0">B15+1</f>
        <v>2018</v>
      </c>
      <c r="C16" s="5">
        <v>2</v>
      </c>
      <c r="D16" s="9">
        <v>200000</v>
      </c>
      <c r="E16" s="10">
        <f>E15+Tabla15[[#This Row],[Flujo de efectivo]]</f>
        <v>-310000</v>
      </c>
    </row>
    <row r="17" spans="1:6" ht="16.5" x14ac:dyDescent="0.3">
      <c r="B17" s="8">
        <f t="shared" si="0"/>
        <v>2019</v>
      </c>
      <c r="C17" s="5">
        <v>3</v>
      </c>
      <c r="D17" s="9">
        <v>220000</v>
      </c>
      <c r="E17" s="10">
        <f>E16+Tabla15[[#This Row],[Flujo de efectivo]]</f>
        <v>-90000</v>
      </c>
    </row>
    <row r="18" spans="1:6" ht="16.5" x14ac:dyDescent="0.3">
      <c r="B18" s="8">
        <f t="shared" si="0"/>
        <v>2020</v>
      </c>
      <c r="C18" s="5">
        <v>4</v>
      </c>
      <c r="D18" s="9">
        <v>250000</v>
      </c>
      <c r="E18" s="10">
        <f>E17+Tabla15[[#This Row],[Flujo de efectivo]]</f>
        <v>160000</v>
      </c>
    </row>
    <row r="19" spans="1:6" ht="16.5" x14ac:dyDescent="0.3">
      <c r="B19" s="8">
        <f t="shared" si="0"/>
        <v>2021</v>
      </c>
      <c r="C19" s="5">
        <v>5</v>
      </c>
      <c r="D19" s="9">
        <v>300000</v>
      </c>
      <c r="E19" s="10">
        <f>E18+Tabla15[[#This Row],[Flujo de efectivo]]</f>
        <v>460000</v>
      </c>
    </row>
    <row r="20" spans="1:6" ht="16.5" x14ac:dyDescent="0.3">
      <c r="B20" s="8">
        <f t="shared" si="0"/>
        <v>2022</v>
      </c>
      <c r="C20" s="5">
        <v>6</v>
      </c>
      <c r="D20" s="9">
        <v>530000</v>
      </c>
      <c r="E20" s="10">
        <f>E19+Tabla15[[#This Row],[Flujo de efectivo]]</f>
        <v>990000</v>
      </c>
    </row>
    <row r="21" spans="1:6" ht="16.5" x14ac:dyDescent="0.3">
      <c r="B21" s="8">
        <f t="shared" si="0"/>
        <v>2023</v>
      </c>
      <c r="C21" s="5">
        <v>7</v>
      </c>
      <c r="D21" s="9">
        <f>_xlfn.FORECAST.LINEAR(B21,D15:D20,B15:B20)</f>
        <v>484666.66666667163</v>
      </c>
      <c r="E21" s="10">
        <f>E20+Tabla15[[#This Row],[Flujo de efectivo]]</f>
        <v>1474666.6666666716</v>
      </c>
    </row>
    <row r="23" spans="1:6" ht="17.25" x14ac:dyDescent="0.3">
      <c r="A23" s="11" t="s">
        <v>6</v>
      </c>
      <c r="B23" s="12">
        <f>ABS(E14)/D15+C14</f>
        <v>3.6842105263157894</v>
      </c>
      <c r="C23" s="13" t="s">
        <v>7</v>
      </c>
    </row>
    <row r="24" spans="1:6" x14ac:dyDescent="0.25">
      <c r="B24" s="14">
        <f>INT(B23)</f>
        <v>3</v>
      </c>
      <c r="C24" s="13" t="s">
        <v>8</v>
      </c>
      <c r="D24" s="15"/>
    </row>
    <row r="25" spans="1:6" x14ac:dyDescent="0.25">
      <c r="B25" s="14">
        <f>INT((FIXED(B23,2)-B24)*12)</f>
        <v>8</v>
      </c>
      <c r="C25" s="13" t="s">
        <v>9</v>
      </c>
    </row>
    <row r="26" spans="1:6" x14ac:dyDescent="0.25">
      <c r="B26" s="14">
        <f>INT(((B23-B24)*12-B25)*30)</f>
        <v>6</v>
      </c>
      <c r="C26" s="13" t="s">
        <v>10</v>
      </c>
    </row>
    <row r="27" spans="1:6" ht="34.5" x14ac:dyDescent="0.3">
      <c r="A27" s="11" t="s">
        <v>11</v>
      </c>
      <c r="B27" s="16" t="str">
        <f>"TIEMPO DE RECUPERACIÓN DE LA INVERSIÓN EN "&amp;B24&amp;" "&amp;C24&amp;" "&amp;B25&amp;" "&amp;C25&amp;" "&amp;B26&amp;" "&amp;C26</f>
        <v>TIEMPO DE RECUPERACIÓN DE LA INVERSIÓN EN 3 Años 8 Meses 6 Días</v>
      </c>
      <c r="C27" s="17"/>
      <c r="D27" s="17"/>
      <c r="E27" s="17"/>
      <c r="F27" s="18"/>
    </row>
  </sheetData>
  <mergeCells count="2">
    <mergeCell ref="C10:D10"/>
    <mergeCell ref="A1:E1"/>
  </mergeCells>
  <phoneticPr fontId="12" type="noConversion"/>
  <conditionalFormatting sqref="E14:E2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{E154BA06-95F3-487F-9EB7-B43BD60BB268}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154BA06-95F3-487F-9EB7-B43BD60BB2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E14:E21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464A-F808-4222-9995-F972DBA2A872}">
  <dimension ref="B1:F29"/>
  <sheetViews>
    <sheetView workbookViewId="0">
      <selection activeCell="C35" sqref="C35"/>
    </sheetView>
  </sheetViews>
  <sheetFormatPr baseColWidth="10" defaultRowHeight="15" x14ac:dyDescent="0.25"/>
  <cols>
    <col min="2" max="2" width="41" customWidth="1"/>
    <col min="3" max="3" width="29.42578125" customWidth="1"/>
    <col min="4" max="4" width="16.5703125" customWidth="1"/>
    <col min="5" max="5" width="18.5703125" customWidth="1"/>
  </cols>
  <sheetData>
    <row r="1" spans="2:6" ht="21" x14ac:dyDescent="0.35">
      <c r="B1" s="21" t="s">
        <v>12</v>
      </c>
      <c r="C1" s="21"/>
      <c r="D1" s="21"/>
      <c r="E1" s="21"/>
      <c r="F1" s="21"/>
    </row>
    <row r="3" spans="2:6" x14ac:dyDescent="0.25">
      <c r="B3" s="22" t="s">
        <v>13</v>
      </c>
      <c r="C3" s="23" t="s">
        <v>14</v>
      </c>
    </row>
    <row r="4" spans="2:6" x14ac:dyDescent="0.25">
      <c r="B4" s="22" t="s">
        <v>15</v>
      </c>
      <c r="C4" s="23" t="s">
        <v>16</v>
      </c>
    </row>
    <row r="6" spans="2:6" x14ac:dyDescent="0.25">
      <c r="B6" s="24" t="s">
        <v>17</v>
      </c>
      <c r="C6" s="25" t="s">
        <v>18</v>
      </c>
      <c r="D6" s="25" t="s">
        <v>19</v>
      </c>
      <c r="E6" s="25" t="s">
        <v>20</v>
      </c>
      <c r="F6" s="26" t="s">
        <v>21</v>
      </c>
    </row>
    <row r="7" spans="2:6" x14ac:dyDescent="0.25">
      <c r="B7" t="s">
        <v>32</v>
      </c>
      <c r="C7" s="27" t="s">
        <v>22</v>
      </c>
      <c r="D7" cm="1">
        <f t="array" ref="D7">_xlfn.IFNA(_xlfn.IFS($C$4="Baja",LOOKUP(C7,Tabla3518[Tipo/Complejidad],Baja),$C$4="Media",LOOKUP(C7,Tabla3518[Tipo/Complejidad],Media),$C$4="Alta",LOOKUP(C7,Tabla3518[Tipo/Complejidad],Alta)),0)</f>
        <v>4</v>
      </c>
      <c r="E7">
        <v>1</v>
      </c>
      <c r="F7">
        <f>Tabla23[[#This Row],[Cantidad]]*Tabla23[[#This Row],[Valor]]</f>
        <v>4</v>
      </c>
    </row>
    <row r="8" spans="2:6" x14ac:dyDescent="0.25">
      <c r="B8" t="s">
        <v>33</v>
      </c>
      <c r="C8" s="27" t="s">
        <v>22</v>
      </c>
      <c r="D8" cm="1">
        <f t="array" ref="D8">_xlfn.IFNA(_xlfn.IFS($C$4="Baja",LOOKUP(C8,Tabla3518[Tipo/Complejidad],Baja),$C$4="Media",LOOKUP(C8,Tabla3518[Tipo/Complejidad],Media),$C$4="Alta",LOOKUP(C8,Tabla3518[Tipo/Complejidad],Alta)),0)</f>
        <v>4</v>
      </c>
      <c r="E8">
        <v>1</v>
      </c>
      <c r="F8">
        <f>Tabla23[[#This Row],[Cantidad]]*Tabla23[[#This Row],[Valor]]</f>
        <v>4</v>
      </c>
    </row>
    <row r="9" spans="2:6" x14ac:dyDescent="0.25">
      <c r="B9" t="s">
        <v>34</v>
      </c>
      <c r="C9" s="27" t="s">
        <v>22</v>
      </c>
      <c r="D9" cm="1">
        <f t="array" ref="D9">_xlfn.IFNA(_xlfn.IFS($C$4="Baja",LOOKUP(C9,Tabla3518[Tipo/Complejidad],Baja),$C$4="Media",LOOKUP(C9,Tabla3518[Tipo/Complejidad],Media),$C$4="Alta",LOOKUP(C9,Tabla3518[Tipo/Complejidad],Alta)),0)</f>
        <v>4</v>
      </c>
      <c r="E9">
        <v>1</v>
      </c>
      <c r="F9">
        <f>Tabla23[[#This Row],[Cantidad]]*Tabla23[[#This Row],[Valor]]</f>
        <v>4</v>
      </c>
    </row>
    <row r="10" spans="2:6" x14ac:dyDescent="0.25">
      <c r="B10" t="s">
        <v>35</v>
      </c>
      <c r="C10" s="27" t="s">
        <v>22</v>
      </c>
      <c r="D10" cm="1">
        <f t="array" ref="D10">_xlfn.IFNA(_xlfn.IFS($C$4="Baja",LOOKUP(C10,Tabla3518[Tipo/Complejidad],Baja),$C$4="Media",LOOKUP(C10,Tabla3518[Tipo/Complejidad],Media),$C$4="Alta",LOOKUP(C10,Tabla3518[Tipo/Complejidad],Alta)),0)</f>
        <v>4</v>
      </c>
      <c r="E10">
        <v>1</v>
      </c>
      <c r="F10">
        <f>Tabla23[[#This Row],[Cantidad]]*Tabla23[[#This Row],[Valor]]</f>
        <v>4</v>
      </c>
    </row>
    <row r="11" spans="2:6" x14ac:dyDescent="0.25">
      <c r="B11" t="s">
        <v>36</v>
      </c>
      <c r="C11" s="27" t="s">
        <v>22</v>
      </c>
      <c r="D11" cm="1">
        <f t="array" ref="D11">_xlfn.IFNA(_xlfn.IFS($C$4="Baja",LOOKUP(C11,Tabla3518[Tipo/Complejidad],Baja),$C$4="Media",LOOKUP(C11,Tabla3518[Tipo/Complejidad],Media),$C$4="Alta",LOOKUP(C11,Tabla3518[Tipo/Complejidad],Alta)),0)</f>
        <v>4</v>
      </c>
      <c r="E11">
        <v>1</v>
      </c>
      <c r="F11">
        <f>Tabla23[[#This Row],[Cantidad]]*Tabla23[[#This Row],[Valor]]</f>
        <v>4</v>
      </c>
    </row>
    <row r="12" spans="2:6" x14ac:dyDescent="0.25">
      <c r="B12" t="s">
        <v>37</v>
      </c>
      <c r="C12" s="27" t="s">
        <v>24</v>
      </c>
      <c r="D12" cm="1">
        <f t="array" ref="D12">_xlfn.IFNA(_xlfn.IFS($C$4="Baja",LOOKUP(C12,Tabla3518[Tipo/Complejidad],Baja),$C$4="Media",LOOKUP(C12,Tabla3518[Tipo/Complejidad],Media),$C$4="Alta",LOOKUP(C12,Tabla3518[Tipo/Complejidad],Alta)),0)</f>
        <v>5</v>
      </c>
      <c r="E12">
        <v>1</v>
      </c>
      <c r="F12">
        <f>Tabla23[[#This Row],[Cantidad]]*Tabla23[[#This Row],[Valor]]</f>
        <v>5</v>
      </c>
    </row>
    <row r="13" spans="2:6" x14ac:dyDescent="0.25">
      <c r="B13" t="s">
        <v>38</v>
      </c>
      <c r="C13" s="27" t="s">
        <v>24</v>
      </c>
      <c r="D13" cm="1">
        <f t="array" ref="D13">_xlfn.IFNA(_xlfn.IFS($C$4="Baja",LOOKUP(C13,Tabla3518[Tipo/Complejidad],Baja),$C$4="Media",LOOKUP(C13,Tabla3518[Tipo/Complejidad],Media),$C$4="Alta",LOOKUP(C13,Tabla3518[Tipo/Complejidad],Alta)),0)</f>
        <v>5</v>
      </c>
      <c r="E13">
        <v>1</v>
      </c>
      <c r="F13">
        <f>Tabla23[[#This Row],[Cantidad]]*Tabla23[[#This Row],[Valor]]</f>
        <v>5</v>
      </c>
    </row>
    <row r="14" spans="2:6" ht="45" x14ac:dyDescent="0.25">
      <c r="B14" s="29" t="s">
        <v>39</v>
      </c>
      <c r="C14" s="27" t="s">
        <v>25</v>
      </c>
      <c r="D14">
        <v>10</v>
      </c>
      <c r="E14">
        <v>6</v>
      </c>
      <c r="F14">
        <f>Tabla23[[#This Row],[Cantidad]]*Tabla23[[#This Row],[Valor]]</f>
        <v>60</v>
      </c>
    </row>
    <row r="15" spans="2:6" x14ac:dyDescent="0.25">
      <c r="B15" t="s">
        <v>40</v>
      </c>
      <c r="C15" s="27" t="s">
        <v>24</v>
      </c>
      <c r="D15">
        <v>5</v>
      </c>
      <c r="E15">
        <v>1</v>
      </c>
      <c r="F15">
        <f>Tabla23[[#This Row],[Cantidad]]*Tabla23[[#This Row],[Valor]]</f>
        <v>5</v>
      </c>
    </row>
    <row r="16" spans="2:6" x14ac:dyDescent="0.25">
      <c r="B16" t="s">
        <v>41</v>
      </c>
      <c r="C16" s="27" t="s">
        <v>24</v>
      </c>
      <c r="D16">
        <v>5</v>
      </c>
      <c r="E16">
        <v>1</v>
      </c>
      <c r="F16">
        <f>Tabla23[[#This Row],[Cantidad]]*Tabla23[[#This Row],[Valor]]</f>
        <v>5</v>
      </c>
    </row>
    <row r="17" spans="2:6" x14ac:dyDescent="0.25">
      <c r="B17" t="s">
        <v>42</v>
      </c>
      <c r="C17" s="27" t="s">
        <v>23</v>
      </c>
      <c r="D17">
        <v>4</v>
      </c>
      <c r="E17">
        <v>1</v>
      </c>
      <c r="F17">
        <f>Tabla23[[#This Row],[Cantidad]]*Tabla23[[#This Row],[Valor]]</f>
        <v>4</v>
      </c>
    </row>
    <row r="18" spans="2:6" x14ac:dyDescent="0.25">
      <c r="B18" t="s">
        <v>43</v>
      </c>
      <c r="C18" s="27" t="s">
        <v>24</v>
      </c>
      <c r="D18">
        <v>5</v>
      </c>
      <c r="E18">
        <v>1</v>
      </c>
      <c r="F18">
        <f>Tabla23[[#This Row],[Cantidad]]*Tabla23[[#This Row],[Valor]]</f>
        <v>5</v>
      </c>
    </row>
    <row r="19" spans="2:6" x14ac:dyDescent="0.25">
      <c r="D19" cm="1">
        <f t="array" ref="D19">_xlfn.IFNA(_xlfn.IFS($C$4="Baja",LOOKUP(C19,Tabla3518[Tipo/Complejidad],Baja),$C$4="Media",LOOKUP(C19,Tabla3518[Tipo/Complejidad],Media),$C$4="Alta",LOOKUP(C19,Tabla3518[Tipo/Complejidad],Alta)),0)</f>
        <v>0</v>
      </c>
      <c r="E19">
        <v>1</v>
      </c>
      <c r="F19">
        <f>Tabla23[[#This Row],[Cantidad]]*Tabla23[[#This Row],[Valor]]</f>
        <v>0</v>
      </c>
    </row>
    <row r="20" spans="2:6" x14ac:dyDescent="0.25">
      <c r="D20" cm="1">
        <f t="array" ref="D20">_xlfn.IFNA(_xlfn.IFS($C$4="Baja",LOOKUP(C20,Tabla3518[Tipo/Complejidad],Baja),$C$4="Media",LOOKUP(C20,Tabla3518[Tipo/Complejidad],Media),$C$4="Alta",LOOKUP(C20,Tabla3518[Tipo/Complejidad],Alta)),0)</f>
        <v>0</v>
      </c>
      <c r="E20">
        <v>1</v>
      </c>
      <c r="F20">
        <f>Tabla23[[#This Row],[Cantidad]]*Tabla23[[#This Row],[Valor]]</f>
        <v>0</v>
      </c>
    </row>
    <row r="21" spans="2:6" ht="15.75" x14ac:dyDescent="0.25">
      <c r="B21" s="28" t="s">
        <v>26</v>
      </c>
      <c r="C21" s="28"/>
      <c r="D21" s="28"/>
      <c r="E21" s="28"/>
      <c r="F21" s="28">
        <f>SUBTOTAL(9,F7:F19)</f>
        <v>109</v>
      </c>
    </row>
    <row r="22" spans="2:6" x14ac:dyDescent="0.25">
      <c r="B22" s="24"/>
      <c r="C22" s="24"/>
      <c r="D22" s="24"/>
      <c r="E22" s="24"/>
      <c r="F22" s="24"/>
    </row>
    <row r="23" spans="2:6" x14ac:dyDescent="0.25">
      <c r="B23" s="24" t="s">
        <v>27</v>
      </c>
    </row>
    <row r="24" spans="2:6" x14ac:dyDescent="0.25">
      <c r="B24" t="s">
        <v>28</v>
      </c>
      <c r="C24" t="s">
        <v>29</v>
      </c>
      <c r="D24" t="s">
        <v>16</v>
      </c>
      <c r="E24" t="s">
        <v>30</v>
      </c>
    </row>
    <row r="25" spans="2:6" x14ac:dyDescent="0.25">
      <c r="B25" t="s">
        <v>22</v>
      </c>
      <c r="C25" s="2">
        <v>3</v>
      </c>
      <c r="D25" s="2">
        <v>4</v>
      </c>
      <c r="E25" s="2">
        <v>6</v>
      </c>
    </row>
    <row r="26" spans="2:6" x14ac:dyDescent="0.25">
      <c r="B26" t="s">
        <v>24</v>
      </c>
      <c r="C26" s="2">
        <v>4</v>
      </c>
      <c r="D26" s="2">
        <v>5</v>
      </c>
      <c r="E26" s="2">
        <v>7</v>
      </c>
    </row>
    <row r="27" spans="2:6" x14ac:dyDescent="0.25">
      <c r="B27" t="s">
        <v>23</v>
      </c>
      <c r="C27" s="2">
        <v>3</v>
      </c>
      <c r="D27" s="2">
        <v>4</v>
      </c>
      <c r="E27" s="2">
        <v>6</v>
      </c>
    </row>
    <row r="28" spans="2:6" x14ac:dyDescent="0.25">
      <c r="B28" t="s">
        <v>25</v>
      </c>
      <c r="C28" s="2">
        <v>7</v>
      </c>
      <c r="D28" s="2">
        <v>10</v>
      </c>
      <c r="E28" s="2">
        <v>15</v>
      </c>
    </row>
    <row r="29" spans="2:6" x14ac:dyDescent="0.25">
      <c r="B29" t="s">
        <v>31</v>
      </c>
      <c r="C29" s="2">
        <v>5</v>
      </c>
      <c r="D29" s="2">
        <v>7</v>
      </c>
      <c r="E29" s="2">
        <v>10</v>
      </c>
    </row>
  </sheetData>
  <mergeCells count="1">
    <mergeCell ref="B1:F1"/>
  </mergeCells>
  <dataValidations count="2">
    <dataValidation type="list" allowBlank="1" showInputMessage="1" showErrorMessage="1" sqref="C4" xr:uid="{B3C853EF-1952-4FF9-98FC-2125CB9C6AF0}">
      <formula1>$C$24:$E$24</formula1>
    </dataValidation>
    <dataValidation type="list" allowBlank="1" showInputMessage="1" showErrorMessage="1" sqref="C7:C16 C18:C22" xr:uid="{ECD62F58-1BCC-40BA-98CF-C88A7DD20CD8}">
      <formula1>$B$25:$B$29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65F6-8135-4AAA-9C10-3D3098A7EEB6}">
  <dimension ref="A1:G25"/>
  <sheetViews>
    <sheetView workbookViewId="0">
      <selection activeCell="E22" sqref="E22"/>
    </sheetView>
  </sheetViews>
  <sheetFormatPr baseColWidth="10" defaultRowHeight="15" x14ac:dyDescent="0.25"/>
  <cols>
    <col min="2" max="2" width="38.140625" customWidth="1"/>
    <col min="3" max="3" width="30.140625" customWidth="1"/>
    <col min="4" max="4" width="20.28515625" customWidth="1"/>
    <col min="7" max="7" width="28.7109375" customWidth="1"/>
  </cols>
  <sheetData>
    <row r="1" spans="1:7" ht="21" x14ac:dyDescent="0.35">
      <c r="A1" s="21" t="s">
        <v>44</v>
      </c>
      <c r="B1" s="21"/>
      <c r="C1" s="21"/>
      <c r="D1" s="21"/>
    </row>
    <row r="3" spans="1:7" x14ac:dyDescent="0.25">
      <c r="B3" s="24" t="s">
        <v>44</v>
      </c>
      <c r="C3" s="24" t="s">
        <v>45</v>
      </c>
      <c r="D3" s="24" t="s">
        <v>46</v>
      </c>
    </row>
    <row r="4" spans="1:7" x14ac:dyDescent="0.25">
      <c r="B4" t="s">
        <v>47</v>
      </c>
      <c r="C4" s="27" t="s">
        <v>48</v>
      </c>
      <c r="D4">
        <v>4</v>
      </c>
    </row>
    <row r="5" spans="1:7" x14ac:dyDescent="0.25">
      <c r="B5" t="s">
        <v>49</v>
      </c>
      <c r="C5" s="27" t="s">
        <v>48</v>
      </c>
      <c r="D5">
        <v>4</v>
      </c>
    </row>
    <row r="6" spans="1:7" x14ac:dyDescent="0.25">
      <c r="B6" t="s">
        <v>50</v>
      </c>
      <c r="C6" s="27" t="s">
        <v>58</v>
      </c>
      <c r="D6">
        <v>2</v>
      </c>
    </row>
    <row r="7" spans="1:7" x14ac:dyDescent="0.25">
      <c r="B7" t="s">
        <v>52</v>
      </c>
      <c r="C7" s="27" t="s">
        <v>58</v>
      </c>
      <c r="D7">
        <v>2</v>
      </c>
      <c r="F7" s="24" t="s">
        <v>98</v>
      </c>
    </row>
    <row r="8" spans="1:7" x14ac:dyDescent="0.25">
      <c r="B8" t="s">
        <v>53</v>
      </c>
      <c r="C8" s="27" t="s">
        <v>54</v>
      </c>
      <c r="D8">
        <v>3</v>
      </c>
      <c r="F8" s="54">
        <v>0</v>
      </c>
      <c r="G8" t="s">
        <v>63</v>
      </c>
    </row>
    <row r="9" spans="1:7" x14ac:dyDescent="0.25">
      <c r="B9" t="s">
        <v>55</v>
      </c>
      <c r="C9" s="27" t="s">
        <v>56</v>
      </c>
      <c r="D9">
        <v>5</v>
      </c>
      <c r="F9" s="54">
        <v>1</v>
      </c>
      <c r="G9" t="s">
        <v>51</v>
      </c>
    </row>
    <row r="10" spans="1:7" x14ac:dyDescent="0.25">
      <c r="B10" t="s">
        <v>57</v>
      </c>
      <c r="C10" s="27" t="s">
        <v>58</v>
      </c>
      <c r="D10">
        <v>2</v>
      </c>
      <c r="F10" s="54">
        <v>2</v>
      </c>
      <c r="G10" t="s">
        <v>58</v>
      </c>
    </row>
    <row r="11" spans="1:7" x14ac:dyDescent="0.25">
      <c r="B11" t="s">
        <v>59</v>
      </c>
      <c r="C11" s="27" t="s">
        <v>48</v>
      </c>
      <c r="D11">
        <v>4</v>
      </c>
      <c r="F11" s="54">
        <v>3</v>
      </c>
      <c r="G11" t="s">
        <v>54</v>
      </c>
    </row>
    <row r="12" spans="1:7" x14ac:dyDescent="0.25">
      <c r="B12" t="s">
        <v>60</v>
      </c>
      <c r="C12" s="27" t="s">
        <v>51</v>
      </c>
      <c r="D12">
        <v>1</v>
      </c>
      <c r="F12" s="54">
        <v>4</v>
      </c>
      <c r="G12" t="s">
        <v>48</v>
      </c>
    </row>
    <row r="13" spans="1:7" x14ac:dyDescent="0.25">
      <c r="B13" t="s">
        <v>61</v>
      </c>
      <c r="C13" s="27" t="s">
        <v>51</v>
      </c>
      <c r="D13">
        <v>1</v>
      </c>
      <c r="F13" s="54">
        <v>5</v>
      </c>
      <c r="G13" t="s">
        <v>56</v>
      </c>
    </row>
    <row r="14" spans="1:7" x14ac:dyDescent="0.25">
      <c r="B14" t="s">
        <v>62</v>
      </c>
      <c r="C14" s="27" t="s">
        <v>63</v>
      </c>
      <c r="D14">
        <v>0</v>
      </c>
    </row>
    <row r="15" spans="1:7" x14ac:dyDescent="0.25">
      <c r="B15" t="s">
        <v>64</v>
      </c>
      <c r="C15" s="27" t="s">
        <v>51</v>
      </c>
      <c r="D15">
        <v>1</v>
      </c>
    </row>
    <row r="16" spans="1:7" x14ac:dyDescent="0.25">
      <c r="B16" t="s">
        <v>65</v>
      </c>
      <c r="C16" s="27" t="s">
        <v>58</v>
      </c>
      <c r="D16">
        <v>1</v>
      </c>
    </row>
    <row r="17" spans="2:4" x14ac:dyDescent="0.25">
      <c r="B17" t="s">
        <v>66</v>
      </c>
      <c r="C17" s="27" t="s">
        <v>48</v>
      </c>
      <c r="D17">
        <v>4</v>
      </c>
    </row>
    <row r="18" spans="2:4" x14ac:dyDescent="0.25">
      <c r="C18" s="30" t="s">
        <v>44</v>
      </c>
      <c r="D18" s="30">
        <f>SUM(D4:D17)</f>
        <v>34</v>
      </c>
    </row>
    <row r="20" spans="2:4" x14ac:dyDescent="0.25">
      <c r="B20" s="31" t="s">
        <v>67</v>
      </c>
    </row>
    <row r="21" spans="2:4" x14ac:dyDescent="0.25">
      <c r="B21" t="s">
        <v>68</v>
      </c>
    </row>
    <row r="22" spans="2:4" x14ac:dyDescent="0.25">
      <c r="B22" t="s">
        <v>69</v>
      </c>
      <c r="C22" s="32">
        <f>[1]PFSA!F21</f>
        <v>75</v>
      </c>
    </row>
    <row r="23" spans="2:4" x14ac:dyDescent="0.25">
      <c r="B23" t="s">
        <v>70</v>
      </c>
      <c r="C23" s="33">
        <f>D18</f>
        <v>34</v>
      </c>
    </row>
    <row r="24" spans="2:4" x14ac:dyDescent="0.25">
      <c r="B24" s="34" t="s">
        <v>71</v>
      </c>
    </row>
    <row r="25" spans="2:4" x14ac:dyDescent="0.25">
      <c r="B25" s="35" t="s">
        <v>72</v>
      </c>
      <c r="C25" s="35">
        <f>C22*(0.65+(0.01*C23))</f>
        <v>74.25</v>
      </c>
    </row>
  </sheetData>
  <mergeCells count="1">
    <mergeCell ref="A1:D1"/>
  </mergeCells>
  <dataValidations count="1">
    <dataValidation type="list" allowBlank="1" showInputMessage="1" showErrorMessage="1" sqref="C4:C17" xr:uid="{E7111A8A-0006-468A-A213-03BD6D048A92}">
      <formula1>$G$8:$G$13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C113-9BE3-4675-A07F-7884DD981065}">
  <dimension ref="B1:G16"/>
  <sheetViews>
    <sheetView workbookViewId="0">
      <selection activeCell="D19" sqref="D19"/>
    </sheetView>
  </sheetViews>
  <sheetFormatPr baseColWidth="10" defaultRowHeight="15" x14ac:dyDescent="0.25"/>
  <cols>
    <col min="2" max="2" width="32.42578125" customWidth="1"/>
    <col min="3" max="3" width="16.7109375" customWidth="1"/>
    <col min="4" max="4" width="15.140625" customWidth="1"/>
    <col min="6" max="6" width="32.140625" customWidth="1"/>
  </cols>
  <sheetData>
    <row r="1" spans="2:7" ht="21" x14ac:dyDescent="0.35">
      <c r="B1" s="21" t="s">
        <v>73</v>
      </c>
      <c r="C1" s="21"/>
      <c r="D1" s="21"/>
      <c r="E1" s="21"/>
    </row>
    <row r="2" spans="2:7" x14ac:dyDescent="0.25">
      <c r="B2" s="52"/>
      <c r="C2" s="52"/>
      <c r="D2" s="52"/>
    </row>
    <row r="3" spans="2:7" x14ac:dyDescent="0.25">
      <c r="F3" s="36" t="s">
        <v>74</v>
      </c>
    </row>
    <row r="4" spans="2:7" ht="30" x14ac:dyDescent="0.25">
      <c r="B4" s="37" t="s">
        <v>75</v>
      </c>
      <c r="C4" s="38" t="s">
        <v>76</v>
      </c>
      <c r="D4" s="38" t="s">
        <v>77</v>
      </c>
      <c r="F4" t="s">
        <v>78</v>
      </c>
    </row>
    <row r="5" spans="2:7" x14ac:dyDescent="0.25">
      <c r="B5" s="39" t="s">
        <v>79</v>
      </c>
      <c r="C5" s="40">
        <v>25</v>
      </c>
      <c r="D5" s="40">
        <v>300</v>
      </c>
      <c r="F5" t="s">
        <v>80</v>
      </c>
    </row>
    <row r="6" spans="2:7" x14ac:dyDescent="0.25">
      <c r="B6" s="39" t="s">
        <v>81</v>
      </c>
      <c r="C6" s="40">
        <v>15</v>
      </c>
      <c r="D6" s="40">
        <v>100</v>
      </c>
    </row>
    <row r="7" spans="2:7" ht="45" x14ac:dyDescent="0.25">
      <c r="B7" s="39" t="s">
        <v>82</v>
      </c>
      <c r="C7" s="40">
        <v>8</v>
      </c>
      <c r="D7" s="40">
        <v>20</v>
      </c>
      <c r="F7" s="41" t="s">
        <v>83</v>
      </c>
    </row>
    <row r="8" spans="2:7" x14ac:dyDescent="0.25">
      <c r="F8" s="36" t="s">
        <v>84</v>
      </c>
    </row>
    <row r="9" spans="2:7" x14ac:dyDescent="0.25">
      <c r="F9" s="36"/>
    </row>
    <row r="10" spans="2:7" x14ac:dyDescent="0.25">
      <c r="F10" s="42" t="s">
        <v>85</v>
      </c>
    </row>
    <row r="11" spans="2:7" x14ac:dyDescent="0.25">
      <c r="F11" s="36">
        <f>172.8/20</f>
        <v>8.64</v>
      </c>
    </row>
    <row r="12" spans="2:7" ht="35.25" customHeight="1" x14ac:dyDescent="0.25">
      <c r="F12" s="43" t="s">
        <v>86</v>
      </c>
    </row>
    <row r="13" spans="2:7" x14ac:dyDescent="0.25">
      <c r="F13" s="36"/>
    </row>
    <row r="14" spans="2:7" x14ac:dyDescent="0.25">
      <c r="F14" s="44" t="s">
        <v>87</v>
      </c>
    </row>
    <row r="15" spans="2:7" x14ac:dyDescent="0.25">
      <c r="F15" s="45">
        <f>172.8/4</f>
        <v>43.2</v>
      </c>
      <c r="G15" t="s">
        <v>88</v>
      </c>
    </row>
    <row r="16" spans="2:7" x14ac:dyDescent="0.25">
      <c r="F16" s="45">
        <f>F15/20</f>
        <v>2.16</v>
      </c>
      <c r="G16" t="s">
        <v>9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9264-5DD8-44D6-ADA8-9B0F4D33013F}">
  <dimension ref="B1:E11"/>
  <sheetViews>
    <sheetView tabSelected="1" workbookViewId="0">
      <selection activeCell="C19" sqref="C19"/>
    </sheetView>
  </sheetViews>
  <sheetFormatPr baseColWidth="10" defaultRowHeight="15" x14ac:dyDescent="0.25"/>
  <cols>
    <col min="2" max="2" width="45.7109375" customWidth="1"/>
    <col min="3" max="3" width="35.42578125" customWidth="1"/>
  </cols>
  <sheetData>
    <row r="1" spans="2:5" ht="21" x14ac:dyDescent="0.35">
      <c r="B1" s="21" t="s">
        <v>97</v>
      </c>
      <c r="C1" s="21"/>
      <c r="D1" s="21"/>
      <c r="E1" s="21"/>
    </row>
    <row r="3" spans="2:5" x14ac:dyDescent="0.25">
      <c r="B3" s="46" t="s">
        <v>89</v>
      </c>
    </row>
    <row r="5" spans="2:5" x14ac:dyDescent="0.25">
      <c r="B5" s="22" t="s">
        <v>90</v>
      </c>
      <c r="C5" s="47">
        <f>'[1]Estimación de Esfuerzo'!C4</f>
        <v>4</v>
      </c>
    </row>
    <row r="6" spans="2:5" x14ac:dyDescent="0.25">
      <c r="B6" s="22" t="s">
        <v>91</v>
      </c>
      <c r="C6" s="48">
        <v>9</v>
      </c>
    </row>
    <row r="7" spans="2:5" x14ac:dyDescent="0.25">
      <c r="B7" s="22" t="s">
        <v>92</v>
      </c>
      <c r="C7" s="49">
        <v>35000</v>
      </c>
    </row>
    <row r="8" spans="2:5" x14ac:dyDescent="0.25">
      <c r="B8" s="22" t="s">
        <v>93</v>
      </c>
      <c r="C8" s="49">
        <v>100000</v>
      </c>
    </row>
    <row r="10" spans="2:5" x14ac:dyDescent="0.25">
      <c r="B10" s="22" t="s">
        <v>94</v>
      </c>
      <c r="C10" s="50">
        <f>C5*C6*C7</f>
        <v>1260000</v>
      </c>
    </row>
    <row r="11" spans="2:5" x14ac:dyDescent="0.25">
      <c r="B11" s="22" t="s">
        <v>95</v>
      </c>
      <c r="C11" s="51">
        <f>C10+C8</f>
        <v>1360000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Periodos de recuperacion</vt:lpstr>
      <vt:lpstr>PFSA</vt:lpstr>
      <vt:lpstr>Factor de ajuste (PFA)</vt:lpstr>
      <vt:lpstr>Estimación de Esfuerzo</vt:lpstr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Lopez</dc:creator>
  <cp:lastModifiedBy>David Lopez</cp:lastModifiedBy>
  <dcterms:created xsi:type="dcterms:W3CDTF">2023-08-10T18:19:06Z</dcterms:created>
  <dcterms:modified xsi:type="dcterms:W3CDTF">2023-08-11T04:34:28Z</dcterms:modified>
</cp:coreProperties>
</file>