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
    </mc:Choice>
  </mc:AlternateContent>
  <bookViews>
    <workbookView xWindow="-120" yWindow="-120" windowWidth="19440" windowHeight="15000" tabRatio="804"/>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5" i="35" l="1"/>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<sst xmlns="http://schemas.openxmlformats.org/spreadsheetml/2006/main" count="2702" uniqueCount="1681">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</sst>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3"/>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1508</v>
      </c>
    </row>
    <row r="45" spans="2:5" x14ac:dyDescent="0.25">
      <c r="B45" s="8">
        <v>44307</v>
      </c>
      <c r="C45" s="37">
        <v>6.5</v>
      </c>
      <c r="D45" s="7" t="s">
        <v>1004</v>
      </c>
      <c r="E45" s="5" t="s">
        <v>1597</v>
      </c>
    </row>
    <row r="46" spans="2:5" x14ac:dyDescent="0.25">
      <c r="B46" s="8">
        <v>44313</v>
      </c>
      <c r="C46" s="37">
        <v>6.7</v>
      </c>
      <c r="D46" s="7" t="s">
        <v>1004</v>
      </c>
      <c r="E46" s="5" t="s">
        <v>1622</v>
      </c>
    </row>
    <row r="47" spans="2:5" x14ac:dyDescent="0.25">
      <c r="B47" s="8">
        <v>44316</v>
      </c>
      <c r="C47" s="37">
        <v>6.9</v>
      </c>
      <c r="D47" s="7" t="s">
        <v>1004</v>
      </c>
      <c r="E47" s="5" t="s">
        <v>1622</v>
      </c>
    </row>
    <row r="48" spans="2:5" x14ac:dyDescent="0.25">
      <c r="B48" s="8">
        <v>44322</v>
      </c>
      <c r="C48" s="37" t="s">
        <v>1650</v>
      </c>
      <c r="D48" s="7" t="s">
        <v>1004</v>
      </c>
      <c r="E48" s="5" t="s">
        <v>1651</v>
      </c>
    </row>
    <row r="49" spans="2:5" x14ac:dyDescent="0.25">
      <c r="B49" s="8">
        <v>44330</v>
      </c>
      <c r="C49" s="37">
        <v>6.1</v>
      </c>
      <c r="D49" s="7" t="s">
        <v>1004</v>
      </c>
      <c r="E49" s="5" t="s">
        <v>1654</v>
      </c>
    </row>
    <row r="50" spans="2:5" x14ac:dyDescent="0.25">
      <c r="B50" s="8">
        <v>44331</v>
      </c>
      <c r="C50" s="37">
        <v>6.12</v>
      </c>
      <c r="D50" s="7" t="s">
        <v>1004</v>
      </c>
      <c r="E50" s="5" t="s">
        <v>1659</v>
      </c>
    </row>
    <row r="51" spans="2:5" x14ac:dyDescent="0.25">
      <c r="B51" s="8">
        <v>44337</v>
      </c>
      <c r="C51" s="37">
        <v>6.13</v>
      </c>
      <c r="D51" s="7" t="s">
        <v>1004</v>
      </c>
      <c r="E51" s="5" t="s">
        <v>1668</v>
      </c>
    </row>
    <row r="52" spans="2:5" x14ac:dyDescent="0.25">
      <c r="B52" s="8">
        <v>44344</v>
      </c>
      <c r="C52" s="37">
        <v>6.18</v>
      </c>
      <c r="D52" s="7" t="s">
        <v>1004</v>
      </c>
      <c r="E52" s="5" t="s">
        <v>1677</v>
      </c>
    </row>
    <row r="53" spans="2:5" x14ac:dyDescent="0.25">
      <c r="B53" s="8">
        <v>44349</v>
      </c>
      <c r="C53" s="37">
        <v>6.19</v>
      </c>
      <c r="D53" s="7" t="s">
        <v>1004</v>
      </c>
      <c r="E53" s="5" t="s">
        <v>1680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1466</v>
      </c>
      <c r="B10" s="137" t="e">
        <f>Data!#REF!</f>
        <v>#REF!</v>
      </c>
    </row>
    <row r="12" spans="1:2" ht="13" x14ac:dyDescent="0.3">
      <c r="A12" s="43" t="s">
        <v>162</v>
      </c>
      <c r="B12" t="str">
        <f>Data!H136</f>
        <v>VAR</v>
      </c>
    </row>
    <row r="14" spans="1:2" ht="13" x14ac:dyDescent="0.3">
      <c r="A14" s="43" t="s">
        <v>1364</v>
      </c>
      <c r="B14" s="147" t="str">
        <f>Data!I137</f>
        <v>BOSVAR002</v>
      </c>
    </row>
    <row r="16" spans="1:2" ht="13" x14ac:dyDescent="0.3">
      <c r="A16" s="43" t="s">
        <v>163</v>
      </c>
      <c r="B16" s="110">
        <f>Data!H138</f>
        <v>3</v>
      </c>
    </row>
    <row r="18" spans="1:11" x14ac:dyDescent="0.25">
      <c r="A18" t="s">
        <v>1366</v>
      </c>
      <c r="B18" s="138" t="str">
        <f>Data!H139</f>
        <v>The Loan Purpose Details are …</v>
      </c>
    </row>
    <row r="19" spans="1:11" ht="13" x14ac:dyDescent="0.3">
      <c r="A19" s="43"/>
    </row>
    <row r="20" spans="1:11" ht="13" x14ac:dyDescent="0.3">
      <c r="A20" s="43" t="s">
        <v>164</v>
      </c>
      <c r="B20" s="110">
        <f>Data!H140</f>
        <v>36617</v>
      </c>
    </row>
    <row r="22" spans="1:11" ht="13" x14ac:dyDescent="0.3">
      <c r="A22" s="43" t="s">
        <v>165</v>
      </c>
      <c r="B22" s="138">
        <f>Data!H141</f>
        <v>10000</v>
      </c>
    </row>
    <row r="24" spans="1:11" ht="13" x14ac:dyDescent="0.3">
      <c r="A24" s="43" t="s">
        <v>332</v>
      </c>
      <c r="B24" s="138">
        <f>Data!H142</f>
        <v>9000</v>
      </c>
    </row>
    <row r="26" spans="1:11" ht="13" x14ac:dyDescent="0.3">
      <c r="A26" s="43" t="s">
        <v>166</v>
      </c>
      <c r="B26" s="110">
        <f>Data!H143</f>
        <v>11</v>
      </c>
    </row>
    <row r="28" spans="1:11" ht="13" x14ac:dyDescent="0.3">
      <c r="A28" s="43" t="s">
        <v>167</v>
      </c>
      <c r="B28" s="138">
        <f>Data!H144</f>
        <v>4</v>
      </c>
      <c r="K28" s="138"/>
    </row>
    <row r="30" spans="1:11" ht="13" x14ac:dyDescent="0.3">
      <c r="A30" s="43" t="s">
        <v>1439</v>
      </c>
      <c r="B30">
        <f>Data!H145</f>
        <v>0</v>
      </c>
    </row>
    <row r="31" spans="1:11" x14ac:dyDescent="0.25">
      <c r="B31" s="110"/>
    </row>
    <row r="32" spans="1:11" ht="13" x14ac:dyDescent="0.3">
      <c r="A32" s="43" t="s">
        <v>1440</v>
      </c>
      <c r="B32">
        <f>Data!H146</f>
        <v>3.4998999999999998</v>
      </c>
    </row>
    <row r="34" spans="1:2" ht="13" x14ac:dyDescent="0.3">
      <c r="A34" s="43" t="s">
        <v>1675</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996</v>
      </c>
      <c r="B42">
        <f>Data!H151</f>
        <v>2</v>
      </c>
    </row>
    <row r="43" spans="1:2" ht="26" x14ac:dyDescent="0.3">
      <c r="A43" s="143" t="s">
        <v>1464</v>
      </c>
    </row>
    <row r="44" spans="1:2" ht="13" x14ac:dyDescent="0.3">
      <c r="A44" s="43" t="s">
        <v>1465</v>
      </c>
      <c r="B44" s="110">
        <f>Data!H152</f>
        <v>47574</v>
      </c>
    </row>
    <row r="46" spans="1:2" ht="13" x14ac:dyDescent="0.3">
      <c r="A46" s="43" t="s">
        <v>153</v>
      </c>
      <c r="B46" t="str">
        <f>Data!H153</f>
        <v>Yes</v>
      </c>
    </row>
    <row r="48" spans="1:2" ht="13" x14ac:dyDescent="0.3">
      <c r="A48" s="43" t="s">
        <v>966</v>
      </c>
      <c r="B48" t="str">
        <f>Data!H154</f>
        <v>Paid</v>
      </c>
    </row>
    <row r="50" spans="1:2" ht="16" customHeight="1" x14ac:dyDescent="0.3">
      <c r="A50" s="143" t="s">
        <v>1467</v>
      </c>
    </row>
    <row r="52" spans="1:2" ht="13" x14ac:dyDescent="0.3">
      <c r="A52" s="43" t="s">
        <v>1437</v>
      </c>
      <c r="B52" t="b">
        <f>Data!H155</f>
        <v>1</v>
      </c>
    </row>
    <row r="54" spans="1:2" ht="13" x14ac:dyDescent="0.3">
      <c r="A54" s="43" t="s">
        <v>334</v>
      </c>
      <c r="B54" t="b">
        <f>Data!H156</f>
        <v>1</v>
      </c>
    </row>
    <row r="56" spans="1:2" ht="13" x14ac:dyDescent="0.3">
      <c r="A56" s="43" t="s">
        <v>169</v>
      </c>
      <c r="B56" t="b">
        <f>Data!H157</f>
        <v>1</v>
      </c>
    </row>
    <row r="58" spans="1:2" ht="13" x14ac:dyDescent="0.3">
      <c r="A58" s="43" t="s">
        <v>1454</v>
      </c>
      <c r="B58" s="111" t="str">
        <f>Data!H158</f>
        <v>Other fees details are…</v>
      </c>
    </row>
    <row r="60" spans="1:2" ht="13" x14ac:dyDescent="0.3">
      <c r="A60" s="43" t="s">
        <v>1000</v>
      </c>
      <c r="B60" s="111">
        <f>Data!H159</f>
        <v>99.99</v>
      </c>
    </row>
    <row r="62" spans="1:2" ht="13" x14ac:dyDescent="0.3">
      <c r="A62" s="43" t="s">
        <v>1458</v>
      </c>
      <c r="B62" s="138">
        <f>Data!H160</f>
        <v>100</v>
      </c>
    </row>
    <row r="63" spans="1:2" ht="13" x14ac:dyDescent="0.3">
      <c r="A63" s="43"/>
    </row>
    <row r="64" spans="1:2" ht="13" x14ac:dyDescent="0.3">
      <c r="A64" s="43" t="s">
        <v>1459</v>
      </c>
      <c r="B64" s="110" t="str">
        <f>Data!H161</f>
        <v>MV-ST</v>
      </c>
    </row>
    <row r="66" spans="1:7" ht="13" x14ac:dyDescent="0.3">
      <c r="A66" s="43" t="s">
        <v>1460</v>
      </c>
      <c r="B66" s="110">
        <f>Data!H162</f>
        <v>40269</v>
      </c>
    </row>
    <row r="68" spans="1:7" ht="13" x14ac:dyDescent="0.3">
      <c r="A68" s="43" t="s">
        <v>998</v>
      </c>
      <c r="B68" t="b">
        <f>Data!H163</f>
        <v>0</v>
      </c>
    </row>
    <row r="70" spans="1:7" ht="13" x14ac:dyDescent="0.3">
      <c r="B70" s="43" t="s">
        <v>1494</v>
      </c>
    </row>
    <row r="71" spans="1:7" ht="13" thickBot="1" x14ac:dyDescent="0.3"/>
    <row r="72" spans="1:7" ht="25" customHeight="1" thickBot="1" x14ac:dyDescent="0.3">
      <c r="B72" s="73" t="s">
        <v>1118</v>
      </c>
      <c r="C72" s="73" t="s">
        <v>336</v>
      </c>
      <c r="D72" s="215" t="s">
        <v>338</v>
      </c>
      <c r="E72" s="216"/>
      <c r="F72" s="135"/>
      <c r="G72" s="135"/>
    </row>
    <row r="73" spans="1:7" ht="23.15" customHeight="1" x14ac:dyDescent="0.25">
      <c r="B73" s="78">
        <f>Data!I166</f>
        <v>1</v>
      </c>
      <c r="C73" s="144" t="str">
        <f>Data!H167</f>
        <v>Debt Service Test (DST)</v>
      </c>
      <c r="D73" s="217" t="str">
        <f>Data!H170</f>
        <v>Monthly</v>
      </c>
      <c r="E73" s="217"/>
      <c r="F73" s="150" t="s">
        <v>1119</v>
      </c>
      <c r="G73" s="150" t="s">
        <v>1120</v>
      </c>
    </row>
    <row r="75" spans="1:7" x14ac:dyDescent="0.25">
      <c r="B75" t="s">
        <v>1495</v>
      </c>
    </row>
    <row r="76" spans="1:7" ht="13" thickBot="1" x14ac:dyDescent="0.3"/>
    <row r="77" spans="1:7" ht="27.65" customHeight="1" thickBot="1" x14ac:dyDescent="0.3">
      <c r="B77" s="73" t="s">
        <v>1118</v>
      </c>
      <c r="C77" s="73" t="s">
        <v>356</v>
      </c>
      <c r="D77" s="73" t="s">
        <v>171</v>
      </c>
      <c r="E77" s="73" t="s">
        <v>172</v>
      </c>
      <c r="F77" s="209"/>
      <c r="G77" s="210"/>
    </row>
    <row r="78" spans="1:7" ht="25" customHeight="1" x14ac:dyDescent="0.25">
      <c r="B78" s="78">
        <f>Data!I174</f>
        <v>1</v>
      </c>
      <c r="C78" s="144" t="str">
        <f>Data!H175</f>
        <v>Embedded interest rate swap</v>
      </c>
      <c r="D78" s="145">
        <f>Data!H177</f>
        <v>38443</v>
      </c>
      <c r="E78" s="145">
        <f>Data!H178</f>
        <v>42094</v>
      </c>
      <c r="F78" s="150" t="s">
        <v>1119</v>
      </c>
      <c r="G78" s="150" t="s">
        <v>1120</v>
      </c>
    </row>
    <row r="80" spans="1:7" x14ac:dyDescent="0.25">
      <c r="B80" t="s">
        <v>1496</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1486</v>
      </c>
      <c r="B3" s="137" t="e">
        <f>Data!#REF!</f>
        <v>#REF!</v>
      </c>
    </row>
    <row r="5" spans="1:2" ht="13" x14ac:dyDescent="0.3">
      <c r="A5" s="43" t="s">
        <v>1477</v>
      </c>
      <c r="B5" s="137" t="e">
        <f>Data!#REF!</f>
        <v>#REF!</v>
      </c>
    </row>
    <row r="7" spans="1:2" ht="13" customHeight="1" x14ac:dyDescent="0.3">
      <c r="A7" s="43" t="s">
        <v>1318</v>
      </c>
      <c r="B7" s="137">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1486</v>
      </c>
      <c r="B3" s="137" t="e">
        <f>Data!#REF!</f>
        <v>#REF!</v>
      </c>
    </row>
    <row r="5" spans="1:2" ht="13" x14ac:dyDescent="0.3">
      <c r="A5" s="43" t="s">
        <v>1477</v>
      </c>
      <c r="B5" s="137" t="e">
        <f>Data!#REF!</f>
        <v>#REF!</v>
      </c>
    </row>
    <row r="7" spans="1:2" ht="13" customHeight="1" x14ac:dyDescent="0.3">
      <c r="A7" s="43" t="s">
        <v>1318</v>
      </c>
      <c r="B7" s="137">
        <f>Data!I174</f>
        <v>1</v>
      </c>
    </row>
    <row r="9" spans="1:2" ht="13" x14ac:dyDescent="0.3">
      <c r="A9" s="43" t="s">
        <v>1487</v>
      </c>
      <c r="B9" t="str">
        <f>Data!H175</f>
        <v>Embedded interest rate swap</v>
      </c>
    </row>
    <row r="11" spans="1:2" ht="13" x14ac:dyDescent="0.3">
      <c r="A11" s="43" t="s">
        <v>174</v>
      </c>
      <c r="B11">
        <f>Data!H176</f>
        <v>5000</v>
      </c>
    </row>
    <row r="12" spans="1:2" ht="13" x14ac:dyDescent="0.3">
      <c r="A12" s="43"/>
    </row>
    <row r="13" spans="1:2" ht="13" x14ac:dyDescent="0.3">
      <c r="A13" s="43" t="s">
        <v>1488</v>
      </c>
      <c r="B13" s="110">
        <f>Data!H177</f>
        <v>38443</v>
      </c>
    </row>
    <row r="15" spans="1:2" ht="13" x14ac:dyDescent="0.3">
      <c r="A15" s="43" t="s">
        <v>1489</v>
      </c>
      <c r="B15" s="110">
        <f>Data!H178</f>
        <v>42094</v>
      </c>
    </row>
    <row r="17" spans="1:2" ht="13" x14ac:dyDescent="0.3">
      <c r="A17" s="43" t="s">
        <v>1490</v>
      </c>
      <c r="B17">
        <f>Data!H179</f>
        <v>20.0001</v>
      </c>
    </row>
    <row r="19" spans="1:2" ht="13" x14ac:dyDescent="0.3">
      <c r="A19" s="43" t="s">
        <v>1491</v>
      </c>
      <c r="B19">
        <f>Data!H180</f>
        <v>3.875</v>
      </c>
    </row>
    <row r="21" spans="1:2" ht="13" x14ac:dyDescent="0.3">
      <c r="A21" s="43" t="s">
        <v>1676</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18" t="s">
        <v>173</v>
      </c>
      <c r="E8" s="219"/>
      <c r="F8" s="220"/>
      <c r="G8" s="218" t="s">
        <v>174</v>
      </c>
      <c r="H8" s="220"/>
      <c r="I8" s="73"/>
      <c r="J8" s="73"/>
    </row>
    <row r="9" spans="1:10" ht="38.25" customHeight="1" x14ac:dyDescent="0.25">
      <c r="C9" s="74">
        <v>1431</v>
      </c>
      <c r="D9" s="221" t="s">
        <v>446</v>
      </c>
      <c r="E9" s="221"/>
      <c r="F9" s="221"/>
      <c r="G9" s="223">
        <v>1000.1</v>
      </c>
      <c r="H9" s="223"/>
      <c r="I9" s="77" t="s">
        <v>1119</v>
      </c>
      <c r="J9" s="77" t="s">
        <v>1120</v>
      </c>
    </row>
    <row r="10" spans="1:10" ht="25.5" customHeight="1" x14ac:dyDescent="0.25">
      <c r="C10" s="74">
        <v>1432</v>
      </c>
      <c r="D10" s="221" t="s">
        <v>455</v>
      </c>
      <c r="E10" s="221"/>
      <c r="F10" s="221"/>
      <c r="G10" s="223">
        <v>2000.9</v>
      </c>
      <c r="H10" s="223"/>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18" t="s">
        <v>336</v>
      </c>
      <c r="E12" s="220"/>
      <c r="F12" s="218" t="s">
        <v>338</v>
      </c>
      <c r="G12" s="219"/>
      <c r="H12" s="220"/>
      <c r="I12" s="73"/>
      <c r="J12" s="73"/>
    </row>
    <row r="13" spans="1:10" ht="16.5" customHeight="1" x14ac:dyDescent="0.25">
      <c r="C13" s="74">
        <v>13475</v>
      </c>
      <c r="D13" s="221" t="s">
        <v>897</v>
      </c>
      <c r="E13" s="221"/>
      <c r="F13" s="221" t="s">
        <v>876</v>
      </c>
      <c r="G13" s="221"/>
      <c r="H13" s="221"/>
      <c r="I13" s="77" t="s">
        <v>1119</v>
      </c>
      <c r="J13" s="77" t="s">
        <v>1120</v>
      </c>
    </row>
    <row r="14" spans="1:10" ht="16.5" customHeight="1" x14ac:dyDescent="0.25">
      <c r="C14" s="74">
        <v>13476</v>
      </c>
      <c r="D14" s="221" t="s">
        <v>915</v>
      </c>
      <c r="E14" s="221"/>
      <c r="F14" s="221" t="s">
        <v>878</v>
      </c>
      <c r="G14" s="221"/>
      <c r="H14" s="221"/>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18" t="s">
        <v>332</v>
      </c>
      <c r="F25" s="219"/>
      <c r="G25" s="220"/>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18" t="s">
        <v>336</v>
      </c>
      <c r="E29" s="220"/>
      <c r="F29" s="218" t="s">
        <v>338</v>
      </c>
      <c r="G29" s="219"/>
      <c r="H29" s="220"/>
      <c r="I29" s="79"/>
      <c r="J29" s="73"/>
    </row>
    <row r="30" spans="2:10" x14ac:dyDescent="0.25">
      <c r="C30" s="74">
        <v>13473</v>
      </c>
      <c r="D30" s="221" t="s">
        <v>897</v>
      </c>
      <c r="E30" s="221"/>
      <c r="F30" s="221" t="s">
        <v>876</v>
      </c>
      <c r="G30" s="221"/>
      <c r="H30" s="221"/>
      <c r="I30" s="77" t="s">
        <v>1119</v>
      </c>
      <c r="J30" s="77" t="s">
        <v>1120</v>
      </c>
    </row>
    <row r="31" spans="2:10" x14ac:dyDescent="0.25">
      <c r="C31" s="74">
        <v>13474</v>
      </c>
      <c r="D31" s="221" t="s">
        <v>919</v>
      </c>
      <c r="E31" s="221"/>
      <c r="F31" s="221" t="s">
        <v>878</v>
      </c>
      <c r="G31" s="221"/>
      <c r="H31" s="221"/>
      <c r="I31" s="77" t="s">
        <v>1119</v>
      </c>
      <c r="J31" s="77" t="s">
        <v>1120</v>
      </c>
    </row>
    <row r="32" spans="2:10" ht="13" thickBot="1" x14ac:dyDescent="0.3"/>
    <row r="33" spans="2:10" ht="39" customHeight="1" thickBot="1" x14ac:dyDescent="0.35">
      <c r="B33" s="43" t="s">
        <v>1046</v>
      </c>
      <c r="C33" s="73" t="s">
        <v>1118</v>
      </c>
      <c r="D33" s="218" t="s">
        <v>356</v>
      </c>
      <c r="E33" s="220"/>
      <c r="F33" s="218" t="s">
        <v>171</v>
      </c>
      <c r="G33" s="220"/>
      <c r="H33" s="80" t="s">
        <v>172</v>
      </c>
      <c r="I33" s="81"/>
      <c r="J33" s="73"/>
    </row>
    <row r="34" spans="2:10" ht="25.5" customHeight="1" x14ac:dyDescent="0.25">
      <c r="C34" s="74">
        <v>1454</v>
      </c>
      <c r="D34" s="221" t="s">
        <v>1138</v>
      </c>
      <c r="E34" s="221"/>
      <c r="F34" s="222">
        <v>43133</v>
      </c>
      <c r="G34" s="222"/>
      <c r="H34" s="83">
        <v>43134</v>
      </c>
      <c r="I34" s="77" t="s">
        <v>1119</v>
      </c>
      <c r="J34" s="77" t="s">
        <v>1120</v>
      </c>
    </row>
    <row r="35" spans="2:10" ht="25.5" customHeight="1" x14ac:dyDescent="0.25">
      <c r="C35" s="74">
        <v>1455</v>
      </c>
      <c r="D35" s="221" t="s">
        <v>1138</v>
      </c>
      <c r="E35" s="221"/>
      <c r="F35" s="222">
        <v>43132</v>
      </c>
      <c r="G35" s="222"/>
      <c r="H35" s="83">
        <v>43159</v>
      </c>
      <c r="I35" s="77" t="s">
        <v>1119</v>
      </c>
      <c r="J35" s="77" t="s">
        <v>1120</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1472</v>
      </c>
      <c r="B25">
        <v>0</v>
      </c>
    </row>
    <row r="26" spans="1:2" x14ac:dyDescent="0.25">
      <c r="A26" s="32" t="s">
        <v>1473</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1515</v>
      </c>
      <c r="C1" s="30" t="s">
        <v>346</v>
      </c>
      <c r="D1" s="30" t="s">
        <v>1516</v>
      </c>
      <c r="E1" s="30" t="s">
        <v>1517</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1534</v>
      </c>
      <c r="B2" s="87"/>
      <c r="C2" s="87" t="s">
        <v>1534</v>
      </c>
      <c r="D2" s="87"/>
      <c r="E2" s="87" t="s">
        <v>1535</v>
      </c>
      <c r="F2" s="33" t="s">
        <v>1534</v>
      </c>
    </row>
    <row r="3" spans="1:251" x14ac:dyDescent="0.25">
      <c r="A3" s="87" t="s">
        <v>1265</v>
      </c>
      <c r="B3" s="87"/>
      <c r="C3" s="87" t="s">
        <v>1265</v>
      </c>
      <c r="D3" s="87"/>
      <c r="E3" s="87" t="s">
        <v>1265</v>
      </c>
      <c r="F3" s="33" t="s">
        <v>1265</v>
      </c>
    </row>
    <row r="4" spans="1:251" x14ac:dyDescent="0.25">
      <c r="A4" s="87" t="s">
        <v>1536</v>
      </c>
      <c r="B4" s="87"/>
      <c r="C4" s="87" t="s">
        <v>1536</v>
      </c>
      <c r="D4" s="87"/>
      <c r="E4" s="87" t="s">
        <v>1537</v>
      </c>
      <c r="F4" s="33" t="s">
        <v>1536</v>
      </c>
    </row>
    <row r="5" spans="1:251" x14ac:dyDescent="0.25">
      <c r="A5" s="38" t="s">
        <v>1013</v>
      </c>
      <c r="B5" s="38"/>
      <c r="C5" s="32" t="s">
        <v>1518</v>
      </c>
      <c r="D5" s="32"/>
      <c r="E5" s="32" t="s">
        <v>1518</v>
      </c>
      <c r="F5" s="33" t="s">
        <v>1520</v>
      </c>
    </row>
    <row r="6" spans="1:251" x14ac:dyDescent="0.25">
      <c r="A6" s="38" t="s">
        <v>1014</v>
      </c>
      <c r="B6" s="38"/>
      <c r="C6" t="s">
        <v>1522</v>
      </c>
      <c r="D6" s="32"/>
      <c r="E6" t="s">
        <v>1522</v>
      </c>
      <c r="F6" s="33" t="s">
        <v>1521</v>
      </c>
    </row>
    <row r="7" spans="1:251" x14ac:dyDescent="0.25">
      <c r="A7" s="38" t="s">
        <v>890</v>
      </c>
      <c r="B7" s="38"/>
      <c r="C7" s="32" t="s">
        <v>890</v>
      </c>
      <c r="D7" s="32"/>
      <c r="E7" s="32" t="s">
        <v>890</v>
      </c>
      <c r="F7" s="33" t="s">
        <v>890</v>
      </c>
    </row>
    <row r="8" spans="1:251" x14ac:dyDescent="0.25">
      <c r="A8" s="38" t="s">
        <v>1005</v>
      </c>
      <c r="B8" s="38"/>
      <c r="C8" s="32" t="s">
        <v>1523</v>
      </c>
      <c r="D8" s="32"/>
      <c r="E8" s="32" t="s">
        <v>1523</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1548</v>
      </c>
      <c r="D11" s="32"/>
      <c r="E11" s="87" t="s">
        <v>1548</v>
      </c>
      <c r="F11" s="87" t="s">
        <v>1660</v>
      </c>
    </row>
    <row r="12" spans="1:251" x14ac:dyDescent="0.25">
      <c r="A12" s="38" t="s">
        <v>1015</v>
      </c>
      <c r="B12" s="38"/>
      <c r="C12" s="32" t="s">
        <v>1549</v>
      </c>
      <c r="E12" s="32" t="s">
        <v>1549</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1483</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1509</v>
      </c>
      <c r="C2" s="154"/>
      <c r="D2" s="152"/>
    </row>
    <row r="3" spans="1:27" x14ac:dyDescent="0.25">
      <c r="B3" s="155" t="s">
        <v>1510</v>
      </c>
      <c r="C3" s="155"/>
      <c r="D3" s="156"/>
      <c r="G3" s="165">
        <v>1</v>
      </c>
      <c r="H3" s="165">
        <v>1</v>
      </c>
      <c r="I3" s="165" t="s">
        <v>437</v>
      </c>
      <c r="J3" s="165">
        <v>1</v>
      </c>
    </row>
    <row r="4" spans="1:27" x14ac:dyDescent="0.25">
      <c r="B4" s="155" t="s">
        <v>1511</v>
      </c>
      <c r="C4" s="155"/>
      <c r="D4" s="157"/>
      <c r="G4" s="183" t="s">
        <v>1662</v>
      </c>
      <c r="H4" s="165" t="s">
        <v>437</v>
      </c>
      <c r="I4" s="183">
        <v>10000</v>
      </c>
      <c r="J4" s="165">
        <v>2</v>
      </c>
    </row>
    <row r="5" spans="1:27" x14ac:dyDescent="0.25">
      <c r="B5" s="151"/>
      <c r="C5" s="151"/>
      <c r="D5" s="152"/>
      <c r="G5" s="183">
        <v>1</v>
      </c>
      <c r="H5" s="165">
        <v>1</v>
      </c>
      <c r="I5" s="165">
        <v>1</v>
      </c>
      <c r="J5" s="165">
        <v>3</v>
      </c>
    </row>
    <row r="6" spans="1:27" x14ac:dyDescent="0.25">
      <c r="B6" s="151"/>
      <c r="C6" s="151"/>
      <c r="D6" s="152"/>
      <c r="I6" s="165" t="s">
        <v>1627</v>
      </c>
      <c r="J6" s="165">
        <v>4</v>
      </c>
    </row>
    <row r="7" spans="1:27" x14ac:dyDescent="0.25">
      <c r="B7" s="151"/>
      <c r="C7" s="151"/>
      <c r="D7" s="152"/>
    </row>
    <row r="8" spans="1:27" ht="25" x14ac:dyDescent="0.25">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1501</v>
      </c>
      <c r="T8" s="11" t="s">
        <v>1502</v>
      </c>
      <c r="U8" s="11" t="s">
        <v>1503</v>
      </c>
      <c r="V8" s="11" t="s">
        <v>1655</v>
      </c>
      <c r="W8" s="11" t="s">
        <v>1512</v>
      </c>
      <c r="X8" s="11" t="s">
        <v>1513</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1596</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4" si="0">"Submission." &amp; B11</f>
        <v>Submission.LPR003</v>
      </c>
      <c r="D11" s="107" t="s">
        <v>1313</v>
      </c>
      <c r="E11" s="106" t="s">
        <v>130</v>
      </c>
      <c r="F11" s="106" t="s">
        <v>1632</v>
      </c>
      <c r="G11" s="107"/>
      <c r="H11" s="101">
        <v>2</v>
      </c>
      <c r="I11" s="105"/>
      <c r="J11" s="99" t="s">
        <v>1553</v>
      </c>
      <c r="K11" s="106" t="s">
        <v>131</v>
      </c>
      <c r="L11" s="107"/>
      <c r="M11" s="100"/>
      <c r="N11" s="107"/>
      <c r="O11" s="100"/>
      <c r="P11" s="107"/>
      <c r="Q11" s="100"/>
      <c r="R11" s="107"/>
      <c r="S11" s="100"/>
      <c r="T11" s="107"/>
      <c r="U11" s="100"/>
      <c r="V11" s="107"/>
      <c r="W11" s="191"/>
      <c r="X11" s="107"/>
      <c r="Y11" s="107" t="s">
        <v>258</v>
      </c>
      <c r="Z11" s="10" t="s">
        <v>1033</v>
      </c>
    </row>
    <row r="12" spans="1:27" ht="114.65" customHeight="1" x14ac:dyDescent="0.25">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1658</v>
      </c>
      <c r="O12" s="100"/>
      <c r="P12" s="10"/>
      <c r="Q12" s="100"/>
      <c r="R12" s="10"/>
      <c r="S12" s="100"/>
      <c r="T12" s="10"/>
      <c r="U12" s="100"/>
      <c r="V12" s="10"/>
      <c r="W12" s="198"/>
      <c r="X12" s="158"/>
      <c r="Y12" s="27" t="s">
        <v>258</v>
      </c>
      <c r="Z12" s="10" t="s">
        <v>1033</v>
      </c>
    </row>
    <row r="13" spans="1:27" ht="71.150000000000006" customHeight="1" x14ac:dyDescent="0.25">
      <c r="A13" s="15"/>
      <c r="B13" s="106" t="s">
        <v>11</v>
      </c>
      <c r="C13" s="23" t="str">
        <f t="shared" si="0"/>
        <v>Submission.LPR005</v>
      </c>
      <c r="D13" s="107" t="s">
        <v>1541</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150000000000006" customHeight="1" x14ac:dyDescent="0.25">
      <c r="A14" s="1"/>
      <c r="B14" s="23" t="s">
        <v>1316</v>
      </c>
      <c r="C14" s="23" t="str">
        <f t="shared" si="0"/>
        <v>Submission.LPR005a</v>
      </c>
      <c r="D14" s="25" t="s">
        <v>1541</v>
      </c>
      <c r="E14" s="9" t="s">
        <v>128</v>
      </c>
      <c r="F14" s="9" t="s">
        <v>1632</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1626</v>
      </c>
      <c r="F15" s="9" t="s">
        <v>1632</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25">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1639</v>
      </c>
      <c r="O20" s="100"/>
      <c r="P20" s="10"/>
      <c r="Q20" s="100"/>
      <c r="R20" s="10"/>
      <c r="S20" s="100"/>
      <c r="T20" s="10"/>
      <c r="U20" s="100"/>
      <c r="V20" s="10"/>
      <c r="W20" s="190"/>
      <c r="X20" s="158"/>
      <c r="Y20" s="28" t="s">
        <v>256</v>
      </c>
      <c r="Z20" s="10"/>
    </row>
    <row r="21" spans="1:26" ht="63.65" customHeight="1" x14ac:dyDescent="0.25">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65" customHeight="1" x14ac:dyDescent="0.25">
      <c r="A22" s="15"/>
      <c r="B22" s="174" t="s">
        <v>1532</v>
      </c>
      <c r="C22" s="174" t="str">
        <f>"Submission." &amp; B22</f>
        <v>Submission.LPR103</v>
      </c>
      <c r="D22" s="175" t="s">
        <v>1006</v>
      </c>
      <c r="E22" s="176" t="s">
        <v>1533</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65" customHeight="1" x14ac:dyDescent="0.25">
      <c r="A23" s="15"/>
      <c r="B23" s="174" t="s">
        <v>1625</v>
      </c>
      <c r="C23" s="181" t="str">
        <f>"Submission." &amp; B23</f>
        <v>Submission.LPR104</v>
      </c>
      <c r="D23" s="175" t="s">
        <v>1641</v>
      </c>
      <c r="E23" s="176" t="s">
        <v>1665</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65" customHeight="1" x14ac:dyDescent="0.25">
      <c r="A24" s="15"/>
      <c r="B24" s="174" t="s">
        <v>1519</v>
      </c>
      <c r="C24" s="174" t="str">
        <f t="shared" si="0"/>
        <v>Submission.LPR100</v>
      </c>
      <c r="D24" s="175" t="s">
        <v>1528</v>
      </c>
      <c r="E24" s="176" t="s">
        <v>1666</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65" customHeight="1" x14ac:dyDescent="0.25">
      <c r="A25" s="15"/>
      <c r="B25" s="174" t="s">
        <v>1524</v>
      </c>
      <c r="C25" s="174" t="str">
        <f t="shared" ref="C25:C26" si="1">"Submission." &amp; B25</f>
        <v>Submission.LPR101</v>
      </c>
      <c r="D25" s="175" t="s">
        <v>1527</v>
      </c>
      <c r="E25" s="176" t="s">
        <v>1667</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65" customHeight="1" x14ac:dyDescent="0.25">
      <c r="A26" s="15"/>
      <c r="B26" s="174" t="s">
        <v>1526</v>
      </c>
      <c r="C26" s="174" t="str">
        <f t="shared" si="1"/>
        <v>Submission.LPR102</v>
      </c>
      <c r="D26" s="175" t="s">
        <v>890</v>
      </c>
      <c r="E26" s="176" t="s">
        <v>1529</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25">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1643</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5" x14ac:dyDescent="0.25">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5" x14ac:dyDescent="0.25">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5" x14ac:dyDescent="0.25">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25">
      <c r="B32" s="23" t="s">
        <v>91</v>
      </c>
      <c r="C32" s="116" t="str">
        <f t="shared" si="2"/>
        <v>IGFLend.LPIGF004</v>
      </c>
      <c r="D32" s="16" t="s">
        <v>186</v>
      </c>
      <c r="E32" s="9" t="s">
        <v>1288</v>
      </c>
      <c r="F32" s="9"/>
      <c r="G32" s="17"/>
      <c r="H32" s="101">
        <v>10000</v>
      </c>
      <c r="I32" s="103"/>
      <c r="J32" s="99"/>
      <c r="K32" s="9" t="s">
        <v>129</v>
      </c>
      <c r="L32" s="10" t="s">
        <v>1259</v>
      </c>
      <c r="M32" s="100" t="b">
        <f>H32&gt;0</f>
        <v>1</v>
      </c>
      <c r="N32" s="10" t="s">
        <v>1588</v>
      </c>
      <c r="O32" s="100"/>
      <c r="P32" s="10"/>
      <c r="Q32" s="100"/>
      <c r="R32" s="10"/>
      <c r="S32" s="100"/>
      <c r="T32" s="10"/>
      <c r="U32" s="100"/>
      <c r="V32" s="10"/>
      <c r="W32" s="23"/>
      <c r="X32" s="10"/>
      <c r="Y32" s="16" t="s">
        <v>210</v>
      </c>
      <c r="Z32" s="10"/>
    </row>
    <row r="33" spans="2:26" ht="82" customHeight="1" x14ac:dyDescent="0.25">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25">
      <c r="B34" s="23" t="s">
        <v>93</v>
      </c>
      <c r="C34" s="116" t="str">
        <f t="shared" si="2"/>
        <v>IGFLend.LPIGF006</v>
      </c>
      <c r="D34" s="16" t="s">
        <v>188</v>
      </c>
      <c r="E34" s="23" t="s">
        <v>1615</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25">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25">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15" customHeight="1" x14ac:dyDescent="0.25">
      <c r="B37" s="23" t="s">
        <v>96</v>
      </c>
      <c r="C37" s="116" t="str">
        <f t="shared" si="2"/>
        <v>IGFLend.LPIGF009</v>
      </c>
      <c r="D37" s="16" t="s">
        <v>1542</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65" customHeight="1" x14ac:dyDescent="0.25">
      <c r="B38" s="23" t="s">
        <v>97</v>
      </c>
      <c r="C38" s="116" t="str">
        <f t="shared" si="2"/>
        <v>IGFLend.LPIGF010</v>
      </c>
      <c r="D38" s="16" t="s">
        <v>1543</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15" customHeight="1" x14ac:dyDescent="0.25">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25">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65" customHeight="1" x14ac:dyDescent="0.25">
      <c r="B41" s="23" t="s">
        <v>100</v>
      </c>
      <c r="C41" s="116" t="str">
        <f t="shared" si="2"/>
        <v>IGFLend.LPIGF013</v>
      </c>
      <c r="D41" s="16" t="s">
        <v>193</v>
      </c>
      <c r="E41" s="23" t="s">
        <v>1616</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25">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150000000000006" customHeight="1" x14ac:dyDescent="0.25">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25">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150000000000006" customHeight="1" x14ac:dyDescent="0.25">
      <c r="B45" s="23" t="s">
        <v>364</v>
      </c>
      <c r="C45" s="116" t="str">
        <f t="shared" si="2"/>
        <v>IGFLend.LPIGF016b</v>
      </c>
      <c r="D45" s="16" t="s">
        <v>1276</v>
      </c>
      <c r="E45" s="23" t="s">
        <v>1599</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25">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25">
      <c r="B47" s="23" t="s">
        <v>104</v>
      </c>
      <c r="C47" s="116" t="str">
        <f t="shared" si="2"/>
        <v>IGFLend.LPIGF018</v>
      </c>
      <c r="D47" s="16" t="s">
        <v>1278</v>
      </c>
      <c r="E47" s="23" t="s">
        <v>1601</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25">
      <c r="B48" s="23" t="s">
        <v>105</v>
      </c>
      <c r="C48" s="116" t="str">
        <f t="shared" si="2"/>
        <v>IGFLend.LPIGF019</v>
      </c>
      <c r="D48" s="16" t="s">
        <v>1279</v>
      </c>
      <c r="E48" s="23" t="s">
        <v>1602</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15" customHeight="1" x14ac:dyDescent="0.25">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25">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150000000000006" customHeight="1" x14ac:dyDescent="0.25">
      <c r="B51" s="23" t="s">
        <v>1152</v>
      </c>
      <c r="C51" s="116" t="str">
        <f t="shared" si="2"/>
        <v>IGFLend.LPC020bx</v>
      </c>
      <c r="D51" s="16" t="s">
        <v>1673</v>
      </c>
      <c r="E51" s="7" t="s">
        <v>387</v>
      </c>
      <c r="F51" s="9"/>
      <c r="G51" s="17"/>
      <c r="H51" s="114" t="b">
        <v>1</v>
      </c>
      <c r="I51" s="103"/>
      <c r="J51" s="99"/>
      <c r="K51" s="23" t="s">
        <v>129</v>
      </c>
      <c r="L51" s="10"/>
      <c r="M51" s="114" t="b">
        <f>H51</f>
        <v>1</v>
      </c>
      <c r="N51" s="10" t="s">
        <v>1441</v>
      </c>
      <c r="O51" s="100"/>
      <c r="P51" s="16"/>
      <c r="Q51" s="100"/>
      <c r="R51" s="16"/>
      <c r="S51" s="100"/>
      <c r="T51" s="16"/>
      <c r="U51" s="100"/>
      <c r="V51" s="16"/>
      <c r="W51" s="116" t="b">
        <f>AND(H44=3,(OR(H49&gt;20,AND(H50&gt;=0,H50&lt;3.5,H48=""))))</f>
        <v>0</v>
      </c>
      <c r="X51" s="16"/>
      <c r="Y51" s="16" t="s">
        <v>385</v>
      </c>
      <c r="Z51" s="10" t="s">
        <v>963</v>
      </c>
    </row>
    <row r="52" spans="1:26" ht="41.15" customHeight="1" x14ac:dyDescent="0.25">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15" customHeight="1" x14ac:dyDescent="0.25">
      <c r="B53" s="23" t="s">
        <v>107</v>
      </c>
      <c r="C53" s="116" t="str">
        <f t="shared" si="2"/>
        <v>IGFLend.LPIGF022</v>
      </c>
      <c r="D53" s="16" t="s">
        <v>1282</v>
      </c>
      <c r="E53" s="9" t="s">
        <v>1653</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15" customHeight="1" x14ac:dyDescent="0.25">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65" customHeight="1" x14ac:dyDescent="0.25">
      <c r="B55" s="23" t="s">
        <v>109</v>
      </c>
      <c r="C55" s="116" t="str">
        <f t="shared" si="2"/>
        <v>IGFLend.LPIGF024</v>
      </c>
      <c r="D55" s="16" t="s">
        <v>1284</v>
      </c>
      <c r="E55" s="7" t="s">
        <v>1623</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1669</v>
      </c>
      <c r="Y55" s="29" t="s">
        <v>230</v>
      </c>
      <c r="Z55" s="10" t="s">
        <v>964</v>
      </c>
    </row>
    <row r="56" spans="1:26" ht="30.65" customHeight="1" x14ac:dyDescent="0.25">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5" x14ac:dyDescent="0.25">
      <c r="A58" s="15"/>
      <c r="B58" s="106" t="s">
        <v>1525</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65" customHeight="1" x14ac:dyDescent="0.25">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25">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25">
      <c r="B61" s="23" t="s">
        <v>112</v>
      </c>
      <c r="C61" s="116" t="str">
        <f t="shared" si="3"/>
        <v>IGFBorrow.LPIGF028</v>
      </c>
      <c r="D61" s="16" t="s">
        <v>200</v>
      </c>
      <c r="E61" s="9" t="s">
        <v>1288</v>
      </c>
      <c r="F61" s="9"/>
      <c r="G61" s="17"/>
      <c r="H61" s="101">
        <v>5000</v>
      </c>
      <c r="I61" s="103"/>
      <c r="J61" s="99"/>
      <c r="K61" s="9" t="s">
        <v>129</v>
      </c>
      <c r="L61" s="10" t="s">
        <v>1259</v>
      </c>
      <c r="M61" s="100" t="b">
        <f>H61&gt;0</f>
        <v>1</v>
      </c>
      <c r="N61" s="10" t="s">
        <v>1587</v>
      </c>
      <c r="O61" s="100"/>
      <c r="P61" s="10"/>
      <c r="Q61" s="100"/>
      <c r="R61" s="10"/>
      <c r="S61" s="100"/>
      <c r="T61" s="10"/>
      <c r="U61" s="100"/>
      <c r="V61" s="10"/>
      <c r="W61" s="23"/>
      <c r="X61" s="10"/>
      <c r="Y61" s="16" t="s">
        <v>234</v>
      </c>
      <c r="Z61" s="10"/>
    </row>
    <row r="62" spans="1:26" ht="80.5" customHeight="1" x14ac:dyDescent="0.25">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25">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25">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25">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25">
      <c r="B66" s="23" t="s">
        <v>117</v>
      </c>
      <c r="C66" s="116" t="str">
        <f t="shared" si="3"/>
        <v>IGFBorrow.LPIGF033</v>
      </c>
      <c r="D66" s="16" t="s">
        <v>1542</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25">
      <c r="B67" s="23" t="s">
        <v>118</v>
      </c>
      <c r="C67" s="116" t="str">
        <f t="shared" si="3"/>
        <v>IGFBorrow.LPIGF034</v>
      </c>
      <c r="D67" s="16" t="s">
        <v>1544</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65" customHeight="1" x14ac:dyDescent="0.25">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15" customHeight="1" x14ac:dyDescent="0.25">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65" customHeight="1" x14ac:dyDescent="0.25">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25">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25">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25">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25">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25">
      <c r="B75" s="23" t="s">
        <v>124</v>
      </c>
      <c r="C75" s="116" t="str">
        <f t="shared" si="3"/>
        <v>IGFBorrow.LPIGF041</v>
      </c>
      <c r="D75" s="16" t="s">
        <v>1431</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25">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150000000000006" customHeight="1" x14ac:dyDescent="0.25">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25">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1332</v>
      </c>
      <c r="C80" s="116" t="str">
        <f t="shared" si="3"/>
        <v>IGFBorrow.LPIGF044x</v>
      </c>
      <c r="D80" s="16" t="s">
        <v>1673</v>
      </c>
      <c r="E80" s="7" t="s">
        <v>387</v>
      </c>
      <c r="F80" s="9"/>
      <c r="G80" s="17"/>
      <c r="H80" s="114" t="b">
        <v>1</v>
      </c>
      <c r="I80" s="103"/>
      <c r="J80" s="99"/>
      <c r="K80" s="23" t="s">
        <v>129</v>
      </c>
      <c r="L80" s="10"/>
      <c r="M80" s="114" t="b">
        <f>H80</f>
        <v>1</v>
      </c>
      <c r="N80" s="10" t="s">
        <v>1441</v>
      </c>
      <c r="O80" s="100"/>
      <c r="P80" s="16"/>
      <c r="Q80" s="100"/>
      <c r="R80" s="16"/>
      <c r="S80" s="100"/>
      <c r="T80" s="16"/>
      <c r="U80" s="100"/>
      <c r="V80" s="16"/>
      <c r="W80" s="116" t="b">
        <f>AND(H73=3,(OR(H78&gt;20,AND(H79&gt;=0,H79&lt;3.5,H77=""))))</f>
        <v>1</v>
      </c>
      <c r="X80" s="16"/>
      <c r="Y80" s="16" t="s">
        <v>386</v>
      </c>
      <c r="Z80" s="10" t="s">
        <v>963</v>
      </c>
    </row>
    <row r="81" spans="1:26" ht="90.65" customHeight="1" x14ac:dyDescent="0.25">
      <c r="B81" s="23" t="s">
        <v>127</v>
      </c>
      <c r="C81" s="116" t="str">
        <f t="shared" si="3"/>
        <v>IGFBorrow.LPIGF045</v>
      </c>
      <c r="D81" s="16" t="s">
        <v>1432</v>
      </c>
      <c r="E81" s="7" t="s">
        <v>1624</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1669</v>
      </c>
      <c r="Y81" s="26" t="s">
        <v>250</v>
      </c>
      <c r="Z81" s="10" t="s">
        <v>964</v>
      </c>
    </row>
    <row r="82" spans="1:26" ht="23.15" customHeight="1" x14ac:dyDescent="0.25">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65" customHeight="1" x14ac:dyDescent="0.25">
      <c r="B83" s="23" t="s">
        <v>1158</v>
      </c>
      <c r="C83" s="116" t="str">
        <f>"ISDA." &amp; B83</f>
        <v>ISDA.LPC040</v>
      </c>
      <c r="D83" s="16" t="s">
        <v>1159</v>
      </c>
      <c r="E83" s="9" t="s">
        <v>134</v>
      </c>
      <c r="F83" s="9"/>
      <c r="G83" s="17"/>
      <c r="H83" s="102" t="s">
        <v>1159</v>
      </c>
      <c r="I83" s="105"/>
      <c r="J83" s="99"/>
      <c r="K83" s="9" t="s">
        <v>131</v>
      </c>
      <c r="L83" s="10"/>
      <c r="M83" s="100" t="b">
        <f>LEN(H83)&lt;=2000</f>
        <v>1</v>
      </c>
      <c r="N83" s="10" t="s">
        <v>1628</v>
      </c>
      <c r="O83" s="100"/>
      <c r="P83" s="10"/>
      <c r="Q83" s="100"/>
      <c r="R83" s="10"/>
      <c r="S83" s="100"/>
      <c r="T83" s="10"/>
      <c r="U83" s="100"/>
      <c r="V83" s="10"/>
      <c r="W83" s="23"/>
      <c r="X83" s="10"/>
      <c r="Y83" s="16" t="s">
        <v>1162</v>
      </c>
      <c r="Z83" s="10" t="s">
        <v>1176</v>
      </c>
    </row>
    <row r="84" spans="1:26" ht="35.5" customHeight="1" x14ac:dyDescent="0.25">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25">
      <c r="B85" s="23" t="s">
        <v>75</v>
      </c>
      <c r="C85" s="116" t="str">
        <f t="shared" si="4"/>
        <v>ISDA.LPC020</v>
      </c>
      <c r="D85" s="16" t="s">
        <v>173</v>
      </c>
      <c r="E85" s="23" t="s">
        <v>1612</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15" customHeight="1" x14ac:dyDescent="0.25">
      <c r="B86" s="23" t="s">
        <v>76</v>
      </c>
      <c r="C86" s="116" t="str">
        <f t="shared" si="4"/>
        <v>ISDA.LPC021</v>
      </c>
      <c r="D86" s="16" t="s">
        <v>174</v>
      </c>
      <c r="E86" s="9" t="s">
        <v>1288</v>
      </c>
      <c r="F86" s="9"/>
      <c r="G86" s="17"/>
      <c r="H86" s="101">
        <v>10000</v>
      </c>
      <c r="I86" s="103"/>
      <c r="J86" s="99"/>
      <c r="K86" s="9" t="s">
        <v>129</v>
      </c>
      <c r="L86" s="10" t="s">
        <v>1259</v>
      </c>
      <c r="M86" s="100" t="b">
        <f>H86&gt;0</f>
        <v>1</v>
      </c>
      <c r="N86" s="10" t="s">
        <v>1629</v>
      </c>
      <c r="O86" s="100"/>
      <c r="P86" s="10"/>
      <c r="Q86" s="100"/>
      <c r="R86" s="10"/>
      <c r="S86" s="100"/>
      <c r="T86" s="10"/>
      <c r="U86" s="100"/>
      <c r="V86" s="10"/>
      <c r="W86" s="23"/>
      <c r="X86" s="10"/>
      <c r="Y86" s="16" t="s">
        <v>318</v>
      </c>
      <c r="Z86" s="10"/>
    </row>
    <row r="87" spans="1:26" ht="25" customHeight="1" x14ac:dyDescent="0.25">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25">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25">
      <c r="B89" s="23" t="s">
        <v>79</v>
      </c>
      <c r="C89" s="116" t="str">
        <f t="shared" si="4"/>
        <v>ISDA.LPC024</v>
      </c>
      <c r="D89" s="16" t="s">
        <v>176</v>
      </c>
      <c r="E89" s="23" t="s">
        <v>1602</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25">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25">
      <c r="B91" s="23" t="s">
        <v>1584</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25">
      <c r="B92" s="23" t="s">
        <v>383</v>
      </c>
      <c r="C92" s="116" t="str">
        <f t="shared" si="4"/>
        <v>ISDA.LPC025b</v>
      </c>
      <c r="D92" s="16" t="s">
        <v>1674</v>
      </c>
      <c r="E92" s="7" t="s">
        <v>387</v>
      </c>
      <c r="F92" s="9"/>
      <c r="G92" s="17"/>
      <c r="H92" s="114" t="b">
        <v>0</v>
      </c>
      <c r="I92" s="103"/>
      <c r="J92" s="99"/>
      <c r="K92" s="23" t="s">
        <v>129</v>
      </c>
      <c r="L92" s="10"/>
      <c r="M92" s="114" t="b">
        <f>H92</f>
        <v>0</v>
      </c>
      <c r="N92" s="10" t="s">
        <v>1442</v>
      </c>
      <c r="O92" s="100"/>
      <c r="P92" s="16"/>
      <c r="Q92" s="100"/>
      <c r="R92" s="16"/>
      <c r="S92" s="100"/>
      <c r="T92" s="16"/>
      <c r="U92" s="100"/>
      <c r="V92" s="16"/>
      <c r="W92" s="116" t="b">
        <f>OR(H90&gt;20,H91&gt;20)</f>
        <v>0</v>
      </c>
      <c r="X92" s="16"/>
      <c r="Y92" s="16" t="s">
        <v>384</v>
      </c>
      <c r="Z92" s="10" t="s">
        <v>963</v>
      </c>
    </row>
    <row r="93" spans="1:26" ht="44.15" customHeight="1" x14ac:dyDescent="0.25">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25">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25">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25">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25">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25">
      <c r="B98" s="23" t="s">
        <v>86</v>
      </c>
      <c r="C98" s="116" t="str">
        <f t="shared" si="4"/>
        <v>ISDA.LPC031</v>
      </c>
      <c r="D98" s="16" t="s">
        <v>182</v>
      </c>
      <c r="E98" s="23" t="s">
        <v>1613</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25">
      <c r="B99" s="23" t="s">
        <v>87</v>
      </c>
      <c r="C99" s="116" t="str">
        <f>"ISDA." &amp; B99</f>
        <v>ISDA.LPC032</v>
      </c>
      <c r="D99" s="16" t="s">
        <v>183</v>
      </c>
      <c r="E99" s="23" t="s">
        <v>1585</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65" customHeight="1" x14ac:dyDescent="0.25">
      <c r="A100" s="15"/>
      <c r="B100" s="174" t="s">
        <v>1642</v>
      </c>
      <c r="C100" s="181" t="str">
        <f>"ISDA." &amp; B100</f>
        <v>ISDA.LPC033</v>
      </c>
      <c r="D100" s="175" t="s">
        <v>1005</v>
      </c>
      <c r="E100" s="177" t="s">
        <v>1652</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25">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25">
      <c r="A102" s="166" t="s">
        <v>893</v>
      </c>
      <c r="B102" s="167" t="s">
        <v>893</v>
      </c>
      <c r="C102" s="167"/>
      <c r="D102" s="168" t="s">
        <v>1469</v>
      </c>
      <c r="E102" s="167" t="s">
        <v>1263</v>
      </c>
      <c r="F102" s="167" t="s">
        <v>1256</v>
      </c>
      <c r="G102" s="168" t="s">
        <v>1471</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25">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25">
      <c r="A104" t="s">
        <v>896</v>
      </c>
      <c r="B104" s="23" t="s">
        <v>896</v>
      </c>
      <c r="C104" s="116" t="str">
        <f t="shared" ref="C104:C109" si="5">"ISDACovenant." &amp; B104</f>
        <v>ISDACovenant.LPC004a</v>
      </c>
      <c r="D104" s="16" t="s">
        <v>336</v>
      </c>
      <c r="E104" s="23" t="s">
        <v>1614</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25">
      <c r="A105" t="s">
        <v>64</v>
      </c>
      <c r="B105" s="23" t="s">
        <v>1644</v>
      </c>
      <c r="C105" s="116" t="str">
        <f t="shared" si="5"/>
        <v>ISDACovenant.LPC005a</v>
      </c>
      <c r="D105" s="16" t="s">
        <v>170</v>
      </c>
      <c r="E105" s="23" t="s">
        <v>134</v>
      </c>
      <c r="F105" s="9"/>
      <c r="G105" s="17"/>
      <c r="H105" s="102" t="s">
        <v>1474</v>
      </c>
      <c r="I105" s="103"/>
      <c r="J105" s="99"/>
      <c r="K105" s="9" t="s">
        <v>129</v>
      </c>
      <c r="L105" s="10"/>
      <c r="M105" s="100" t="b">
        <f>LEN(H105)&lt;=2000</f>
        <v>1</v>
      </c>
      <c r="N105" s="10" t="s">
        <v>1479</v>
      </c>
      <c r="O105" s="100"/>
      <c r="P105" s="10"/>
      <c r="Q105" s="100"/>
      <c r="R105" s="10"/>
      <c r="S105" s="100"/>
      <c r="T105" s="10"/>
      <c r="U105" s="100"/>
      <c r="V105" s="10"/>
      <c r="W105" s="23"/>
      <c r="X105" s="10"/>
      <c r="Y105" s="16" t="s">
        <v>305</v>
      </c>
      <c r="Z105" s="10"/>
    </row>
    <row r="106" spans="1:26" ht="32.5" customHeight="1" x14ac:dyDescent="0.25">
      <c r="A106" t="s">
        <v>65</v>
      </c>
      <c r="B106" s="23" t="s">
        <v>1645</v>
      </c>
      <c r="C106" s="116" t="str">
        <f t="shared" si="5"/>
        <v>ISDACovenant.LPC006a</v>
      </c>
      <c r="D106" s="16" t="s">
        <v>337</v>
      </c>
      <c r="E106" s="23" t="s">
        <v>132</v>
      </c>
      <c r="F106" s="9"/>
      <c r="G106" s="17"/>
      <c r="H106" s="146" t="s">
        <v>1475</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25">
      <c r="A107" t="s">
        <v>66</v>
      </c>
      <c r="B107" s="23" t="s">
        <v>1646</v>
      </c>
      <c r="C107" s="116" t="str">
        <f t="shared" si="5"/>
        <v>ISDACovenant.LPC007a</v>
      </c>
      <c r="D107" s="16" t="s">
        <v>338</v>
      </c>
      <c r="E107" s="23" t="s">
        <v>1470</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25">
      <c r="A108" t="s">
        <v>67</v>
      </c>
      <c r="B108" s="23" t="s">
        <v>1647</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25">
      <c r="A109" t="s">
        <v>68</v>
      </c>
      <c r="B109" s="23" t="s">
        <v>1648</v>
      </c>
      <c r="C109" s="116" t="str">
        <f t="shared" si="5"/>
        <v>ISDACovenant.LPC009a</v>
      </c>
      <c r="D109" s="16" t="s">
        <v>340</v>
      </c>
      <c r="E109" s="23" t="s">
        <v>132</v>
      </c>
      <c r="F109" s="9"/>
      <c r="G109" s="17"/>
      <c r="H109" s="146" t="s">
        <v>1476</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25">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65" customHeight="1" x14ac:dyDescent="0.25">
      <c r="B112" s="23" t="s">
        <v>18</v>
      </c>
      <c r="C112" s="116" t="str">
        <f t="shared" ref="C112:C132" si="6">"Facility." &amp; B112</f>
        <v>Facility.LPF001</v>
      </c>
      <c r="D112" s="16" t="s">
        <v>1546</v>
      </c>
      <c r="E112" s="23" t="s">
        <v>1334</v>
      </c>
      <c r="F112" s="9"/>
      <c r="G112" s="17"/>
      <c r="H112" s="102" t="s">
        <v>457</v>
      </c>
      <c r="I112" s="103"/>
      <c r="J112" s="102" t="s">
        <v>1545</v>
      </c>
      <c r="K112" s="9" t="s">
        <v>129</v>
      </c>
      <c r="L112" s="10" t="s">
        <v>1259</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25">
      <c r="A114" t="s">
        <v>1608</v>
      </c>
      <c r="B114" s="23" t="s">
        <v>21</v>
      </c>
      <c r="C114" s="116" t="str">
        <f t="shared" si="6"/>
        <v>Facility.LPF003</v>
      </c>
      <c r="D114" s="16" t="s">
        <v>342</v>
      </c>
      <c r="E114" s="23" t="s">
        <v>1583</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15" customHeight="1" x14ac:dyDescent="0.25">
      <c r="A115" s="15"/>
      <c r="B115" s="106" t="s">
        <v>22</v>
      </c>
      <c r="C115" s="116" t="str">
        <f t="shared" si="6"/>
        <v>Facility.LPF004</v>
      </c>
      <c r="D115" s="107" t="s">
        <v>1346</v>
      </c>
      <c r="E115" s="106" t="s">
        <v>135</v>
      </c>
      <c r="F115" s="106"/>
      <c r="G115" s="107" t="s">
        <v>1670</v>
      </c>
      <c r="H115" s="101"/>
      <c r="I115" s="199" t="str">
        <f>_xlfn.CONCAT(H205,H112,Pfo_Page_Serial_Padded_3)</f>
        <v>DMOBOS002</v>
      </c>
      <c r="J115" s="117" t="s">
        <v>1678</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25">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25">
      <c r="B117" s="23" t="s">
        <v>361</v>
      </c>
      <c r="C117" s="116" t="str">
        <f t="shared" si="6"/>
        <v>Facility.LPF005b</v>
      </c>
      <c r="D117" s="16" t="s">
        <v>1347</v>
      </c>
      <c r="E117" s="23" t="s">
        <v>1582</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65" customHeight="1" x14ac:dyDescent="0.25">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65" customHeight="1" x14ac:dyDescent="0.25">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25">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1449</v>
      </c>
      <c r="Q120" s="100"/>
      <c r="R120" s="10"/>
      <c r="S120" s="100"/>
      <c r="T120" s="10"/>
      <c r="U120" s="100"/>
      <c r="V120" s="10"/>
      <c r="W120" s="23"/>
      <c r="X120" s="10"/>
      <c r="Y120" s="16" t="s">
        <v>265</v>
      </c>
      <c r="Z120" s="10" t="s">
        <v>1219</v>
      </c>
    </row>
    <row r="121" spans="1:26" ht="57.65" customHeight="1" x14ac:dyDescent="0.25">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25">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1631</v>
      </c>
      <c r="O122" s="100" t="b">
        <f>H122=pfo_total_loan_lpl007</f>
        <v>1</v>
      </c>
      <c r="P122" s="93" t="s">
        <v>1610</v>
      </c>
      <c r="Q122" s="100"/>
      <c r="R122" s="10"/>
      <c r="S122" s="100"/>
      <c r="T122" s="10"/>
      <c r="U122" s="100"/>
      <c r="V122" s="10"/>
      <c r="W122" s="23"/>
      <c r="X122" s="10"/>
      <c r="Y122" s="16" t="s">
        <v>267</v>
      </c>
      <c r="Z122" s="10"/>
    </row>
    <row r="123" spans="1:26" ht="51" customHeight="1" x14ac:dyDescent="0.25">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25">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25">
      <c r="B125" s="23" t="s">
        <v>31</v>
      </c>
      <c r="C125" s="116" t="str">
        <f t="shared" si="6"/>
        <v>Facility.LPF013</v>
      </c>
      <c r="D125" s="16" t="s">
        <v>402</v>
      </c>
      <c r="E125" s="23" t="s">
        <v>1611</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25">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25">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25">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25">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15" customHeight="1" x14ac:dyDescent="0.25">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25">
      <c r="B131" s="23" t="s">
        <v>37</v>
      </c>
      <c r="C131" s="116" t="str">
        <f t="shared" si="6"/>
        <v>Facility.LPF019</v>
      </c>
      <c r="D131" s="16" t="s">
        <v>1360</v>
      </c>
      <c r="E131" s="23" t="s">
        <v>136</v>
      </c>
      <c r="F131" s="9"/>
      <c r="G131" s="17"/>
      <c r="H131" s="102" t="s">
        <v>1361</v>
      </c>
      <c r="I131" s="103"/>
      <c r="J131" s="99"/>
      <c r="K131" s="9" t="s">
        <v>129</v>
      </c>
      <c r="L131" s="10"/>
      <c r="M131" s="100"/>
      <c r="N131" s="10" t="s">
        <v>1455</v>
      </c>
      <c r="O131" s="100"/>
      <c r="P131" s="10"/>
      <c r="Q131" s="100"/>
      <c r="R131" s="10"/>
      <c r="S131" s="100"/>
      <c r="T131" s="10"/>
      <c r="U131" s="100"/>
      <c r="V131" s="10"/>
      <c r="W131" s="193" t="b">
        <f>H130</f>
        <v>1</v>
      </c>
      <c r="X131" s="10"/>
      <c r="Y131" s="16" t="s">
        <v>275</v>
      </c>
      <c r="Z131" s="10"/>
    </row>
    <row r="132" spans="1:27" ht="93" customHeight="1" x14ac:dyDescent="0.25">
      <c r="B132" s="23" t="s">
        <v>344</v>
      </c>
      <c r="C132" s="116" t="str">
        <f t="shared" si="6"/>
        <v>Facility.LPF020</v>
      </c>
      <c r="D132" s="16" t="s">
        <v>1362</v>
      </c>
      <c r="E132" s="175" t="s">
        <v>1609</v>
      </c>
      <c r="F132" s="9"/>
      <c r="G132" s="17"/>
      <c r="H132" s="114" t="b">
        <v>0</v>
      </c>
      <c r="I132" s="103"/>
      <c r="J132" s="99"/>
      <c r="K132" s="9" t="s">
        <v>131</v>
      </c>
      <c r="L132" s="10"/>
      <c r="M132" s="100"/>
      <c r="N132" s="10"/>
      <c r="O132" s="100"/>
      <c r="P132" s="10"/>
      <c r="Q132" s="100"/>
      <c r="R132" s="10"/>
      <c r="S132" s="100"/>
      <c r="T132" s="10"/>
      <c r="U132" s="100"/>
      <c r="V132" s="10"/>
      <c r="W132" s="116" t="b">
        <f>AND(H122=0,H120&lt;&gt;"",H120&lt;=H13)</f>
        <v>0</v>
      </c>
      <c r="X132" s="10" t="s">
        <v>1671</v>
      </c>
      <c r="Y132" s="16" t="s">
        <v>259</v>
      </c>
      <c r="Z132" s="10" t="s">
        <v>1017</v>
      </c>
    </row>
    <row r="133" spans="1:27" ht="63.65" customHeight="1" x14ac:dyDescent="0.25">
      <c r="A133" s="15"/>
      <c r="B133" s="174" t="s">
        <v>1531</v>
      </c>
      <c r="C133" s="181" t="str">
        <f>"Facility." &amp; B133</f>
        <v>Facility.LPC100</v>
      </c>
      <c r="D133" s="175" t="s">
        <v>1040</v>
      </c>
      <c r="E133" s="176" t="s">
        <v>1661</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25">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25">
      <c r="B136" s="23" t="s">
        <v>353</v>
      </c>
      <c r="C136" s="116" t="str">
        <f t="shared" ref="C136:C165" si="7">"Loan." &amp; B136</f>
        <v>Loan.LPL002a</v>
      </c>
      <c r="D136" s="16" t="s">
        <v>162</v>
      </c>
      <c r="E136" s="23" t="s">
        <v>1599</v>
      </c>
      <c r="F136" s="9"/>
      <c r="G136" s="17"/>
      <c r="H136" s="102" t="s">
        <v>986</v>
      </c>
      <c r="I136" s="103"/>
      <c r="J136" s="99"/>
      <c r="K136" s="9" t="s">
        <v>129</v>
      </c>
      <c r="L136" s="10" t="s">
        <v>1259</v>
      </c>
      <c r="M136" s="115" t="b" cm="1">
        <f t="array" ref="M136">IF(OR(H136="FWEIRS",H136="VWES"),pfo_count_eird&gt;0,TRUE)</f>
        <v>1</v>
      </c>
      <c r="N136" s="10" t="s">
        <v>1500</v>
      </c>
      <c r="O136" s="100" t="b" cm="1">
        <f t="array" ref="O136">IF(pfo_count_eird &gt; 0,OR(H136="FWEIRS",H136="REVLNF",H136="VWES"), TRUE)</f>
        <v>0</v>
      </c>
      <c r="P136" s="10" t="s">
        <v>1605</v>
      </c>
      <c r="Q136" s="100"/>
      <c r="R136" s="10"/>
      <c r="S136" s="100"/>
      <c r="T136" s="10"/>
      <c r="U136" s="100"/>
      <c r="V136" s="10"/>
      <c r="W136" s="23"/>
      <c r="X136" s="10"/>
      <c r="Y136" s="16" t="s">
        <v>279</v>
      </c>
      <c r="Z136" s="10"/>
    </row>
    <row r="137" spans="1:27" ht="203.5" customHeight="1" x14ac:dyDescent="0.25">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1679</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25">
      <c r="B138" s="23" t="s">
        <v>38</v>
      </c>
      <c r="C138" s="116" t="str">
        <f t="shared" si="7"/>
        <v>Loan.LPL003</v>
      </c>
      <c r="D138" s="16" t="s">
        <v>163</v>
      </c>
      <c r="E138" s="23" t="s">
        <v>1600</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15" customHeight="1" x14ac:dyDescent="0.25">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25">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25">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25">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25">
      <c r="B143" s="23" t="s">
        <v>43</v>
      </c>
      <c r="C143" s="116" t="str">
        <f t="shared" si="7"/>
        <v>Loan.LPL008</v>
      </c>
      <c r="D143" s="16" t="s">
        <v>166</v>
      </c>
      <c r="E143" s="23" t="s">
        <v>1617</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25">
      <c r="B144" s="23" t="s">
        <v>44</v>
      </c>
      <c r="C144" s="116" t="str">
        <f t="shared" si="7"/>
        <v>Loan.LPL009</v>
      </c>
      <c r="D144" s="16" t="s">
        <v>167</v>
      </c>
      <c r="E144" s="23" t="s">
        <v>1602</v>
      </c>
      <c r="F144" s="9"/>
      <c r="G144" s="17"/>
      <c r="H144" s="102">
        <v>4</v>
      </c>
      <c r="I144" s="103"/>
      <c r="J144" s="99" t="s">
        <v>1657</v>
      </c>
      <c r="K144" s="9" t="s">
        <v>129</v>
      </c>
      <c r="L144" s="10" t="s">
        <v>1259</v>
      </c>
      <c r="M144" s="100" t="b">
        <f>IF(OR(H136="FIXED",H136="FWEIRS",H136="FNEIRS",H136="BNDCAP"),H144=3, TRUE)</f>
        <v>1</v>
      </c>
      <c r="N144" s="10" t="s">
        <v>1504</v>
      </c>
      <c r="O144" s="100" t="b">
        <f>IF(H136="FIXIF",H144=4, TRUE)</f>
        <v>1</v>
      </c>
      <c r="P144" s="10" t="s">
        <v>1505</v>
      </c>
      <c r="Q144" s="100" t="b">
        <f>IF(H144=3, OR(H136="FIXED",H136="FWEIRS",H136="FNEIRS", H136="BNDCAP"), TRUE)</f>
        <v>1</v>
      </c>
      <c r="R144" s="10" t="s">
        <v>1506</v>
      </c>
      <c r="S144" s="100" t="b">
        <f>IF(H144=4,H136="FIXIF",TRUE)</f>
        <v>0</v>
      </c>
      <c r="T144" s="10" t="s">
        <v>1507</v>
      </c>
      <c r="U144" s="100"/>
      <c r="V144" s="10"/>
      <c r="W144" s="23"/>
      <c r="X144" s="10"/>
      <c r="Y144" s="16" t="s">
        <v>286</v>
      </c>
      <c r="Z144" s="16" t="s">
        <v>403</v>
      </c>
    </row>
    <row r="145" spans="2:27" ht="120.65" customHeight="1" x14ac:dyDescent="0.3">
      <c r="B145" s="23" t="s">
        <v>45</v>
      </c>
      <c r="C145" s="116" t="str">
        <f t="shared" si="7"/>
        <v>Loan.LPL010</v>
      </c>
      <c r="D145" s="16" t="s">
        <v>1439</v>
      </c>
      <c r="E145" s="9" t="s">
        <v>1293</v>
      </c>
      <c r="F145" s="9"/>
      <c r="G145" s="17"/>
      <c r="H145" s="112">
        <v>0</v>
      </c>
      <c r="I145" s="103"/>
      <c r="J145" s="99"/>
      <c r="K145" s="9" t="s">
        <v>129</v>
      </c>
      <c r="L145" s="10"/>
      <c r="M145" s="100" t="b">
        <f>OR(AND(H144=4,H145=0),AND(H144=5,H145&gt;=0),AND(H144&lt;&gt;4,H144&lt;&gt;5,H145&gt;0))</f>
        <v>1</v>
      </c>
      <c r="N145" s="10" t="s">
        <v>1656</v>
      </c>
      <c r="O145" s="100"/>
      <c r="P145" s="10"/>
      <c r="Q145" s="100"/>
      <c r="R145" s="10"/>
      <c r="S145" s="100"/>
      <c r="T145" s="10"/>
      <c r="U145" s="100"/>
      <c r="V145" s="10"/>
      <c r="W145" s="202" t="b">
        <f>OR(H136="BDGFIN",H136="DEVDFT",H136="REVLNF", H136="VAR",H136="VWES",H136="VNES",H136="WCPDFT")</f>
        <v>1</v>
      </c>
      <c r="X145" s="10"/>
      <c r="Y145" s="16" t="s">
        <v>287</v>
      </c>
      <c r="Z145" s="23"/>
    </row>
    <row r="146" spans="2:27" ht="116.15" customHeight="1" x14ac:dyDescent="0.25">
      <c r="B146" s="23" t="s">
        <v>1556</v>
      </c>
      <c r="C146" s="116" t="str">
        <f t="shared" si="7"/>
        <v>Loan.LPL010a</v>
      </c>
      <c r="D146" s="16" t="s">
        <v>1440</v>
      </c>
      <c r="E146" s="9" t="s">
        <v>1293</v>
      </c>
      <c r="F146" s="9"/>
      <c r="G146" s="17"/>
      <c r="H146" s="112">
        <v>3.4998999999999998</v>
      </c>
      <c r="I146" s="103"/>
      <c r="J146" s="99"/>
      <c r="K146" s="9" t="s">
        <v>129</v>
      </c>
      <c r="L146" s="10"/>
      <c r="M146" s="100" t="b">
        <f>OR(AND(OR(H144=4,H144=5),H146=0),AND(H144&lt;&gt;4,H144&lt;&gt;5,H146&gt;0))</f>
        <v>0</v>
      </c>
      <c r="N146" s="10" t="s">
        <v>1640</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25">
      <c r="B147" s="23" t="s">
        <v>379</v>
      </c>
      <c r="C147" s="116" t="str">
        <f t="shared" si="7"/>
        <v>Loan.LPL010b</v>
      </c>
      <c r="D147" s="16" t="s">
        <v>1675</v>
      </c>
      <c r="E147" s="23" t="s">
        <v>387</v>
      </c>
      <c r="F147" s="9"/>
      <c r="G147" s="17"/>
      <c r="H147" s="114" t="b">
        <v>1</v>
      </c>
      <c r="I147" s="103"/>
      <c r="J147" s="99"/>
      <c r="K147" s="9" t="s">
        <v>129</v>
      </c>
      <c r="L147" s="10"/>
      <c r="M147" s="114" t="b">
        <f>H147</f>
        <v>1</v>
      </c>
      <c r="N147" s="10" t="s">
        <v>1443</v>
      </c>
      <c r="O147" s="100"/>
      <c r="P147" s="10"/>
      <c r="Q147" s="100"/>
      <c r="R147" s="10"/>
      <c r="S147" s="100"/>
      <c r="T147" s="10"/>
      <c r="U147" s="100"/>
      <c r="V147" s="10"/>
      <c r="W147" s="116" t="b">
        <f>OR(H145&gt;20,AND(H146&gt;0,H146&lt;3.5))</f>
        <v>1</v>
      </c>
      <c r="X147" s="10"/>
      <c r="Y147" s="16" t="s">
        <v>380</v>
      </c>
      <c r="Z147" s="23"/>
    </row>
    <row r="148" spans="2:27" ht="109.5" customHeight="1" x14ac:dyDescent="0.25">
      <c r="B148" s="23" t="s">
        <v>46</v>
      </c>
      <c r="C148" s="116" t="str">
        <f t="shared" si="7"/>
        <v>Loan.LPL011</v>
      </c>
      <c r="D148" s="16" t="s">
        <v>357</v>
      </c>
      <c r="E148" s="23" t="s">
        <v>128</v>
      </c>
      <c r="F148" s="9"/>
      <c r="G148" s="17"/>
      <c r="H148" s="104">
        <v>44290</v>
      </c>
      <c r="I148" s="103"/>
      <c r="J148" s="99"/>
      <c r="K148" s="9" t="s">
        <v>129</v>
      </c>
      <c r="L148" s="10"/>
      <c r="M148" s="100" t="b">
        <f>H148&gt;=H119</f>
        <v>1</v>
      </c>
      <c r="N148" s="10" t="s">
        <v>1444</v>
      </c>
      <c r="O148" s="120" t="b">
        <f>AND(H148&gt;=H206, H148&lt;=H207)</f>
        <v>1</v>
      </c>
      <c r="P148" s="10" t="s">
        <v>1447</v>
      </c>
      <c r="Q148" s="100"/>
      <c r="R148" s="141"/>
      <c r="S148" s="100"/>
      <c r="T148" s="141"/>
      <c r="U148" s="100"/>
      <c r="V148" s="141"/>
      <c r="W148" s="194" t="b">
        <f>AND(H143&lt;&gt;4, H143&lt;&gt;5)</f>
        <v>1</v>
      </c>
      <c r="X148" s="141"/>
      <c r="Y148" s="16" t="s">
        <v>288</v>
      </c>
      <c r="Z148" s="23" t="s">
        <v>1219</v>
      </c>
    </row>
    <row r="149" spans="2:27" ht="80.150000000000006" customHeight="1" x14ac:dyDescent="0.25">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1446</v>
      </c>
      <c r="O149" s="120" t="b">
        <f>AND(H149&gt;=H206,H149&lt;=H207)</f>
        <v>1</v>
      </c>
      <c r="P149" s="10" t="s">
        <v>1448</v>
      </c>
      <c r="Q149" s="100"/>
      <c r="R149" s="10"/>
      <c r="S149" s="100"/>
      <c r="T149" s="10"/>
      <c r="U149" s="100"/>
      <c r="V149" s="10"/>
      <c r="W149" s="23"/>
      <c r="X149" s="10"/>
      <c r="Y149" s="16" t="s">
        <v>289</v>
      </c>
      <c r="Z149" s="23" t="s">
        <v>1219</v>
      </c>
    </row>
    <row r="150" spans="2:27" ht="136.5" customHeight="1" x14ac:dyDescent="0.25">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1620</v>
      </c>
      <c r="O150" s="100" t="b">
        <f>IF(OR(H143=4,H143=5,H143=10),H150&lt;H149, TRUE)</f>
        <v>1</v>
      </c>
      <c r="P150" s="10" t="s">
        <v>1630</v>
      </c>
      <c r="Q150" s="100" t="b">
        <f>IF(OR(H143=9,H143=11),H150&lt;H148, TRUE)</f>
        <v>1</v>
      </c>
      <c r="R150" s="10" t="s">
        <v>1621</v>
      </c>
      <c r="S150" s="100" t="b">
        <f>H150&gt;=H119</f>
        <v>0</v>
      </c>
      <c r="T150" s="10" t="s">
        <v>1450</v>
      </c>
      <c r="U150" s="100" t="b">
        <f>H150&lt;=H149</f>
        <v>1</v>
      </c>
      <c r="V150" s="10" t="s">
        <v>1603</v>
      </c>
      <c r="W150" s="116" t="b">
        <f>AND( H144&lt;&gt;4,H144&lt;&gt;5)</f>
        <v>0</v>
      </c>
      <c r="X150" s="10"/>
      <c r="Y150" s="16" t="s">
        <v>290</v>
      </c>
      <c r="Z150" s="61" t="s">
        <v>995</v>
      </c>
    </row>
    <row r="151" spans="2:27" ht="64.5" customHeight="1" thickBot="1" x14ac:dyDescent="0.3">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3">
      <c r="B152" s="23" t="s">
        <v>50</v>
      </c>
      <c r="C152" s="116" t="str">
        <f t="shared" si="7"/>
        <v>Loan.LPL015</v>
      </c>
      <c r="D152" s="16" t="s">
        <v>997</v>
      </c>
      <c r="E152" s="23" t="s">
        <v>128</v>
      </c>
      <c r="F152" s="9"/>
      <c r="G152" s="17"/>
      <c r="H152" s="104">
        <v>47574</v>
      </c>
      <c r="I152" s="103"/>
      <c r="J152" s="99"/>
      <c r="K152" s="9" t="s">
        <v>129</v>
      </c>
      <c r="L152" s="10"/>
      <c r="M152" s="100" t="b">
        <f>H152&gt;=H119</f>
        <v>1</v>
      </c>
      <c r="N152" s="10" t="s">
        <v>1451</v>
      </c>
      <c r="O152" s="100" t="b">
        <f>H152&gt;H13</f>
        <v>1</v>
      </c>
      <c r="P152" s="10" t="s">
        <v>1452</v>
      </c>
      <c r="Q152" s="100"/>
      <c r="R152" s="60"/>
      <c r="S152" s="100"/>
      <c r="T152" s="60"/>
      <c r="U152" s="100"/>
      <c r="V152" s="60"/>
      <c r="W152" s="116" t="b">
        <f>H151=2</f>
        <v>1</v>
      </c>
      <c r="X152" s="10"/>
      <c r="Y152" s="16" t="s">
        <v>292</v>
      </c>
      <c r="Z152" s="10" t="s">
        <v>1219</v>
      </c>
      <c r="AA152" s="10"/>
    </row>
    <row r="153" spans="2:27" ht="46.5" customHeight="1" thickBot="1" x14ac:dyDescent="0.3">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3">
      <c r="B154" s="23" t="s">
        <v>52</v>
      </c>
      <c r="C154" s="116" t="str">
        <f t="shared" si="7"/>
        <v>Loan.LPL018</v>
      </c>
      <c r="D154" s="16" t="s">
        <v>966</v>
      </c>
      <c r="E154" s="23" t="s">
        <v>1547</v>
      </c>
      <c r="F154" s="9"/>
      <c r="G154" s="17"/>
      <c r="H154" s="102" t="s">
        <v>969</v>
      </c>
      <c r="I154" s="103"/>
      <c r="J154" s="99"/>
      <c r="K154" s="9" t="s">
        <v>129</v>
      </c>
      <c r="L154" s="10" t="s">
        <v>1259</v>
      </c>
      <c r="M154" s="100" t="b">
        <f>IF(H144=4, H154=4,TRUE)</f>
        <v>0</v>
      </c>
      <c r="N154" s="10" t="s">
        <v>1618</v>
      </c>
      <c r="O154" s="100"/>
      <c r="P154" s="10"/>
      <c r="Q154" s="100"/>
      <c r="R154" s="60"/>
      <c r="S154" s="100"/>
      <c r="T154" s="60"/>
      <c r="U154" s="100"/>
      <c r="V154" s="60"/>
      <c r="W154" s="116"/>
      <c r="X154" s="10"/>
      <c r="Y154" s="16" t="s">
        <v>335</v>
      </c>
      <c r="Z154" s="10" t="s">
        <v>403</v>
      </c>
    </row>
    <row r="155" spans="2:27" ht="63.65" customHeight="1" x14ac:dyDescent="0.25">
      <c r="B155" s="23" t="s">
        <v>53</v>
      </c>
      <c r="C155" s="116" t="str">
        <f t="shared" si="7"/>
        <v>Loan.LPL019</v>
      </c>
      <c r="D155" s="16" t="s">
        <v>1453</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5" x14ac:dyDescent="0.25">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25">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25">
      <c r="B158" s="23" t="s">
        <v>56</v>
      </c>
      <c r="C158" s="116" t="str">
        <f t="shared" si="7"/>
        <v>Loan.LPL022</v>
      </c>
      <c r="D158" s="16" t="s">
        <v>1454</v>
      </c>
      <c r="E158" s="23" t="s">
        <v>132</v>
      </c>
      <c r="F158" s="9"/>
      <c r="G158" s="17"/>
      <c r="H158" s="102" t="s">
        <v>1361</v>
      </c>
      <c r="I158" s="103"/>
      <c r="J158" s="99"/>
      <c r="K158" s="9" t="s">
        <v>129</v>
      </c>
      <c r="L158" s="10"/>
      <c r="M158" s="100"/>
      <c r="N158" s="10" t="s">
        <v>1456</v>
      </c>
      <c r="O158" s="100"/>
      <c r="P158" s="10"/>
      <c r="Q158" s="100"/>
      <c r="R158" s="10"/>
      <c r="S158" s="100"/>
      <c r="T158" s="10"/>
      <c r="U158" s="100"/>
      <c r="V158" s="10"/>
      <c r="W158" s="193" t="b">
        <f>H157</f>
        <v>1</v>
      </c>
      <c r="X158" s="10"/>
      <c r="Y158" s="16" t="s">
        <v>297</v>
      </c>
      <c r="Z158" s="10" t="s">
        <v>961</v>
      </c>
    </row>
    <row r="159" spans="2:27" ht="105" customHeight="1" x14ac:dyDescent="0.25">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1457</v>
      </c>
      <c r="O159" s="100"/>
      <c r="P159" s="10"/>
      <c r="Q159" s="100"/>
      <c r="R159" s="10"/>
      <c r="S159" s="100"/>
      <c r="T159" s="10"/>
      <c r="U159" s="100"/>
      <c r="V159" s="10"/>
      <c r="W159" s="23"/>
      <c r="X159" s="10"/>
      <c r="Y159" s="16" t="s">
        <v>298</v>
      </c>
      <c r="Z159" s="10"/>
    </row>
    <row r="160" spans="2:27" ht="57" customHeight="1" x14ac:dyDescent="0.25">
      <c r="B160" s="23" t="s">
        <v>58</v>
      </c>
      <c r="C160" s="116" t="str">
        <f t="shared" si="7"/>
        <v>Loan.LPL024</v>
      </c>
      <c r="D160" s="16" t="s">
        <v>1458</v>
      </c>
      <c r="E160" s="9" t="s">
        <v>1288</v>
      </c>
      <c r="F160" s="9"/>
      <c r="G160" s="17"/>
      <c r="H160" s="101">
        <v>100</v>
      </c>
      <c r="I160" s="103"/>
      <c r="J160" s="99"/>
      <c r="K160" s="9" t="s">
        <v>129</v>
      </c>
      <c r="L160" s="10"/>
      <c r="M160" s="100" t="b">
        <f>H160&gt;0</f>
        <v>1</v>
      </c>
      <c r="N160" s="16" t="s">
        <v>1462</v>
      </c>
      <c r="O160" s="100"/>
      <c r="P160" s="10"/>
      <c r="Q160" s="100"/>
      <c r="R160" s="10"/>
      <c r="S160" s="100"/>
      <c r="T160" s="10"/>
      <c r="U160" s="100"/>
      <c r="V160" s="10"/>
      <c r="W160" s="116" t="b">
        <f>H159&gt;0</f>
        <v>1</v>
      </c>
      <c r="X160" s="10"/>
      <c r="Y160" s="16" t="s">
        <v>299</v>
      </c>
      <c r="Z160" s="10"/>
    </row>
    <row r="161" spans="1:27" ht="37" customHeight="1" x14ac:dyDescent="0.25">
      <c r="B161" s="23" t="s">
        <v>59</v>
      </c>
      <c r="C161" s="116" t="str">
        <f t="shared" si="7"/>
        <v>Loan.LPL025</v>
      </c>
      <c r="D161" s="16" t="s">
        <v>1459</v>
      </c>
      <c r="E161" s="23" t="s">
        <v>1461</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25">
      <c r="B162" s="23" t="s">
        <v>60</v>
      </c>
      <c r="C162" s="116" t="str">
        <f t="shared" si="7"/>
        <v>Loan.LPL026</v>
      </c>
      <c r="D162" s="16" t="s">
        <v>1460</v>
      </c>
      <c r="E162" s="23" t="s">
        <v>128</v>
      </c>
      <c r="F162" s="9"/>
      <c r="G162" s="17"/>
      <c r="H162" s="104">
        <v>40269</v>
      </c>
      <c r="I162" s="103"/>
      <c r="J162" s="99"/>
      <c r="K162" s="9" t="s">
        <v>129</v>
      </c>
      <c r="L162" s="10"/>
      <c r="M162" s="100" t="b">
        <f>H162&lt;=H14</f>
        <v>1</v>
      </c>
      <c r="N162" s="10" t="s">
        <v>1463</v>
      </c>
      <c r="O162" s="120" t="b">
        <f>AND(H162&gt;=H206,H162&lt;=H207)</f>
        <v>1</v>
      </c>
      <c r="P162" s="10" t="s">
        <v>1619</v>
      </c>
      <c r="Q162" s="100"/>
      <c r="R162" s="10"/>
      <c r="S162" s="100"/>
      <c r="T162" s="10"/>
      <c r="U162" s="100"/>
      <c r="V162" s="10"/>
      <c r="W162" s="116" t="b">
        <f>H159&gt;0</f>
        <v>1</v>
      </c>
      <c r="X162" s="10"/>
      <c r="Y162" s="16" t="s">
        <v>301</v>
      </c>
      <c r="Z162" s="10" t="s">
        <v>1219</v>
      </c>
    </row>
    <row r="163" spans="1:27" ht="92.5" customHeight="1" x14ac:dyDescent="0.25">
      <c r="B163" s="23" t="s">
        <v>61</v>
      </c>
      <c r="C163" s="116" t="str">
        <f t="shared" si="7"/>
        <v>Loan.LPL028</v>
      </c>
      <c r="D163" s="16" t="s">
        <v>998</v>
      </c>
      <c r="E163" s="175" t="s">
        <v>1604</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1672</v>
      </c>
      <c r="Y163" s="16" t="s">
        <v>302</v>
      </c>
      <c r="Z163" s="10" t="s">
        <v>999</v>
      </c>
    </row>
    <row r="164" spans="1:27" ht="63.65" customHeight="1" x14ac:dyDescent="0.25">
      <c r="A164" s="15"/>
      <c r="B164" s="174" t="s">
        <v>1554</v>
      </c>
      <c r="C164" s="116" t="str">
        <f>"Loan." &amp; B164</f>
        <v>Loan.LPL101</v>
      </c>
      <c r="D164" s="175" t="s">
        <v>1555</v>
      </c>
      <c r="E164" s="176" t="s">
        <v>1663</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65" customHeight="1" x14ac:dyDescent="0.25">
      <c r="A165" s="15"/>
      <c r="B165" s="174" t="s">
        <v>1550</v>
      </c>
      <c r="C165" s="116" t="str">
        <f t="shared" si="7"/>
        <v>Loan.LPL100</v>
      </c>
      <c r="D165" s="175" t="s">
        <v>1551</v>
      </c>
      <c r="E165" s="176" t="s">
        <v>1664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65" customHeight="1" x14ac:dyDescent="0.25">
      <c r="A166" s="15"/>
      <c r="B166" s="106" t="s">
        <v>62</v>
      </c>
      <c r="C166" s="116" t="str">
        <f t="shared" ref="C166:C172" si="8">"LoanCovenant." &amp; B166</f>
        <v>LoanCovenant.LPC003</v>
      </c>
      <c r="D166" s="107" t="s">
        <v>1318</v>
      </c>
      <c r="E166" s="106" t="s">
        <v>1263</v>
      </c>
      <c r="F166" s="106" t="s">
        <v>1256</v>
      </c>
      <c r="G166" s="107" t="s">
        <v>1478</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25">
      <c r="B167" s="23" t="s">
        <v>63</v>
      </c>
      <c r="C167" s="116" t="str">
        <f t="shared" si="8"/>
        <v>LoanCovenant.LPC004</v>
      </c>
      <c r="D167" s="16" t="s">
        <v>336</v>
      </c>
      <c r="E167" s="23" t="s">
        <v>1530</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25">
      <c r="B168" s="23" t="s">
        <v>64</v>
      </c>
      <c r="C168" s="116" t="str">
        <f t="shared" si="8"/>
        <v>LoanCovenant.LPC005</v>
      </c>
      <c r="D168" s="16" t="s">
        <v>170</v>
      </c>
      <c r="E168" s="23" t="s">
        <v>134</v>
      </c>
      <c r="F168" s="9"/>
      <c r="G168" s="17"/>
      <c r="H168" s="102" t="s">
        <v>1480</v>
      </c>
      <c r="I168" s="103"/>
      <c r="J168" s="117"/>
      <c r="K168" s="9" t="s">
        <v>129</v>
      </c>
      <c r="L168" s="10"/>
      <c r="M168" s="100" t="b">
        <f>LEN(H168)&lt;=2000</f>
        <v>1</v>
      </c>
      <c r="N168" s="10" t="s">
        <v>1479</v>
      </c>
      <c r="O168" s="100"/>
      <c r="P168" s="10"/>
      <c r="Q168" s="100"/>
      <c r="R168" s="10"/>
      <c r="S168" s="100"/>
      <c r="T168" s="10"/>
      <c r="U168" s="100"/>
      <c r="V168" s="10"/>
      <c r="W168" s="23"/>
      <c r="X168" s="10"/>
      <c r="Y168" s="16" t="s">
        <v>305</v>
      </c>
      <c r="Z168" s="10"/>
    </row>
    <row r="169" spans="1:27" ht="92.5" customHeight="1" x14ac:dyDescent="0.25">
      <c r="B169" s="23" t="s">
        <v>65</v>
      </c>
      <c r="C169" s="116" t="str">
        <f t="shared" si="8"/>
        <v>LoanCovenant.LPC006</v>
      </c>
      <c r="D169" s="16" t="s">
        <v>337</v>
      </c>
      <c r="E169" s="23" t="s">
        <v>132</v>
      </c>
      <c r="F169" s="9"/>
      <c r="G169" s="17"/>
      <c r="H169" s="146" t="s">
        <v>1481</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25">
      <c r="B170" s="23" t="s">
        <v>66</v>
      </c>
      <c r="C170" s="116" t="str">
        <f t="shared" si="8"/>
        <v>LoanCovenant.LPC007</v>
      </c>
      <c r="D170" s="16" t="s">
        <v>338</v>
      </c>
      <c r="E170" s="23" t="s">
        <v>1470</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25">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25">
      <c r="B172" s="23" t="s">
        <v>68</v>
      </c>
      <c r="C172" s="116" t="str">
        <f t="shared" si="8"/>
        <v>LoanCovenant.LPC009</v>
      </c>
      <c r="D172" s="16" t="s">
        <v>340</v>
      </c>
      <c r="E172" s="23" t="s">
        <v>132</v>
      </c>
      <c r="F172" s="9"/>
      <c r="G172" s="17"/>
      <c r="H172" s="146" t="s">
        <v>1482</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5" x14ac:dyDescent="0.25">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65" customHeight="1" x14ac:dyDescent="0.25">
      <c r="A174" s="15"/>
      <c r="B174" s="106" t="s">
        <v>69</v>
      </c>
      <c r="C174" s="116" t="str">
        <f t="shared" ref="C174:C181" si="9">"EIRD." &amp; B174</f>
        <v>EIRD.LPC013</v>
      </c>
      <c r="D174" s="107" t="s">
        <v>1318</v>
      </c>
      <c r="E174" s="106" t="s">
        <v>1263</v>
      </c>
      <c r="F174" s="106" t="s">
        <v>1256</v>
      </c>
      <c r="G174" s="107" t="s">
        <v>1485</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5" x14ac:dyDescent="0.25">
      <c r="A175" s="15"/>
      <c r="B175" s="23" t="s">
        <v>70</v>
      </c>
      <c r="C175" s="116" t="str">
        <f t="shared" si="9"/>
        <v>EIRD.LPC014</v>
      </c>
      <c r="D175" s="16" t="s">
        <v>1487</v>
      </c>
      <c r="E175" s="23" t="s">
        <v>1598</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25">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1586</v>
      </c>
      <c r="O176" s="100"/>
      <c r="P176" s="10"/>
      <c r="Q176" s="100"/>
      <c r="R176" s="10"/>
      <c r="S176" s="100"/>
      <c r="T176" s="10"/>
      <c r="U176" s="100"/>
      <c r="V176" s="10"/>
      <c r="W176" s="23"/>
      <c r="X176" s="10"/>
      <c r="Y176" s="16" t="s">
        <v>312</v>
      </c>
      <c r="Z176" s="10"/>
    </row>
    <row r="177" spans="1:26" s="18" customFormat="1" ht="25" x14ac:dyDescent="0.25">
      <c r="A177" s="15"/>
      <c r="B177" s="23" t="s">
        <v>72</v>
      </c>
      <c r="C177" s="116" t="str">
        <f t="shared" si="9"/>
        <v>EIRD.LPC016</v>
      </c>
      <c r="D177" s="16" t="s">
        <v>1488</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25">
      <c r="A178" s="15"/>
      <c r="B178" s="23" t="s">
        <v>73</v>
      </c>
      <c r="C178" s="116" t="str">
        <f t="shared" si="9"/>
        <v>EIRD.LPC017</v>
      </c>
      <c r="D178" s="16" t="s">
        <v>1489</v>
      </c>
      <c r="E178" s="23" t="s">
        <v>128</v>
      </c>
      <c r="F178" s="9"/>
      <c r="G178" s="17"/>
      <c r="H178" s="104">
        <v>42094</v>
      </c>
      <c r="I178" s="103"/>
      <c r="J178" s="117"/>
      <c r="K178" s="9" t="s">
        <v>129</v>
      </c>
      <c r="L178" s="10"/>
      <c r="M178" s="100" t="b">
        <f>H178&gt;=H177</f>
        <v>1</v>
      </c>
      <c r="N178" s="10" t="s">
        <v>1606</v>
      </c>
      <c r="O178" s="100"/>
      <c r="P178" s="10"/>
      <c r="Q178" s="100"/>
      <c r="R178" s="10"/>
      <c r="S178" s="100"/>
      <c r="T178" s="10"/>
      <c r="U178" s="100"/>
      <c r="V178" s="10"/>
      <c r="W178" s="23"/>
      <c r="X178" s="10"/>
      <c r="Y178" s="16" t="s">
        <v>314</v>
      </c>
      <c r="Z178" s="10" t="s">
        <v>1219</v>
      </c>
    </row>
    <row r="179" spans="1:26" s="18" customFormat="1" ht="105" customHeight="1" x14ac:dyDescent="0.25">
      <c r="B179" s="23" t="s">
        <v>1484</v>
      </c>
      <c r="C179" s="116" t="str">
        <f t="shared" si="9"/>
        <v>EIRD.LPC018a</v>
      </c>
      <c r="D179" s="16" t="s">
        <v>1490</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25">
      <c r="B180" s="23" t="s">
        <v>381</v>
      </c>
      <c r="C180" s="116" t="str">
        <f t="shared" si="9"/>
        <v>EIRD.LPC018b</v>
      </c>
      <c r="D180" s="16" t="s">
        <v>1491</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25">
      <c r="B181" s="23" t="s">
        <v>1552</v>
      </c>
      <c r="C181" s="116" t="str">
        <f t="shared" si="9"/>
        <v>EIRD.LPC018c</v>
      </c>
      <c r="D181" s="16" t="s">
        <v>1676</v>
      </c>
      <c r="E181" s="23" t="s">
        <v>387</v>
      </c>
      <c r="F181" s="9"/>
      <c r="G181" s="17"/>
      <c r="H181" s="114" t="b">
        <v>1</v>
      </c>
      <c r="I181" s="103"/>
      <c r="J181" s="99"/>
      <c r="K181" s="9" t="s">
        <v>129</v>
      </c>
      <c r="L181" s="10"/>
      <c r="M181" s="114" t="b">
        <f>H181</f>
        <v>1</v>
      </c>
      <c r="N181" s="10" t="s">
        <v>1607</v>
      </c>
      <c r="O181" s="100"/>
      <c r="P181" s="10"/>
      <c r="Q181" s="100"/>
      <c r="R181" s="10"/>
      <c r="S181" s="100"/>
      <c r="T181" s="10"/>
      <c r="U181" s="100"/>
      <c r="V181" s="10"/>
      <c r="W181" s="116" t="b">
        <f>OR(H179&gt;20,H180&gt;20)</f>
        <v>1</v>
      </c>
      <c r="X181" s="10"/>
      <c r="Y181" s="16" t="s">
        <v>382</v>
      </c>
      <c r="Z181" s="10"/>
    </row>
    <row r="182" spans="1:26" ht="18.649999999999999" customHeight="1" x14ac:dyDescent="0.25">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7.5" x14ac:dyDescent="0.25">
      <c r="B183" s="23" t="s">
        <v>391</v>
      </c>
      <c r="C183" s="62" t="s">
        <v>1376</v>
      </c>
      <c r="D183" s="123" t="s">
        <v>1499</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25">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5" x14ac:dyDescent="0.25">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25">
      <c r="B186" s="23" t="s">
        <v>1649</v>
      </c>
      <c r="C186" s="62" t="s">
        <v>1538</v>
      </c>
      <c r="D186" s="123" t="s">
        <v>1539</v>
      </c>
      <c r="E186" s="23" t="s">
        <v>1540</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25">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25">
      <c r="B188" s="126" t="s">
        <v>1560</v>
      </c>
      <c r="C188" s="127" t="s">
        <v>1384</v>
      </c>
      <c r="D188" s="127" t="s">
        <v>1385</v>
      </c>
      <c r="E188" s="126" t="s">
        <v>1386</v>
      </c>
      <c r="F188" s="126" t="s">
        <v>1632</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25">
      <c r="B189" s="126" t="s">
        <v>1561</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25">
      <c r="B190" s="126" t="s">
        <v>1562</v>
      </c>
      <c r="C190" s="127" t="s">
        <v>1392</v>
      </c>
      <c r="D190" s="127" t="s">
        <v>1019</v>
      </c>
      <c r="E190" s="126" t="s">
        <v>1390</v>
      </c>
      <c r="F190" s="126" t="s">
        <v>1632</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25">
      <c r="B191" s="126" t="s">
        <v>1563</v>
      </c>
      <c r="C191" s="127" t="s">
        <v>1393</v>
      </c>
      <c r="D191" s="127" t="s">
        <v>1394</v>
      </c>
      <c r="E191" s="126" t="s">
        <v>1395</v>
      </c>
      <c r="F191" s="126" t="s">
        <v>1632</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25">
      <c r="B192" s="126" t="s">
        <v>1564</v>
      </c>
      <c r="C192" s="127" t="s">
        <v>1396</v>
      </c>
      <c r="D192" s="127" t="s">
        <v>1397</v>
      </c>
      <c r="E192" s="126" t="s">
        <v>1395</v>
      </c>
      <c r="F192" s="126" t="s">
        <v>1632</v>
      </c>
      <c r="G192" s="127"/>
      <c r="H192" s="118">
        <v>44651</v>
      </c>
      <c r="I192" s="99"/>
      <c r="J192" s="99"/>
      <c r="K192" s="100" t="s">
        <v>131</v>
      </c>
      <c r="L192" s="128"/>
      <c r="M192" s="99"/>
      <c r="N192" s="129"/>
      <c r="O192" s="99"/>
      <c r="P192" s="126"/>
      <c r="Q192" s="99"/>
      <c r="R192" s="126"/>
      <c r="S192" s="99"/>
      <c r="T192" s="126"/>
      <c r="U192" s="99"/>
      <c r="V192" s="126"/>
      <c r="W192" s="161"/>
      <c r="X192" s="161"/>
    </row>
    <row r="193" spans="2:26" ht="25" x14ac:dyDescent="0.25">
      <c r="B193" s="126" t="s">
        <v>1565</v>
      </c>
      <c r="C193" s="127" t="s">
        <v>1398</v>
      </c>
      <c r="D193" s="127" t="s">
        <v>1399</v>
      </c>
      <c r="E193" s="126" t="s">
        <v>1400</v>
      </c>
      <c r="F193" s="126" t="s">
        <v>1632</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25">
      <c r="B194" s="126" t="s">
        <v>1592</v>
      </c>
      <c r="C194" s="127" t="s">
        <v>1594</v>
      </c>
      <c r="D194" s="127" t="s">
        <v>1589</v>
      </c>
      <c r="E194" s="126" t="s">
        <v>1590</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25">
      <c r="B195" s="126" t="s">
        <v>1593</v>
      </c>
      <c r="C195" s="127" t="s">
        <v>1595</v>
      </c>
      <c r="D195" s="127" t="s">
        <v>1591</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25">
      <c r="B196" s="126" t="s">
        <v>1566</v>
      </c>
      <c r="C196" s="127" t="s">
        <v>1402</v>
      </c>
      <c r="D196" s="127" t="s">
        <v>1403</v>
      </c>
      <c r="E196" s="126" t="s">
        <v>1404</v>
      </c>
      <c r="F196" s="126" t="s">
        <v>1632</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25">
      <c r="B197" s="126" t="s">
        <v>1567</v>
      </c>
      <c r="C197" s="127" t="s">
        <v>1405</v>
      </c>
      <c r="D197" s="127" t="s">
        <v>1406</v>
      </c>
      <c r="E197" s="126" t="s">
        <v>1404</v>
      </c>
      <c r="F197" s="126" t="s">
        <v>1632</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25">
      <c r="B198" s="126" t="s">
        <v>1568</v>
      </c>
      <c r="C198" s="127" t="s">
        <v>1407</v>
      </c>
      <c r="D198" s="127" t="s">
        <v>1408</v>
      </c>
      <c r="E198" s="126" t="s">
        <v>1404</v>
      </c>
      <c r="F198" s="126" t="s">
        <v>1632</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25">
      <c r="B199" s="126" t="s">
        <v>1569</v>
      </c>
      <c r="C199" s="127" t="s">
        <v>1409</v>
      </c>
      <c r="D199" s="127" t="s">
        <v>1412</v>
      </c>
      <c r="E199" s="126" t="s">
        <v>1445</v>
      </c>
      <c r="F199" s="126" t="s">
        <v>1632</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25">
      <c r="B200" s="126" t="s">
        <v>1570</v>
      </c>
      <c r="C200" s="127" t="s">
        <v>1411</v>
      </c>
      <c r="D200" s="127" t="s">
        <v>1410</v>
      </c>
      <c r="E200" s="126" t="s">
        <v>1404</v>
      </c>
      <c r="F200" s="126" t="s">
        <v>1632</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12.5" hidden="1" x14ac:dyDescent="0.25">
      <c r="B201" s="126" t="s">
        <v>1571</v>
      </c>
      <c r="C201" s="127" t="s">
        <v>1413</v>
      </c>
      <c r="D201" s="127" t="s">
        <v>1414</v>
      </c>
      <c r="E201" s="126" t="s">
        <v>1415</v>
      </c>
      <c r="F201" s="126"/>
      <c r="G201" s="127"/>
      <c r="H201" s="118" t="s">
        <v>1416</v>
      </c>
      <c r="I201" s="118"/>
      <c r="J201" s="99"/>
      <c r="K201" s="99"/>
      <c r="L201" s="130"/>
      <c r="M201" s="99"/>
      <c r="N201" s="131"/>
      <c r="O201" s="99"/>
      <c r="P201" s="126"/>
      <c r="Q201" s="99"/>
      <c r="R201" s="126"/>
      <c r="S201" s="99"/>
      <c r="T201" s="126"/>
      <c r="U201" s="99"/>
      <c r="V201" s="126"/>
      <c r="W201" s="161"/>
      <c r="X201" s="161"/>
    </row>
    <row r="202" spans="2:26" ht="409.5" hidden="1" x14ac:dyDescent="0.25">
      <c r="B202" s="126" t="s">
        <v>1572</v>
      </c>
      <c r="C202" s="127" t="s">
        <v>1417</v>
      </c>
      <c r="D202" s="127" t="s">
        <v>1418</v>
      </c>
      <c r="E202" s="126" t="s">
        <v>1415</v>
      </c>
      <c r="F202" s="126"/>
      <c r="G202" s="127"/>
      <c r="H202" s="118" t="s">
        <v>1497</v>
      </c>
      <c r="I202" s="118"/>
      <c r="J202" s="99"/>
      <c r="K202" s="99"/>
      <c r="L202" s="130"/>
      <c r="M202" s="99"/>
      <c r="N202" s="131"/>
      <c r="O202" s="99"/>
      <c r="P202" s="126"/>
      <c r="Q202" s="99"/>
      <c r="R202" s="126"/>
      <c r="S202" s="99"/>
      <c r="T202" s="126"/>
      <c r="U202" s="99"/>
      <c r="V202" s="126"/>
      <c r="W202" s="161"/>
      <c r="X202" s="161"/>
    </row>
    <row r="203" spans="2:26" ht="337.5" hidden="1" x14ac:dyDescent="0.25">
      <c r="B203" s="126" t="s">
        <v>1573</v>
      </c>
      <c r="C203" s="127" t="s">
        <v>1419</v>
      </c>
      <c r="D203" s="127" t="s">
        <v>1420</v>
      </c>
      <c r="E203" s="126" t="s">
        <v>1415</v>
      </c>
      <c r="F203" s="126"/>
      <c r="G203" s="127"/>
      <c r="H203" s="118" t="s">
        <v>1421</v>
      </c>
      <c r="I203" s="118"/>
      <c r="J203" s="99"/>
      <c r="K203" s="99"/>
      <c r="L203" s="130"/>
      <c r="M203" s="99"/>
      <c r="N203" s="131"/>
      <c r="O203" s="99"/>
      <c r="P203" s="126"/>
      <c r="Q203" s="99"/>
      <c r="R203" s="126"/>
      <c r="S203" s="99"/>
      <c r="T203" s="126"/>
      <c r="U203" s="99"/>
      <c r="V203" s="126"/>
      <c r="W203" s="161"/>
      <c r="X203" s="161"/>
    </row>
    <row r="204" spans="2:26" ht="225" hidden="1" x14ac:dyDescent="0.25">
      <c r="B204" s="126" t="s">
        <v>1574</v>
      </c>
      <c r="C204" s="127" t="s">
        <v>1422</v>
      </c>
      <c r="D204" s="127" t="s">
        <v>1423</v>
      </c>
      <c r="E204" s="126" t="s">
        <v>1415</v>
      </c>
      <c r="F204" s="126"/>
      <c r="G204" s="127"/>
      <c r="H204" s="99" t="s">
        <v>1498</v>
      </c>
      <c r="I204" s="99"/>
      <c r="J204" s="99"/>
      <c r="K204" s="99"/>
      <c r="L204" s="130"/>
      <c r="M204" s="99"/>
      <c r="N204" s="131"/>
      <c r="O204" s="99"/>
      <c r="P204" s="126"/>
      <c r="Q204" s="99"/>
      <c r="R204" s="126"/>
      <c r="S204" s="99"/>
      <c r="T204" s="126"/>
      <c r="U204" s="99"/>
      <c r="V204" s="126"/>
      <c r="W204" s="161"/>
      <c r="X204" s="161"/>
    </row>
    <row r="205" spans="2:26" x14ac:dyDescent="0.25">
      <c r="B205" s="162" t="s">
        <v>1575</v>
      </c>
      <c r="C205" s="184" t="s">
        <v>1557</v>
      </c>
      <c r="D205" s="184" t="s">
        <v>1558</v>
      </c>
      <c r="E205" s="126" t="s">
        <v>1390</v>
      </c>
      <c r="F205" s="126" t="s">
        <v>1632</v>
      </c>
      <c r="G205" s="184"/>
      <c r="H205" s="185" t="s">
        <v>1559</v>
      </c>
      <c r="I205" s="185"/>
      <c r="J205" s="185"/>
      <c r="K205" s="206" t="s">
        <v>131</v>
      </c>
      <c r="L205" s="186"/>
      <c r="M205" s="185"/>
      <c r="N205" s="187"/>
      <c r="O205" s="185"/>
      <c r="P205" s="161"/>
      <c r="Q205" s="185"/>
      <c r="R205" s="161"/>
      <c r="S205" s="185"/>
      <c r="T205" s="161"/>
      <c r="U205" s="185"/>
      <c r="V205" s="161"/>
      <c r="W205" s="161"/>
      <c r="X205" s="161"/>
    </row>
    <row r="206" spans="2:26" x14ac:dyDescent="0.25">
      <c r="B206" s="162" t="s">
        <v>1576</v>
      </c>
      <c r="C206" s="184" t="s">
        <v>1577</v>
      </c>
      <c r="D206" s="184" t="s">
        <v>1578</v>
      </c>
      <c r="E206" s="161" t="s">
        <v>1395</v>
      </c>
      <c r="F206" s="126" t="s">
        <v>1632</v>
      </c>
      <c r="G206" s="184"/>
      <c r="H206" s="188">
        <v>26039</v>
      </c>
      <c r="I206" s="185"/>
      <c r="J206" s="185"/>
      <c r="K206" s="206" t="s">
        <v>131</v>
      </c>
      <c r="L206" s="186"/>
      <c r="M206" s="185"/>
      <c r="N206" s="187"/>
      <c r="O206" s="185"/>
      <c r="P206" s="161"/>
      <c r="Q206" s="185"/>
      <c r="R206" s="161"/>
      <c r="S206" s="185"/>
      <c r="T206" s="161"/>
      <c r="U206" s="185"/>
      <c r="V206" s="161"/>
      <c r="W206" s="161"/>
      <c r="X206" s="161"/>
    </row>
    <row r="207" spans="2:26" x14ac:dyDescent="0.25">
      <c r="B207" s="162" t="s">
        <v>1581</v>
      </c>
      <c r="C207" s="184" t="s">
        <v>1579</v>
      </c>
      <c r="D207" s="184" t="s">
        <v>1580</v>
      </c>
      <c r="E207" s="161" t="s">
        <v>1395</v>
      </c>
      <c r="F207" s="126" t="s">
        <v>1632</v>
      </c>
      <c r="G207" s="184"/>
      <c r="H207" s="188">
        <v>62564</v>
      </c>
      <c r="I207" s="185"/>
      <c r="J207" s="185"/>
      <c r="K207" s="206" t="s">
        <v>131</v>
      </c>
      <c r="L207" s="186"/>
      <c r="M207" s="185"/>
      <c r="N207" s="187"/>
      <c r="O207" s="185"/>
      <c r="P207" s="161"/>
      <c r="Q207" s="185"/>
      <c r="R207" s="161"/>
      <c r="S207" s="185"/>
      <c r="T207" s="161"/>
      <c r="U207" s="185"/>
      <c r="V207" s="161"/>
      <c r="W207" s="161"/>
      <c r="X207" s="161"/>
    </row>
    <row r="208" spans="2:26" x14ac:dyDescent="0.25">
      <c r="B208" s="162" t="s">
        <v>1514</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1265</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1633</v>
      </c>
      <c r="B14" t="str">
        <f>Data!H16</f>
        <v>March</v>
      </c>
    </row>
    <row r="16" spans="1:2" ht="13" x14ac:dyDescent="0.3">
      <c r="A16" s="43" t="s">
        <v>1634</v>
      </c>
      <c r="B16">
        <f>Data!H17</f>
        <v>350</v>
      </c>
    </row>
    <row r="18" spans="1:9" ht="13" x14ac:dyDescent="0.3">
      <c r="A18" s="43" t="s">
        <v>1635</v>
      </c>
      <c r="B18">
        <f>Data!H18</f>
        <v>300</v>
      </c>
    </row>
    <row r="20" spans="1:9" ht="13" x14ac:dyDescent="0.3">
      <c r="A20" s="43" t="s">
        <v>1636</v>
      </c>
      <c r="B20" s="137">
        <f>Data!I19</f>
        <v>50</v>
      </c>
    </row>
    <row r="22" spans="1:9" ht="13" x14ac:dyDescent="0.3">
      <c r="A22" s="43" t="s">
        <v>1637</v>
      </c>
      <c r="B22" s="111">
        <f>Data!H20</f>
        <v>99.99</v>
      </c>
    </row>
    <row r="24" spans="1:9" ht="13" x14ac:dyDescent="0.3">
      <c r="A24" s="43" t="s">
        <v>1638</v>
      </c>
      <c r="B24">
        <f>Data!H21</f>
        <v>3</v>
      </c>
    </row>
    <row r="26" spans="1:9" ht="13" x14ac:dyDescent="0.3">
      <c r="A26" s="132"/>
      <c r="B26" s="133" t="s">
        <v>1424</v>
      </c>
    </row>
    <row r="28" spans="1:9" ht="13.5" thickBot="1" x14ac:dyDescent="0.35">
      <c r="A28" s="43"/>
      <c r="B28" s="43" t="s">
        <v>1425</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Data!I29</f>
        <v>1</v>
      </c>
      <c r="C30" t="e">
        <f>Data!#REF!</f>
        <v>#REF!</v>
      </c>
      <c r="D30" s="138">
        <f>Data!H32</f>
        <v>10000</v>
      </c>
      <c r="E30" s="139" t="s">
        <v>1426</v>
      </c>
      <c r="F30" s="110">
        <f>Data!H37</f>
        <v>40179</v>
      </c>
      <c r="G30" s="110">
        <f>Data!H38</f>
        <v>55153</v>
      </c>
      <c r="H30" t="b">
        <f>Data!H55</f>
        <v>0</v>
      </c>
      <c r="I30" t="s">
        <v>1141</v>
      </c>
    </row>
    <row r="31" spans="1:9" ht="13" x14ac:dyDescent="0.3">
      <c r="A31" s="43"/>
      <c r="B31" s="134">
        <f>Data!I58</f>
        <v>1</v>
      </c>
      <c r="C31" t="e">
        <f>Data!#REF!</f>
        <v>#REF!</v>
      </c>
      <c r="D31" s="139" t="s">
        <v>1426</v>
      </c>
      <c r="E31" s="138">
        <f>Data!H61</f>
        <v>5000</v>
      </c>
      <c r="F31" s="110">
        <f>Data!H66</f>
        <v>38443</v>
      </c>
      <c r="G31" s="110">
        <f>Data!H67</f>
        <v>49399</v>
      </c>
      <c r="H31" t="b">
        <f>Data!H81</f>
        <v>0</v>
      </c>
      <c r="I31" t="s">
        <v>1141</v>
      </c>
    </row>
    <row r="32" spans="1:9" ht="13" x14ac:dyDescent="0.3">
      <c r="A32" s="43"/>
    </row>
    <row r="33" spans="1:11" ht="13" x14ac:dyDescent="0.3">
      <c r="A33" s="43"/>
      <c r="B33" t="s">
        <v>1427</v>
      </c>
    </row>
    <row r="34" spans="1:11" ht="13" x14ac:dyDescent="0.3">
      <c r="A34" s="43"/>
    </row>
    <row r="35" spans="1:11" ht="13.5" thickBot="1" x14ac:dyDescent="0.35">
      <c r="A35" s="43"/>
      <c r="B35" s="43" t="s">
        <v>890</v>
      </c>
      <c r="C35" s="211"/>
      <c r="D35" s="211"/>
      <c r="E35" s="211"/>
    </row>
    <row r="36" spans="1:11" ht="13.5" thickBot="1" x14ac:dyDescent="0.35">
      <c r="A36" s="43"/>
      <c r="B36" s="79" t="s">
        <v>1118</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1141</v>
      </c>
    </row>
    <row r="38" spans="1:11" ht="13" x14ac:dyDescent="0.3">
      <c r="A38" s="43"/>
      <c r="K38" s="136"/>
    </row>
    <row r="39" spans="1:11" ht="13" x14ac:dyDescent="0.3">
      <c r="A39" s="43"/>
      <c r="B39" s="32" t="s">
        <v>1428</v>
      </c>
    </row>
    <row r="40" spans="1:11" ht="13" x14ac:dyDescent="0.3">
      <c r="A40" s="43"/>
      <c r="B40" s="32"/>
    </row>
    <row r="41" spans="1:11" ht="13.5" thickBot="1" x14ac:dyDescent="0.35">
      <c r="A41" s="43"/>
      <c r="B41" s="43" t="s">
        <v>1006</v>
      </c>
    </row>
    <row r="42" spans="1:11" ht="39.5" thickBot="1" x14ac:dyDescent="0.35">
      <c r="A42" s="43"/>
      <c r="B42" s="79" t="s">
        <v>1118</v>
      </c>
      <c r="C42" s="209" t="s">
        <v>1124</v>
      </c>
      <c r="D42" s="210"/>
      <c r="E42" s="79" t="s">
        <v>1125</v>
      </c>
      <c r="F42" s="79" t="s">
        <v>1126</v>
      </c>
      <c r="G42" s="79" t="s">
        <v>1127</v>
      </c>
      <c r="H42" s="79" t="s">
        <v>1121</v>
      </c>
      <c r="I42" s="135"/>
    </row>
    <row r="43" spans="1:11" ht="13.5" thickBot="1" x14ac:dyDescent="0.35">
      <c r="A43" s="43"/>
      <c r="B43" t="str">
        <f>Data!I115</f>
        <v>DMOBOS002</v>
      </c>
      <c r="C43" t="str">
        <f>Data!H112</f>
        <v>BOS</v>
      </c>
      <c r="E43" s="138">
        <f>Data!H121</f>
        <v>20000</v>
      </c>
      <c r="F43" s="138">
        <f>Data!H122</f>
        <v>10000</v>
      </c>
      <c r="G43" s="138">
        <f>Data!H123</f>
        <v>0</v>
      </c>
      <c r="H43" t="b">
        <f>Data!H132</f>
        <v>0</v>
      </c>
      <c r="I43" t="s">
        <v>1141</v>
      </c>
    </row>
    <row r="44" spans="1:11" ht="13.5" thickBot="1" x14ac:dyDescent="0.3">
      <c r="B44" s="79" t="s">
        <v>1135</v>
      </c>
      <c r="C44" s="209"/>
      <c r="D44" s="210"/>
      <c r="E44" s="140">
        <f>SUM(E43)</f>
        <v>20000</v>
      </c>
      <c r="F44" s="140">
        <f t="shared" ref="F44:G44" si="0">SUM(F43)</f>
        <v>10000</v>
      </c>
      <c r="G44" s="140">
        <f t="shared" si="0"/>
        <v>0</v>
      </c>
      <c r="H44" s="209"/>
      <c r="I44" s="210"/>
    </row>
    <row r="46" spans="1:11" x14ac:dyDescent="0.25">
      <c r="B46" s="32" t="s">
        <v>1429</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1285</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8">
        <f>Data!H32</f>
        <v>10000</v>
      </c>
    </row>
    <row r="20" spans="1:11" ht="13" x14ac:dyDescent="0.3">
      <c r="A20" s="43" t="s">
        <v>187</v>
      </c>
      <c r="B20" s="138">
        <f>Data!H33</f>
        <v>5000</v>
      </c>
    </row>
    <row r="22" spans="1:11" ht="13" x14ac:dyDescent="0.3">
      <c r="A22" s="43" t="s">
        <v>188</v>
      </c>
      <c r="B22">
        <f>Data!H34</f>
        <v>2</v>
      </c>
    </row>
    <row r="24" spans="1:11" ht="13" x14ac:dyDescent="0.3">
      <c r="A24" s="43" t="s">
        <v>1274</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8"/>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1275</v>
      </c>
      <c r="B38" t="str">
        <f>Data!H42</f>
        <v>The security details are…</v>
      </c>
    </row>
    <row r="40" spans="1:2" ht="13" x14ac:dyDescent="0.3">
      <c r="A40" s="43" t="s">
        <v>194</v>
      </c>
      <c r="B40" s="138">
        <f>Data!H43</f>
        <v>2500</v>
      </c>
    </row>
    <row r="42" spans="1:2" ht="13" x14ac:dyDescent="0.3">
      <c r="A42" s="43" t="s">
        <v>195</v>
      </c>
      <c r="B42">
        <f>Data!H44</f>
        <v>3</v>
      </c>
    </row>
    <row r="44" spans="1:2" ht="13" x14ac:dyDescent="0.3">
      <c r="A44" s="43" t="s">
        <v>1276</v>
      </c>
      <c r="B44" t="str">
        <f>Data!H45</f>
        <v>FIXED</v>
      </c>
    </row>
    <row r="46" spans="1:2" ht="13" x14ac:dyDescent="0.3">
      <c r="A46" s="43" t="s">
        <v>1277</v>
      </c>
      <c r="B46">
        <f>Data!H46</f>
        <v>36</v>
      </c>
    </row>
    <row r="48" spans="1:2" ht="13" x14ac:dyDescent="0.3">
      <c r="A48" s="43" t="s">
        <v>1278</v>
      </c>
      <c r="B48" t="str">
        <f>Data!H47</f>
        <v>Converted to Loan</v>
      </c>
    </row>
    <row r="50" spans="1:2" ht="13" x14ac:dyDescent="0.3">
      <c r="A50" s="43" t="s">
        <v>1279</v>
      </c>
      <c r="B50">
        <f>Data!H48</f>
        <v>0</v>
      </c>
    </row>
    <row r="52" spans="1:2" ht="13" x14ac:dyDescent="0.3">
      <c r="A52" s="43" t="s">
        <v>1280</v>
      </c>
      <c r="B52">
        <f>Data!H49</f>
        <v>20</v>
      </c>
    </row>
    <row r="54" spans="1:2" ht="13" x14ac:dyDescent="0.3">
      <c r="A54" s="43" t="s">
        <v>1324</v>
      </c>
      <c r="B54">
        <f>Data!H50</f>
        <v>3.5</v>
      </c>
    </row>
    <row r="56" spans="1:2" ht="13" x14ac:dyDescent="0.3">
      <c r="A56" s="43" t="s">
        <v>1673</v>
      </c>
      <c r="B56" t="b">
        <f>Data!H51</f>
        <v>1</v>
      </c>
    </row>
    <row r="58" spans="1:2" ht="13" x14ac:dyDescent="0.3">
      <c r="A58" s="43" t="s">
        <v>1281</v>
      </c>
      <c r="B58">
        <f>Data!H52</f>
        <v>3</v>
      </c>
    </row>
    <row r="60" spans="1:2" ht="13" x14ac:dyDescent="0.3">
      <c r="A60" s="43" t="s">
        <v>1282</v>
      </c>
      <c r="B60" t="str">
        <f>Data!H53</f>
        <v>BCHFIXED11052</v>
      </c>
    </row>
    <row r="62" spans="1:2" ht="13" x14ac:dyDescent="0.3">
      <c r="A62" s="43" t="s">
        <v>1283</v>
      </c>
      <c r="B62" t="str">
        <f>Data!H54</f>
        <v>Yes</v>
      </c>
    </row>
    <row r="64" spans="1:2" ht="13" x14ac:dyDescent="0.3">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1430</v>
      </c>
    </row>
    <row r="3" spans="1:2" ht="13" x14ac:dyDescent="0.3">
      <c r="A3" s="43" t="s">
        <v>920</v>
      </c>
      <c r="B3" t="e">
        <f>Data!#REF!</f>
        <v>#REF!</v>
      </c>
    </row>
    <row r="5" spans="1:2" ht="13" x14ac:dyDescent="0.3">
      <c r="A5" s="43" t="s">
        <v>1272</v>
      </c>
    </row>
    <row r="10" spans="1:2" ht="13" x14ac:dyDescent="0.3">
      <c r="A10" s="43"/>
    </row>
    <row r="12" spans="1:2" ht="13" x14ac:dyDescent="0.3">
      <c r="A12" s="43" t="s">
        <v>1273</v>
      </c>
      <c r="B12" s="137">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8">
        <f>Data!H61</f>
        <v>5000</v>
      </c>
    </row>
    <row r="20" spans="1:11" ht="13" x14ac:dyDescent="0.3">
      <c r="A20" s="43" t="s">
        <v>187</v>
      </c>
      <c r="B20" s="138">
        <f>Data!H62</f>
        <v>2500</v>
      </c>
    </row>
    <row r="22" spans="1:11" ht="13" x14ac:dyDescent="0.3">
      <c r="A22" s="43" t="s">
        <v>188</v>
      </c>
      <c r="B22">
        <f>Data!H63</f>
        <v>4</v>
      </c>
    </row>
    <row r="24" spans="1:11" ht="13" x14ac:dyDescent="0.3">
      <c r="A24" s="43" t="s">
        <v>1274</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8"/>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1275</v>
      </c>
      <c r="B38" t="str">
        <f>Data!H71</f>
        <v>The security details are…</v>
      </c>
    </row>
    <row r="40" spans="1:2" ht="13" x14ac:dyDescent="0.3">
      <c r="A40" s="43" t="s">
        <v>194</v>
      </c>
      <c r="B40" s="138">
        <f>Data!H72</f>
        <v>1250</v>
      </c>
    </row>
    <row r="42" spans="1:2" ht="13" x14ac:dyDescent="0.3">
      <c r="A42" s="43" t="s">
        <v>195</v>
      </c>
      <c r="B42">
        <f>Data!H73</f>
        <v>3</v>
      </c>
    </row>
    <row r="44" spans="1:2" ht="13" x14ac:dyDescent="0.3">
      <c r="A44" s="43" t="s">
        <v>1276</v>
      </c>
      <c r="B44" t="str">
        <f>Data!H74</f>
        <v>FIXED</v>
      </c>
    </row>
    <row r="46" spans="1:2" ht="13" x14ac:dyDescent="0.3">
      <c r="A46" s="43" t="s">
        <v>1277</v>
      </c>
      <c r="B46">
        <f>Data!H75</f>
        <v>24</v>
      </c>
    </row>
    <row r="48" spans="1:2" ht="13" x14ac:dyDescent="0.3">
      <c r="A48" s="43" t="s">
        <v>1278</v>
      </c>
      <c r="B48" t="str">
        <f>Data!H76</f>
        <v>Converted to Loan</v>
      </c>
    </row>
    <row r="50" spans="1:2" ht="13" x14ac:dyDescent="0.3">
      <c r="A50" s="43" t="s">
        <v>1279</v>
      </c>
      <c r="B50">
        <f>Data!H77</f>
        <v>3</v>
      </c>
    </row>
    <row r="52" spans="1:2" ht="13" x14ac:dyDescent="0.3">
      <c r="A52" s="43" t="s">
        <v>1280</v>
      </c>
      <c r="B52">
        <f>Data!H78</f>
        <v>20.0001</v>
      </c>
    </row>
    <row r="54" spans="1:2" ht="13" x14ac:dyDescent="0.3">
      <c r="A54" s="43" t="s">
        <v>1324</v>
      </c>
      <c r="B54">
        <f>Data!H79</f>
        <v>3.5</v>
      </c>
    </row>
    <row r="56" spans="1:2" ht="13" x14ac:dyDescent="0.3">
      <c r="A56" s="43" t="s">
        <v>1673</v>
      </c>
      <c r="B56" t="b">
        <f>Data!H80</f>
        <v>1</v>
      </c>
    </row>
    <row r="58" spans="1:2" ht="13" x14ac:dyDescent="0.3">
      <c r="A58" s="43" t="s">
        <v>1432</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1433</v>
      </c>
    </row>
    <row r="5" spans="1:2" ht="13" x14ac:dyDescent="0.3">
      <c r="A5" s="43"/>
    </row>
    <row r="10" spans="1:2" ht="13" x14ac:dyDescent="0.3">
      <c r="A10" s="43" t="s">
        <v>1273</v>
      </c>
      <c r="B10" s="137">
        <f>Data!I84</f>
        <v>1</v>
      </c>
    </row>
    <row r="12" spans="1:2" ht="13" x14ac:dyDescent="0.3">
      <c r="A12" s="43" t="s">
        <v>173</v>
      </c>
      <c r="B12" t="str">
        <f>Data!H85</f>
        <v>Clydesdale Bank plc</v>
      </c>
    </row>
    <row r="14" spans="1:2" ht="13" x14ac:dyDescent="0.3">
      <c r="A14" s="43" t="s">
        <v>174</v>
      </c>
      <c r="B14" s="138">
        <f>Data!H86</f>
        <v>10000</v>
      </c>
    </row>
    <row r="16" spans="1:2" ht="13" x14ac:dyDescent="0.3">
      <c r="A16" s="43" t="s">
        <v>164</v>
      </c>
      <c r="B16" s="110">
        <f>Data!H87</f>
        <v>40269</v>
      </c>
    </row>
    <row r="18" spans="1:11" ht="13" x14ac:dyDescent="0.3">
      <c r="A18" s="43" t="s">
        <v>175</v>
      </c>
      <c r="B18" s="138">
        <f>Data!H88</f>
        <v>47573</v>
      </c>
    </row>
    <row r="20" spans="1:11" ht="13" x14ac:dyDescent="0.3">
      <c r="A20" s="43" t="s">
        <v>176</v>
      </c>
      <c r="B20" s="138">
        <f>Data!H89</f>
        <v>4</v>
      </c>
    </row>
    <row r="22" spans="1:11" ht="13" x14ac:dyDescent="0.3">
      <c r="A22" s="43" t="s">
        <v>1336</v>
      </c>
      <c r="B22">
        <f>Data!H90</f>
        <v>20</v>
      </c>
    </row>
    <row r="24" spans="1:11" ht="13" x14ac:dyDescent="0.3">
      <c r="A24" s="43" t="s">
        <v>1338</v>
      </c>
      <c r="B24">
        <f>Data!H91</f>
        <v>3.4998999999999998</v>
      </c>
    </row>
    <row r="26" spans="1:11" ht="13" x14ac:dyDescent="0.3">
      <c r="A26" s="43" t="s">
        <v>1674</v>
      </c>
      <c r="B26" t="b">
        <f>Data!H92</f>
        <v>0</v>
      </c>
    </row>
    <row r="27" spans="1:11" ht="13" x14ac:dyDescent="0.3">
      <c r="A27" s="43"/>
    </row>
    <row r="28" spans="1:11" ht="13" x14ac:dyDescent="0.3">
      <c r="A28" s="43" t="s">
        <v>177</v>
      </c>
      <c r="B28" s="138">
        <f>Data!H93</f>
        <v>-5000</v>
      </c>
    </row>
    <row r="29" spans="1:11" ht="13" x14ac:dyDescent="0.3">
      <c r="A29" s="43"/>
      <c r="K29" s="138"/>
    </row>
    <row r="30" spans="1:11" ht="13" x14ac:dyDescent="0.3">
      <c r="A30" s="43" t="s">
        <v>178</v>
      </c>
      <c r="B30" s="138">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8">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1492</v>
      </c>
    </row>
    <row r="43" spans="1:6" ht="13" thickBot="1" x14ac:dyDescent="0.3"/>
    <row r="44" spans="1:6" ht="26.5" thickBot="1" x14ac:dyDescent="0.3">
      <c r="B44" s="73" t="s">
        <v>1118</v>
      </c>
      <c r="C44" s="73" t="s">
        <v>336</v>
      </c>
      <c r="D44" s="73" t="s">
        <v>338</v>
      </c>
      <c r="E44" s="209"/>
      <c r="F44" s="210"/>
    </row>
    <row r="45" spans="1:6" x14ac:dyDescent="0.25">
      <c r="B45" s="78">
        <f>Data!I103</f>
        <v>1</v>
      </c>
      <c r="C45" s="144" t="str">
        <f>Data!H104</f>
        <v>Interest Cover</v>
      </c>
      <c r="D45" s="144" t="str">
        <f>Data!H107</f>
        <v>Annually</v>
      </c>
      <c r="E45" s="149" t="s">
        <v>1119</v>
      </c>
      <c r="F45" s="149" t="s">
        <v>1120</v>
      </c>
    </row>
    <row r="47" spans="1:6" x14ac:dyDescent="0.25">
      <c r="B47" t="s">
        <v>1493</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1469</v>
      </c>
      <c r="B3" s="137">
        <f>Data!I102</f>
        <v>0</v>
      </c>
    </row>
    <row r="5" spans="1:2" ht="13" customHeight="1" x14ac:dyDescent="0.3">
      <c r="A5" s="43" t="s">
        <v>1318</v>
      </c>
      <c r="B5" s="137">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1434</v>
      </c>
    </row>
    <row r="5" spans="1:2" ht="13" x14ac:dyDescent="0.3">
      <c r="A5" s="43"/>
    </row>
    <row r="10" spans="1:2" ht="13" x14ac:dyDescent="0.3">
      <c r="A10" s="43" t="s">
        <v>1435</v>
      </c>
      <c r="B10" t="str">
        <f>Data!H112</f>
        <v>BOS</v>
      </c>
    </row>
    <row r="12" spans="1:2" ht="13" x14ac:dyDescent="0.3">
      <c r="A12" s="43" t="s">
        <v>341</v>
      </c>
      <c r="B12">
        <f>Data!H113</f>
        <v>3</v>
      </c>
    </row>
    <row r="14" spans="1:2" ht="13" x14ac:dyDescent="0.3">
      <c r="A14" s="43" t="s">
        <v>342</v>
      </c>
      <c r="B14" s="138" t="str">
        <f>Data!H114</f>
        <v>AXA</v>
      </c>
    </row>
    <row r="16" spans="1:2" ht="13" x14ac:dyDescent="0.3">
      <c r="A16" s="43" t="s">
        <v>1346</v>
      </c>
      <c r="B16" s="142" t="str">
        <f>Data!I115</f>
        <v>DMOBOS002</v>
      </c>
    </row>
    <row r="18" spans="1:11" ht="13" x14ac:dyDescent="0.3">
      <c r="A18" s="43" t="s">
        <v>1436</v>
      </c>
      <c r="B18" s="138" t="str">
        <f>Data!H116</f>
        <v>Yes</v>
      </c>
    </row>
    <row r="20" spans="1:11" ht="13" x14ac:dyDescent="0.3">
      <c r="A20" s="43" t="s">
        <v>1164</v>
      </c>
      <c r="B20" s="138"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8">
        <f>Data!H121</f>
        <v>20000</v>
      </c>
    </row>
    <row r="29" spans="1:11" ht="13" x14ac:dyDescent="0.3">
      <c r="A29" s="43"/>
      <c r="K29" s="138"/>
    </row>
    <row r="30" spans="1:11" ht="13" x14ac:dyDescent="0.3">
      <c r="A30" s="43" t="s">
        <v>158</v>
      </c>
      <c r="B30" s="138">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401</v>
      </c>
      <c r="B34" s="138">
        <f>Data!H124</f>
        <v>2</v>
      </c>
    </row>
    <row r="36" spans="1:2" ht="13" x14ac:dyDescent="0.3">
      <c r="A36" s="43" t="s">
        <v>402</v>
      </c>
      <c r="B36" s="110">
        <f>Data!H125</f>
        <v>4</v>
      </c>
    </row>
    <row r="38" spans="1:2" ht="13" x14ac:dyDescent="0.3">
      <c r="A38" s="43" t="s">
        <v>1355</v>
      </c>
      <c r="B38" s="110" t="str">
        <f>Data!H126</f>
        <v>The undrawn Facility details are…</v>
      </c>
    </row>
    <row r="40" spans="1:2" ht="13" x14ac:dyDescent="0.3">
      <c r="A40" s="43" t="s">
        <v>529</v>
      </c>
      <c r="B40" s="110" t="str">
        <f>Data!H127</f>
        <v>Yes</v>
      </c>
    </row>
    <row r="42" spans="1:2" ht="13" x14ac:dyDescent="0.3">
      <c r="A42" s="143" t="s">
        <v>1438</v>
      </c>
    </row>
    <row r="43" spans="1:2" x14ac:dyDescent="0.25">
      <c r="A43" s="33"/>
    </row>
    <row r="44" spans="1:2" ht="13" x14ac:dyDescent="0.3">
      <c r="A44" s="43" t="s">
        <v>1437</v>
      </c>
      <c r="B44" t="b">
        <f>Data!H128</f>
        <v>1</v>
      </c>
    </row>
    <row r="46" spans="1:2" ht="13" x14ac:dyDescent="0.3">
      <c r="A46" s="43" t="s">
        <v>160</v>
      </c>
      <c r="B46" t="b">
        <f>Data!H129</f>
        <v>1</v>
      </c>
    </row>
    <row r="48" spans="1:2" ht="13" x14ac:dyDescent="0.3">
      <c r="A48" s="43" t="s">
        <v>161</v>
      </c>
      <c r="B48" t="b">
        <f>Data!H130</f>
        <v>1</v>
      </c>
    </row>
    <row r="50" spans="1:6" ht="13" x14ac:dyDescent="0.3">
      <c r="A50" s="43" t="s">
        <v>1360</v>
      </c>
      <c r="B50" t="str">
        <f>Data!H131</f>
        <v>Other fees details are…</v>
      </c>
    </row>
    <row r="52" spans="1:6" ht="13" x14ac:dyDescent="0.3">
      <c r="A52" s="43" t="s">
        <v>1362</v>
      </c>
      <c r="B52" t="b">
        <f>Data!H132</f>
        <v>0</v>
      </c>
    </row>
    <row r="54" spans="1:6" ht="13" x14ac:dyDescent="0.3">
      <c r="B54" s="43" t="s">
        <v>1468</v>
      </c>
    </row>
    <row r="55" spans="1:6" ht="13" thickBot="1" x14ac:dyDescent="0.3"/>
    <row r="56" spans="1:6" ht="61" customHeight="1" thickBot="1" x14ac:dyDescent="0.3">
      <c r="B56" s="73" t="s">
        <v>1118</v>
      </c>
      <c r="C56" s="73" t="s">
        <v>165</v>
      </c>
      <c r="D56" s="73" t="s">
        <v>332</v>
      </c>
      <c r="E56" s="73" t="s">
        <v>1121</v>
      </c>
      <c r="F56" s="73"/>
    </row>
    <row r="57" spans="1:6" x14ac:dyDescent="0.25">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2021-06-02T09:28:33Z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